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5e02fd996df4c3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 Analysis\2023\ARF Supplemental Requests\05 6_EE Benefit Details\"/>
    </mc:Choice>
  </mc:AlternateContent>
  <xr:revisionPtr revIDLastSave="0" documentId="13_ncr:1_{A04D01E3-AEF7-41DD-A163-3795AA88854E}" xr6:coauthVersionLast="47" xr6:coauthVersionMax="47" xr10:uidLastSave="{00000000-0000-0000-0000-000000000000}"/>
  <bookViews>
    <workbookView xWindow="-108" yWindow="-108" windowWidth="23256" windowHeight="12576" xr2:uid="{EE4A71F8-A168-477A-A5BF-7990E357DC28}"/>
  </bookViews>
  <sheets>
    <sheet name="2022" sheetId="2" r:id="rId1"/>
    <sheet name="2023" sheetId="3" r:id="rId2"/>
    <sheet name="2022 Ins" sheetId="5" r:id="rId3"/>
    <sheet name="2023 Ins" sheetId="8" r:id="rId4"/>
  </sheets>
  <definedNames>
    <definedName name="_xlnm.Print_Area" localSheetId="0">'2022'!$A$1:$O$27</definedName>
    <definedName name="_xlnm.Print_Area" localSheetId="2">'2022 Ins'!$B$1:$B$22</definedName>
    <definedName name="_xlnm.Print_Area" localSheetId="1">'2023'!$P$1:$AD$26</definedName>
    <definedName name="_xlnm.Print_Area" localSheetId="3">'2023 Ins'!$B$1:$B$21</definedName>
    <definedName name="_xlnm.Print_Titles" localSheetId="0">'2022'!$A:$C</definedName>
    <definedName name="_xlnm.Print_Titles" localSheetId="2">'2022 Ins'!#REF!</definedName>
    <definedName name="_xlnm.Print_Titles" localSheetId="1">'2023'!$A:$C</definedName>
    <definedName name="_xlnm.Print_Titles" localSheetId="3">'2023 Ins'!#REF!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6" i="3" l="1"/>
  <c r="AR28" i="5" l="1"/>
  <c r="AQ28" i="5"/>
  <c r="AP28" i="5"/>
  <c r="AO28" i="5"/>
  <c r="AN28" i="5"/>
  <c r="AM28" i="5"/>
  <c r="AF25" i="5" l="1"/>
  <c r="AF9" i="5"/>
  <c r="AF16" i="5"/>
  <c r="AF7" i="5"/>
  <c r="AF12" i="5"/>
  <c r="AF11" i="5"/>
  <c r="AF6" i="5"/>
  <c r="AF10" i="5"/>
  <c r="AF20" i="5"/>
  <c r="AF15" i="5"/>
  <c r="AF5" i="5"/>
  <c r="AF13" i="5"/>
  <c r="AF14" i="5"/>
  <c r="AF4" i="5"/>
  <c r="AF21" i="5"/>
  <c r="AF23" i="5"/>
  <c r="AF18" i="5"/>
  <c r="AF22" i="5"/>
  <c r="AF8" i="5"/>
  <c r="AF3" i="5"/>
  <c r="AF24" i="5"/>
  <c r="AF17" i="5"/>
  <c r="AF2" i="5"/>
  <c r="BF28" i="5" l="1"/>
  <c r="AT27" i="8"/>
  <c r="AS23" i="8" l="1"/>
  <c r="AS9" i="8"/>
  <c r="AS24" i="8"/>
  <c r="AS7" i="8"/>
  <c r="AS11" i="8"/>
  <c r="AS10" i="8"/>
  <c r="AS6" i="8"/>
  <c r="AS14" i="8"/>
  <c r="AS5" i="8"/>
  <c r="AS12" i="8"/>
  <c r="AS13" i="8"/>
  <c r="AS4" i="8"/>
  <c r="AS19" i="8"/>
  <c r="AS21" i="8"/>
  <c r="AS16" i="8"/>
  <c r="AS20" i="8"/>
  <c r="AS8" i="8"/>
  <c r="AS3" i="8"/>
  <c r="AS22" i="8"/>
  <c r="AS15" i="8"/>
  <c r="AS17" i="8"/>
  <c r="AS2" i="8"/>
  <c r="AY27" i="8"/>
  <c r="AX27" i="8"/>
  <c r="AW27" i="8"/>
  <c r="AV27" i="8"/>
  <c r="AU27" i="8"/>
  <c r="AL27" i="8"/>
  <c r="AK27" i="8"/>
  <c r="AJ27" i="8"/>
  <c r="AI27" i="8"/>
  <c r="AG27" i="8"/>
  <c r="X27" i="8"/>
  <c r="W27" i="8"/>
  <c r="V27" i="8"/>
  <c r="U27" i="8"/>
  <c r="S27" i="8"/>
  <c r="D24" i="8"/>
  <c r="J27" i="8"/>
  <c r="I27" i="8"/>
  <c r="H27" i="8"/>
  <c r="G27" i="8"/>
  <c r="E27" i="8"/>
  <c r="BK27" i="8" l="1"/>
  <c r="BL27" i="8"/>
  <c r="BJ27" i="8"/>
  <c r="BH27" i="8"/>
  <c r="BI27" i="8"/>
  <c r="BG27" i="8"/>
  <c r="AS27" i="8"/>
  <c r="AH27" i="8"/>
  <c r="T27" i="8"/>
  <c r="R27" i="8" s="1"/>
  <c r="F27" i="8"/>
  <c r="D27" i="8" s="1"/>
  <c r="BF27" i="8" l="1"/>
  <c r="AF27" i="8"/>
  <c r="N6" i="3" l="1"/>
  <c r="L6" i="3" s="1"/>
  <c r="N10" i="3"/>
  <c r="L10" i="3" s="1"/>
  <c r="N8" i="3"/>
  <c r="N15" i="3"/>
  <c r="L15" i="3"/>
  <c r="N11" i="3"/>
  <c r="L11" i="3" s="1"/>
  <c r="N17" i="3"/>
  <c r="L17" i="3" s="1"/>
  <c r="L13" i="3" l="1"/>
  <c r="L8" i="3"/>
  <c r="N2" i="3"/>
  <c r="P14" i="3"/>
  <c r="L14" i="3"/>
  <c r="K26" i="3"/>
  <c r="P24" i="3"/>
  <c r="P7" i="3"/>
  <c r="P12" i="3"/>
  <c r="P13" i="3"/>
  <c r="P2" i="3"/>
  <c r="P6" i="3"/>
  <c r="P16" i="3"/>
  <c r="L16" i="3"/>
  <c r="P3" i="3"/>
  <c r="L3" i="3"/>
  <c r="P22" i="3"/>
  <c r="L22" i="3"/>
  <c r="P23" i="3"/>
  <c r="L23" i="3"/>
  <c r="P10" i="3"/>
  <c r="P19" i="3"/>
  <c r="L19" i="3"/>
  <c r="P21" i="3"/>
  <c r="L21" i="3"/>
  <c r="P8" i="3"/>
  <c r="P15" i="3"/>
  <c r="P9" i="3"/>
  <c r="L9" i="3"/>
  <c r="P11" i="3"/>
  <c r="P18" i="3"/>
  <c r="P5" i="3"/>
  <c r="L5" i="3"/>
  <c r="P4" i="3"/>
  <c r="L4" i="3"/>
  <c r="P20" i="3"/>
  <c r="L20" i="3"/>
  <c r="M26" i="3"/>
  <c r="Q26" i="3"/>
  <c r="R26" i="3"/>
  <c r="J26" i="3"/>
  <c r="AB7" i="3"/>
  <c r="AA17" i="3"/>
  <c r="AA15" i="3"/>
  <c r="AA22" i="3"/>
  <c r="AA3" i="3"/>
  <c r="AA8" i="3"/>
  <c r="AA20" i="3"/>
  <c r="AA16" i="3"/>
  <c r="AA21" i="3"/>
  <c r="AA19" i="3"/>
  <c r="AA4" i="3"/>
  <c r="AA13" i="3"/>
  <c r="AA12" i="3"/>
  <c r="AA5" i="3"/>
  <c r="AA14" i="3"/>
  <c r="AA10" i="3"/>
  <c r="AA11" i="3"/>
  <c r="AA7" i="3"/>
  <c r="AA9" i="3"/>
  <c r="AA23" i="3"/>
  <c r="AA2" i="3"/>
  <c r="Z4" i="3"/>
  <c r="P17" i="3"/>
  <c r="O17" i="3"/>
  <c r="R24" i="8"/>
  <c r="AF24" i="8"/>
  <c r="Z24" i="3" s="1"/>
  <c r="BF24" i="8"/>
  <c r="AA24" i="3"/>
  <c r="AI25" i="8"/>
  <c r="AI28" i="8" s="1"/>
  <c r="AJ25" i="8"/>
  <c r="AJ28" i="8" s="1"/>
  <c r="AL25" i="8"/>
  <c r="AL28" i="8" s="1"/>
  <c r="AH25" i="8"/>
  <c r="AH28" i="8" s="1"/>
  <c r="AF15" i="8"/>
  <c r="Z15" i="3" s="1"/>
  <c r="AF20" i="8"/>
  <c r="AF19" i="8"/>
  <c r="AF4" i="8"/>
  <c r="AF13" i="8"/>
  <c r="Z13" i="3" s="1"/>
  <c r="AF12" i="8"/>
  <c r="Z12" i="3" s="1"/>
  <c r="AF5" i="8"/>
  <c r="AF14" i="8"/>
  <c r="AF6" i="8"/>
  <c r="AF10" i="8"/>
  <c r="Z10" i="3" s="1"/>
  <c r="AF11" i="8"/>
  <c r="Z11" i="3" s="1"/>
  <c r="AF22" i="8"/>
  <c r="Z22" i="3" s="1"/>
  <c r="AF8" i="8"/>
  <c r="AF21" i="8"/>
  <c r="Z21" i="3" s="1"/>
  <c r="AF18" i="8"/>
  <c r="AF7" i="8"/>
  <c r="Z7" i="3" s="1"/>
  <c r="AF9" i="8"/>
  <c r="Z9" i="3" s="1"/>
  <c r="T25" i="8"/>
  <c r="T28" i="8" s="1"/>
  <c r="U25" i="8"/>
  <c r="U28" i="8" s="1"/>
  <c r="R8" i="8"/>
  <c r="X8" i="3" s="1"/>
  <c r="R16" i="8"/>
  <c r="R19" i="8"/>
  <c r="R4" i="8"/>
  <c r="R13" i="8"/>
  <c r="X13" i="3" s="1"/>
  <c r="R5" i="8"/>
  <c r="R14" i="8"/>
  <c r="R18" i="8"/>
  <c r="R10" i="8"/>
  <c r="R7" i="8"/>
  <c r="R9" i="8"/>
  <c r="I25" i="8"/>
  <c r="I28" i="8" s="1"/>
  <c r="J25" i="8"/>
  <c r="J28" i="8" s="1"/>
  <c r="F25" i="8"/>
  <c r="F28" i="8" s="1"/>
  <c r="G25" i="8"/>
  <c r="G28" i="8" s="1"/>
  <c r="D3" i="8"/>
  <c r="H25" i="8"/>
  <c r="H28" i="8" s="1"/>
  <c r="D4" i="8"/>
  <c r="D13" i="8"/>
  <c r="T13" i="3" s="1"/>
  <c r="D14" i="8"/>
  <c r="D18" i="8"/>
  <c r="D10" i="8"/>
  <c r="D9" i="8"/>
  <c r="E25" i="8"/>
  <c r="E28" i="8" s="1"/>
  <c r="D20" i="8"/>
  <c r="D16" i="8"/>
  <c r="T16" i="3" s="1"/>
  <c r="D5" i="8"/>
  <c r="D23" i="8"/>
  <c r="T23" i="3" s="1"/>
  <c r="D2" i="8"/>
  <c r="T2" i="3" s="1"/>
  <c r="BR25" i="8"/>
  <c r="BR28" i="8" s="1"/>
  <c r="BQ25" i="8"/>
  <c r="BQ28" i="8" s="1"/>
  <c r="BP25" i="8"/>
  <c r="BP28" i="8" s="1"/>
  <c r="BO25" i="8"/>
  <c r="BO28" i="8" s="1"/>
  <c r="BN25" i="8"/>
  <c r="BN28" i="8" s="1"/>
  <c r="BL25" i="8"/>
  <c r="BL28" i="8" s="1"/>
  <c r="BK25" i="8"/>
  <c r="BK28" i="8" s="1"/>
  <c r="BJ25" i="8"/>
  <c r="BJ28" i="8" s="1"/>
  <c r="BI25" i="8"/>
  <c r="BI28" i="8" s="1"/>
  <c r="BH25" i="8"/>
  <c r="BH28" i="8" s="1"/>
  <c r="BG25" i="8"/>
  <c r="BG28" i="8" s="1"/>
  <c r="BE25" i="8"/>
  <c r="BE28" i="8" s="1"/>
  <c r="BD25" i="8"/>
  <c r="BD28" i="8" s="1"/>
  <c r="BC25" i="8"/>
  <c r="BC28" i="8" s="1"/>
  <c r="BB25" i="8"/>
  <c r="BB28" i="8" s="1"/>
  <c r="BA25" i="8"/>
  <c r="BA28" i="8" s="1"/>
  <c r="AZ25" i="8"/>
  <c r="AZ28" i="8" s="1"/>
  <c r="AY25" i="8"/>
  <c r="AY28" i="8" s="1"/>
  <c r="AX25" i="8"/>
  <c r="AX28" i="8" s="1"/>
  <c r="AW25" i="8"/>
  <c r="AW28" i="8" s="1"/>
  <c r="AV25" i="8"/>
  <c r="AV28" i="8" s="1"/>
  <c r="AU25" i="8"/>
  <c r="AU28" i="8" s="1"/>
  <c r="AT25" i="8"/>
  <c r="AT28" i="8" s="1"/>
  <c r="AR25" i="8"/>
  <c r="AR28" i="8" s="1"/>
  <c r="AQ25" i="8"/>
  <c r="AQ28" i="8" s="1"/>
  <c r="AP25" i="8"/>
  <c r="AP28" i="8" s="1"/>
  <c r="AO25" i="8"/>
  <c r="AO28" i="8" s="1"/>
  <c r="AN25" i="8"/>
  <c r="AN28" i="8" s="1"/>
  <c r="AM25" i="8"/>
  <c r="AM28" i="8" s="1"/>
  <c r="AK25" i="8"/>
  <c r="AK28" i="8" s="1"/>
  <c r="AD25" i="8"/>
  <c r="AD28" i="8" s="1"/>
  <c r="AC25" i="8"/>
  <c r="AC28" i="8" s="1"/>
  <c r="AB25" i="8"/>
  <c r="AB28" i="8" s="1"/>
  <c r="Y25" i="8"/>
  <c r="Y28" i="8" s="1"/>
  <c r="P25" i="8"/>
  <c r="P28" i="8" s="1"/>
  <c r="O25" i="8"/>
  <c r="O28" i="8" s="1"/>
  <c r="N25" i="8"/>
  <c r="N28" i="8" s="1"/>
  <c r="BF23" i="8"/>
  <c r="AB23" i="3" s="1"/>
  <c r="AF23" i="8"/>
  <c r="BF9" i="8"/>
  <c r="BF7" i="8"/>
  <c r="D7" i="8"/>
  <c r="BF11" i="8"/>
  <c r="AB11" i="3" s="1"/>
  <c r="R11" i="8"/>
  <c r="BF10" i="8"/>
  <c r="AB10" i="3" s="1"/>
  <c r="BF6" i="8"/>
  <c r="D6" i="8"/>
  <c r="T6" i="3" s="1"/>
  <c r="BF18" i="8"/>
  <c r="AB18" i="3" s="1"/>
  <c r="AS18" i="8"/>
  <c r="AS25" i="8" s="1"/>
  <c r="BF14" i="8"/>
  <c r="AB14" i="3" s="1"/>
  <c r="BF5" i="8"/>
  <c r="BF12" i="8"/>
  <c r="AB12" i="3" s="1"/>
  <c r="BF13" i="8"/>
  <c r="AB13" i="3" s="1"/>
  <c r="BF4" i="8"/>
  <c r="AB4" i="3" s="1"/>
  <c r="BF19" i="8"/>
  <c r="D19" i="8"/>
  <c r="BF21" i="8"/>
  <c r="BF16" i="8"/>
  <c r="AB16" i="3" s="1"/>
  <c r="BF20" i="8"/>
  <c r="AB20" i="3" s="1"/>
  <c r="R20" i="8"/>
  <c r="BF8" i="8"/>
  <c r="AB8" i="3" s="1"/>
  <c r="BF3" i="8"/>
  <c r="AB3" i="3" s="1"/>
  <c r="BF22" i="8"/>
  <c r="AB22" i="3" s="1"/>
  <c r="R22" i="8"/>
  <c r="X22" i="3" s="1"/>
  <c r="D22" i="8"/>
  <c r="T22" i="3" s="1"/>
  <c r="BF15" i="8"/>
  <c r="BF17" i="8"/>
  <c r="AB17" i="3" s="1"/>
  <c r="AA25" i="8"/>
  <c r="AA28" i="8" s="1"/>
  <c r="Z25" i="8"/>
  <c r="Z28" i="8" s="1"/>
  <c r="M25" i="8"/>
  <c r="M28" i="8" s="1"/>
  <c r="L25" i="8"/>
  <c r="L28" i="8" s="1"/>
  <c r="K25" i="8"/>
  <c r="K28" i="8" s="1"/>
  <c r="BF2" i="8"/>
  <c r="AB2" i="3" s="1"/>
  <c r="AF2" i="8"/>
  <c r="Z2" i="3" s="1"/>
  <c r="J27" i="2"/>
  <c r="AB5" i="3" l="1"/>
  <c r="T3" i="3"/>
  <c r="Z19" i="3"/>
  <c r="AB15" i="3"/>
  <c r="Z20" i="3"/>
  <c r="X7" i="3"/>
  <c r="Z8" i="3"/>
  <c r="X20" i="3"/>
  <c r="X11" i="3"/>
  <c r="AA6" i="3"/>
  <c r="AA26" i="3" s="1"/>
  <c r="T9" i="3"/>
  <c r="X14" i="3"/>
  <c r="X9" i="3"/>
  <c r="AB24" i="3"/>
  <c r="AB21" i="3"/>
  <c r="T10" i="3"/>
  <c r="Z6" i="3"/>
  <c r="X24" i="3"/>
  <c r="AC24" i="3" s="1"/>
  <c r="AD24" i="3" s="1"/>
  <c r="AB6" i="3"/>
  <c r="AB9" i="3"/>
  <c r="AB26" i="3" s="1"/>
  <c r="T18" i="3"/>
  <c r="Z18" i="3"/>
  <c r="AB19" i="3"/>
  <c r="T14" i="3"/>
  <c r="Z5" i="3"/>
  <c r="X19" i="3"/>
  <c r="T24" i="3"/>
  <c r="X16" i="3"/>
  <c r="X10" i="3"/>
  <c r="AC10" i="3" s="1"/>
  <c r="AD10" i="3" s="1"/>
  <c r="Z23" i="3"/>
  <c r="AA18" i="3"/>
  <c r="AC9" i="3"/>
  <c r="AD9" i="3"/>
  <c r="AC22" i="3"/>
  <c r="AD22" i="3" s="1"/>
  <c r="AC13" i="3"/>
  <c r="AD13" i="3" s="1"/>
  <c r="L2" i="3"/>
  <c r="L26" i="3" s="1"/>
  <c r="N26" i="3"/>
  <c r="P26" i="3"/>
  <c r="AF3" i="8"/>
  <c r="Z3" i="3" s="1"/>
  <c r="AF16" i="8"/>
  <c r="Z16" i="3" s="1"/>
  <c r="AC16" i="3" s="1"/>
  <c r="AD16" i="3" s="1"/>
  <c r="AF17" i="8"/>
  <c r="Z17" i="3" s="1"/>
  <c r="AG25" i="8"/>
  <c r="AG28" i="8" s="1"/>
  <c r="R12" i="8"/>
  <c r="X12" i="3" s="1"/>
  <c r="R21" i="8"/>
  <c r="X21" i="3" s="1"/>
  <c r="R2" i="8"/>
  <c r="X2" i="3" s="1"/>
  <c r="R23" i="8"/>
  <c r="X23" i="3" s="1"/>
  <c r="R3" i="8"/>
  <c r="R15" i="8"/>
  <c r="X15" i="3" s="1"/>
  <c r="R6" i="8"/>
  <c r="X6" i="3" s="1"/>
  <c r="X25" i="8"/>
  <c r="X28" i="8" s="1"/>
  <c r="V25" i="8"/>
  <c r="V28" i="8" s="1"/>
  <c r="W25" i="8"/>
  <c r="W28" i="8" s="1"/>
  <c r="S25" i="8"/>
  <c r="S28" i="8" s="1"/>
  <c r="D11" i="8"/>
  <c r="T11" i="3" s="1"/>
  <c r="AC11" i="3" s="1"/>
  <c r="AD11" i="3" s="1"/>
  <c r="D12" i="8"/>
  <c r="T12" i="3" s="1"/>
  <c r="D21" i="8"/>
  <c r="T21" i="3" s="1"/>
  <c r="D15" i="8"/>
  <c r="T15" i="3" s="1"/>
  <c r="D8" i="8"/>
  <c r="T8" i="3" s="1"/>
  <c r="R17" i="8"/>
  <c r="X17" i="3" s="1"/>
  <c r="AS28" i="8"/>
  <c r="BF25" i="8"/>
  <c r="BF28" i="8" s="1"/>
  <c r="BM25" i="8"/>
  <c r="BM28" i="8" s="1"/>
  <c r="D17" i="8"/>
  <c r="T20" i="3" l="1"/>
  <c r="AC20" i="3" s="1"/>
  <c r="AD20" i="3" s="1"/>
  <c r="X4" i="3"/>
  <c r="AC8" i="3"/>
  <c r="AD8" i="3" s="1"/>
  <c r="T7" i="3"/>
  <c r="AC7" i="3" s="1"/>
  <c r="AD7" i="3" s="1"/>
  <c r="X18" i="3"/>
  <c r="AC18" i="3" s="1"/>
  <c r="AD18" i="3" s="1"/>
  <c r="AC15" i="3"/>
  <c r="AD15" i="3" s="1"/>
  <c r="T4" i="3"/>
  <c r="AC4" i="3" s="1"/>
  <c r="AD4" i="3" s="1"/>
  <c r="X5" i="3"/>
  <c r="X3" i="3"/>
  <c r="AC3" i="3" s="1"/>
  <c r="AD3" i="3" s="1"/>
  <c r="Z14" i="3"/>
  <c r="AC14" i="3" s="1"/>
  <c r="AD14" i="3" s="1"/>
  <c r="T5" i="3"/>
  <c r="AC5" i="3" s="1"/>
  <c r="AD5" i="3" s="1"/>
  <c r="AC23" i="3"/>
  <c r="AD23" i="3" s="1"/>
  <c r="T19" i="3"/>
  <c r="AC19" i="3" s="1"/>
  <c r="AD19" i="3" s="1"/>
  <c r="Z26" i="3"/>
  <c r="AC21" i="3"/>
  <c r="AD21" i="3" s="1"/>
  <c r="AC12" i="3"/>
  <c r="AD12" i="3" s="1"/>
  <c r="D25" i="8"/>
  <c r="D28" i="8" s="1"/>
  <c r="T17" i="3"/>
  <c r="AF25" i="8"/>
  <c r="AF28" i="8" s="1"/>
  <c r="AC6" i="3"/>
  <c r="AD6" i="3" s="1"/>
  <c r="AC2" i="3"/>
  <c r="AD2" i="3" s="1"/>
  <c r="R25" i="8"/>
  <c r="R28" i="8" s="1"/>
  <c r="X26" i="3" l="1"/>
  <c r="AC17" i="3"/>
  <c r="AD17" i="3" s="1"/>
  <c r="T26" i="3"/>
  <c r="AD26" i="3"/>
  <c r="Z25" i="2"/>
  <c r="Z9" i="2"/>
  <c r="Z16" i="2"/>
  <c r="Z7" i="2"/>
  <c r="Z12" i="2"/>
  <c r="Z11" i="2"/>
  <c r="Z10" i="2"/>
  <c r="Z20" i="2"/>
  <c r="Z15" i="2"/>
  <c r="Z5" i="2"/>
  <c r="Z13" i="2"/>
  <c r="Z14" i="2"/>
  <c r="Z4" i="2"/>
  <c r="Z21" i="2"/>
  <c r="Z23" i="2"/>
  <c r="Z18" i="2"/>
  <c r="Z22" i="2"/>
  <c r="Z8" i="2"/>
  <c r="Z3" i="2"/>
  <c r="Z24" i="2"/>
  <c r="Z17" i="2"/>
  <c r="Z2" i="2"/>
  <c r="BF25" i="5"/>
  <c r="AB25" i="2" s="1"/>
  <c r="BF9" i="5"/>
  <c r="AB9" i="2" s="1"/>
  <c r="BF16" i="5"/>
  <c r="BF7" i="5"/>
  <c r="BF12" i="5"/>
  <c r="AB12" i="2" s="1"/>
  <c r="BF11" i="5"/>
  <c r="BF6" i="5"/>
  <c r="BF10" i="5"/>
  <c r="AB10" i="2" s="1"/>
  <c r="BF20" i="5"/>
  <c r="BF15" i="5"/>
  <c r="AB15" i="2" s="1"/>
  <c r="BF5" i="5"/>
  <c r="AB5" i="2" s="1"/>
  <c r="BF13" i="5"/>
  <c r="AB13" i="2" s="1"/>
  <c r="BF14" i="5"/>
  <c r="BF4" i="5"/>
  <c r="AB4" i="2" s="1"/>
  <c r="BF21" i="5"/>
  <c r="BF18" i="5"/>
  <c r="BF22" i="5"/>
  <c r="AB22" i="2" s="1"/>
  <c r="BF8" i="5"/>
  <c r="AB8" i="2" s="1"/>
  <c r="BF3" i="5"/>
  <c r="AB3" i="2" s="1"/>
  <c r="BF24" i="5"/>
  <c r="BF17" i="5"/>
  <c r="AB17" i="2" s="1"/>
  <c r="BF19" i="5"/>
  <c r="AB19" i="2" s="1"/>
  <c r="BF2" i="5"/>
  <c r="AB2" i="2" s="1"/>
  <c r="BM23" i="5"/>
  <c r="BF23" i="5" s="1"/>
  <c r="AB23" i="2" s="1"/>
  <c r="AB24" i="2" l="1"/>
  <c r="AB7" i="2"/>
  <c r="AB16" i="2"/>
  <c r="AB18" i="2"/>
  <c r="AB21" i="2"/>
  <c r="AB11" i="2"/>
  <c r="AB14" i="2"/>
  <c r="AB20" i="2"/>
  <c r="AB6" i="2"/>
  <c r="AC26" i="3"/>
  <c r="BF26" i="5"/>
  <c r="AO19" i="5"/>
  <c r="AN19" i="5"/>
  <c r="AM19" i="5"/>
  <c r="AF19" i="5" s="1"/>
  <c r="AA19" i="5"/>
  <c r="Z19" i="5"/>
  <c r="Y19" i="5"/>
  <c r="X19" i="5"/>
  <c r="W19" i="5"/>
  <c r="V19" i="5"/>
  <c r="M19" i="5"/>
  <c r="L19" i="5"/>
  <c r="K19" i="5"/>
  <c r="J19" i="5"/>
  <c r="I19" i="5"/>
  <c r="H19" i="5"/>
  <c r="BG26" i="5"/>
  <c r="BG29" i="5" s="1"/>
  <c r="BH26" i="5"/>
  <c r="BH29" i="5" s="1"/>
  <c r="BI26" i="5"/>
  <c r="BI29" i="5" s="1"/>
  <c r="BJ26" i="5"/>
  <c r="BJ29" i="5" s="1"/>
  <c r="BK26" i="5"/>
  <c r="BK29" i="5" s="1"/>
  <c r="BL26" i="5"/>
  <c r="BL29" i="5" s="1"/>
  <c r="BM26" i="5"/>
  <c r="BM29" i="5" s="1"/>
  <c r="BN26" i="5"/>
  <c r="BN29" i="5" s="1"/>
  <c r="BO26" i="5"/>
  <c r="BO29" i="5" s="1"/>
  <c r="BP26" i="5"/>
  <c r="BP29" i="5" s="1"/>
  <c r="BQ26" i="5"/>
  <c r="BQ29" i="5" s="1"/>
  <c r="BR26" i="5"/>
  <c r="BR29" i="5" s="1"/>
  <c r="AS25" i="5"/>
  <c r="AA25" i="2" s="1"/>
  <c r="AS22" i="5"/>
  <c r="AV26" i="5"/>
  <c r="AV29" i="5" s="1"/>
  <c r="BE28" i="5"/>
  <c r="BD28" i="5"/>
  <c r="BC28" i="5"/>
  <c r="BB28" i="5"/>
  <c r="BA28" i="5"/>
  <c r="AZ28" i="5"/>
  <c r="AY28" i="5"/>
  <c r="AX28" i="5"/>
  <c r="AW28" i="5"/>
  <c r="AU28" i="5"/>
  <c r="AV28" i="5"/>
  <c r="AT28" i="5"/>
  <c r="AS28" i="5"/>
  <c r="AS20" i="5"/>
  <c r="AL28" i="5"/>
  <c r="AK28" i="5"/>
  <c r="AH28" i="5"/>
  <c r="AI28" i="5"/>
  <c r="AJ28" i="5"/>
  <c r="AG28" i="5"/>
  <c r="AD28" i="5"/>
  <c r="AC28" i="5"/>
  <c r="AB28" i="5"/>
  <c r="AA28" i="5"/>
  <c r="Z28" i="5"/>
  <c r="Y28" i="5"/>
  <c r="X28" i="5"/>
  <c r="W28" i="5"/>
  <c r="T28" i="5"/>
  <c r="U28" i="5"/>
  <c r="V28" i="5"/>
  <c r="S28" i="5"/>
  <c r="R28" i="5"/>
  <c r="P28" i="5"/>
  <c r="O28" i="5"/>
  <c r="N28" i="5"/>
  <c r="M28" i="5"/>
  <c r="L28" i="5"/>
  <c r="K28" i="5"/>
  <c r="J28" i="5"/>
  <c r="I28" i="5"/>
  <c r="F28" i="5"/>
  <c r="G28" i="5"/>
  <c r="H28" i="5"/>
  <c r="E28" i="5"/>
  <c r="D28" i="5"/>
  <c r="AF26" i="5" l="1"/>
  <c r="Z6" i="2"/>
  <c r="AF28" i="5"/>
  <c r="AF29" i="5" s="1"/>
  <c r="Z19" i="2"/>
  <c r="AU26" i="5"/>
  <c r="AU29" i="5" s="1"/>
  <c r="AT26" i="5"/>
  <c r="AT29" i="5" s="1"/>
  <c r="AY26" i="5"/>
  <c r="AY29" i="5" s="1"/>
  <c r="AX26" i="5"/>
  <c r="AW26" i="5"/>
  <c r="AW29" i="5" s="1"/>
  <c r="BF29" i="5"/>
  <c r="AS23" i="5"/>
  <c r="AA23" i="2" s="1"/>
  <c r="BE26" i="5"/>
  <c r="BE29" i="5" s="1"/>
  <c r="BC26" i="5"/>
  <c r="BC29" i="5" s="1"/>
  <c r="BD26" i="5"/>
  <c r="BD29" i="5" s="1"/>
  <c r="BB26" i="5"/>
  <c r="BB29" i="5" s="1"/>
  <c r="BA26" i="5"/>
  <c r="BA29" i="5" s="1"/>
  <c r="AZ26" i="5"/>
  <c r="AZ29" i="5" s="1"/>
  <c r="T26" i="5"/>
  <c r="T29" i="5" s="1"/>
  <c r="AA26" i="5"/>
  <c r="AA29" i="5" s="1"/>
  <c r="AQ26" i="5"/>
  <c r="AQ29" i="5" s="1"/>
  <c r="X26" i="5"/>
  <c r="X29" i="5" s="1"/>
  <c r="AD26" i="5"/>
  <c r="AD29" i="5" s="1"/>
  <c r="AP26" i="5"/>
  <c r="AP29" i="5" s="1"/>
  <c r="Y26" i="5"/>
  <c r="Y29" i="5" s="1"/>
  <c r="U26" i="5"/>
  <c r="U29" i="5" s="1"/>
  <c r="W26" i="5"/>
  <c r="W29" i="5" s="1"/>
  <c r="AC26" i="5"/>
  <c r="AC29" i="5" s="1"/>
  <c r="Z26" i="5"/>
  <c r="Z29" i="5" s="1"/>
  <c r="V26" i="5"/>
  <c r="V29" i="5" s="1"/>
  <c r="AB26" i="5"/>
  <c r="AB29" i="5" s="1"/>
  <c r="AK26" i="5"/>
  <c r="AK29" i="5" s="1"/>
  <c r="AS24" i="5"/>
  <c r="AH26" i="5"/>
  <c r="AH29" i="5" s="1"/>
  <c r="AJ26" i="5"/>
  <c r="AJ29" i="5" s="1"/>
  <c r="AR26" i="5"/>
  <c r="AR29" i="5" s="1"/>
  <c r="AS14" i="5"/>
  <c r="AI26" i="5"/>
  <c r="AI29" i="5" s="1"/>
  <c r="AS3" i="5"/>
  <c r="AS18" i="5"/>
  <c r="AA18" i="2" s="1"/>
  <c r="AS2" i="5"/>
  <c r="AA2" i="2" s="1"/>
  <c r="AS16" i="5"/>
  <c r="AX29" i="5"/>
  <c r="AS12" i="5"/>
  <c r="AA12" i="2" s="1"/>
  <c r="AS11" i="5"/>
  <c r="AA11" i="2" s="1"/>
  <c r="AS6" i="5"/>
  <c r="AA6" i="2" s="1"/>
  <c r="AS13" i="5"/>
  <c r="AA13" i="2" s="1"/>
  <c r="AS21" i="5"/>
  <c r="AS19" i="5"/>
  <c r="AS7" i="5"/>
  <c r="AA7" i="2" s="1"/>
  <c r="AS17" i="5"/>
  <c r="AA17" i="2" s="1"/>
  <c r="AS4" i="5"/>
  <c r="AS5" i="5"/>
  <c r="AA5" i="2" s="1"/>
  <c r="AS9" i="5"/>
  <c r="AA9" i="2" s="1"/>
  <c r="AS8" i="5"/>
  <c r="AA8" i="2" s="1"/>
  <c r="AS10" i="5"/>
  <c r="AS15" i="5"/>
  <c r="AA15" i="2" s="1"/>
  <c r="AO26" i="5"/>
  <c r="AO29" i="5" s="1"/>
  <c r="AN26" i="5"/>
  <c r="AN29" i="5" s="1"/>
  <c r="AM26" i="5"/>
  <c r="AM29" i="5" s="1"/>
  <c r="AL26" i="5"/>
  <c r="AL29" i="5" s="1"/>
  <c r="AG26" i="5"/>
  <c r="AG29" i="5" s="1"/>
  <c r="S26" i="5"/>
  <c r="S29" i="5" s="1"/>
  <c r="AA3" i="2" l="1"/>
  <c r="AA4" i="2"/>
  <c r="AA14" i="2"/>
  <c r="AA20" i="2"/>
  <c r="AA16" i="2"/>
  <c r="AA10" i="2"/>
  <c r="AA19" i="2"/>
  <c r="AA24" i="2"/>
  <c r="AA21" i="2"/>
  <c r="AA22" i="2"/>
  <c r="AS26" i="5"/>
  <c r="AS29" i="5" s="1"/>
  <c r="R19" i="5" l="1"/>
  <c r="R17" i="5"/>
  <c r="R24" i="5"/>
  <c r="R3" i="5"/>
  <c r="X3" i="2" s="1"/>
  <c r="R8" i="5"/>
  <c r="X8" i="2" s="1"/>
  <c r="R22" i="5"/>
  <c r="X22" i="2" s="1"/>
  <c r="R18" i="5"/>
  <c r="X18" i="2" s="1"/>
  <c r="R23" i="5"/>
  <c r="X23" i="2" s="1"/>
  <c r="R21" i="5"/>
  <c r="X21" i="2" s="1"/>
  <c r="R4" i="5"/>
  <c r="X4" i="2" s="1"/>
  <c r="R14" i="5"/>
  <c r="R13" i="5"/>
  <c r="X13" i="2" s="1"/>
  <c r="R5" i="5"/>
  <c r="X5" i="2" s="1"/>
  <c r="R15" i="5"/>
  <c r="X15" i="2" s="1"/>
  <c r="R20" i="5"/>
  <c r="X20" i="2" s="1"/>
  <c r="R10" i="5"/>
  <c r="X10" i="2" s="1"/>
  <c r="R6" i="5"/>
  <c r="X6" i="2" s="1"/>
  <c r="R11" i="5"/>
  <c r="R12" i="5"/>
  <c r="R7" i="5"/>
  <c r="R16" i="5"/>
  <c r="X16" i="2" s="1"/>
  <c r="R9" i="5"/>
  <c r="X9" i="2" s="1"/>
  <c r="R25" i="5"/>
  <c r="X25" i="2" s="1"/>
  <c r="R2" i="5"/>
  <c r="X2" i="2" s="1"/>
  <c r="X14" i="2" l="1"/>
  <c r="X11" i="2"/>
  <c r="X7" i="2"/>
  <c r="X12" i="2"/>
  <c r="X24" i="2"/>
  <c r="X17" i="2"/>
  <c r="X19" i="2"/>
  <c r="R26" i="5"/>
  <c r="R29" i="5" s="1"/>
  <c r="D19" i="5" l="1"/>
  <c r="D15" i="5"/>
  <c r="D25" i="5" l="1"/>
  <c r="T25" i="2" s="1"/>
  <c r="AC25" i="2" s="1"/>
  <c r="D22" i="5"/>
  <c r="T22" i="2" s="1"/>
  <c r="AC22" i="2" s="1"/>
  <c r="O26" i="5"/>
  <c r="O29" i="5" s="1"/>
  <c r="D9" i="5"/>
  <c r="D10" i="5"/>
  <c r="D23" i="5"/>
  <c r="T23" i="2" s="1"/>
  <c r="AC23" i="2" s="1"/>
  <c r="D16" i="5"/>
  <c r="D4" i="5"/>
  <c r="T4" i="2" s="1"/>
  <c r="AC4" i="2" s="1"/>
  <c r="D17" i="5"/>
  <c r="T17" i="2" s="1"/>
  <c r="AC17" i="2" s="1"/>
  <c r="N26" i="5"/>
  <c r="N29" i="5" s="1"/>
  <c r="D21" i="5"/>
  <c r="T21" i="2" s="1"/>
  <c r="AC21" i="2" s="1"/>
  <c r="D11" i="5"/>
  <c r="T11" i="2" s="1"/>
  <c r="AC11" i="2" s="1"/>
  <c r="H26" i="5"/>
  <c r="H29" i="5" s="1"/>
  <c r="D7" i="5"/>
  <c r="F26" i="5"/>
  <c r="F29" i="5" s="1"/>
  <c r="D6" i="5"/>
  <c r="T6" i="2" s="1"/>
  <c r="AC6" i="2" s="1"/>
  <c r="D20" i="5"/>
  <c r="D8" i="5"/>
  <c r="T8" i="2" s="1"/>
  <c r="AC8" i="2" s="1"/>
  <c r="D3" i="5"/>
  <c r="T3" i="2" s="1"/>
  <c r="AC3" i="2" s="1"/>
  <c r="E26" i="5"/>
  <c r="E29" i="5" s="1"/>
  <c r="K26" i="5"/>
  <c r="K29" i="5" s="1"/>
  <c r="D5" i="5"/>
  <c r="T5" i="2" s="1"/>
  <c r="AC5" i="2" s="1"/>
  <c r="D14" i="5"/>
  <c r="T14" i="2" s="1"/>
  <c r="AC14" i="2" s="1"/>
  <c r="AD14" i="2" s="1"/>
  <c r="D18" i="5"/>
  <c r="T18" i="2" s="1"/>
  <c r="AC18" i="2" s="1"/>
  <c r="D24" i="5"/>
  <c r="T24" i="2" s="1"/>
  <c r="AC24" i="2" s="1"/>
  <c r="I26" i="5"/>
  <c r="I29" i="5" s="1"/>
  <c r="G26" i="5"/>
  <c r="G29" i="5" s="1"/>
  <c r="M26" i="5"/>
  <c r="M29" i="5" s="1"/>
  <c r="D12" i="5"/>
  <c r="D2" i="5"/>
  <c r="T2" i="2" s="1"/>
  <c r="AC2" i="2" s="1"/>
  <c r="L26" i="5"/>
  <c r="L29" i="5" s="1"/>
  <c r="J26" i="5"/>
  <c r="J29" i="5" s="1"/>
  <c r="P26" i="5"/>
  <c r="P29" i="5" s="1"/>
  <c r="D13" i="5"/>
  <c r="T7" i="2" l="1"/>
  <c r="AC7" i="2" s="1"/>
  <c r="AD7" i="2" s="1"/>
  <c r="T12" i="2"/>
  <c r="AC12" i="2" s="1"/>
  <c r="T9" i="2"/>
  <c r="AC9" i="2" s="1"/>
  <c r="T16" i="2"/>
  <c r="AC16" i="2" s="1"/>
  <c r="T10" i="2"/>
  <c r="AC10" i="2" s="1"/>
  <c r="T13" i="2"/>
  <c r="AC13" i="2" s="1"/>
  <c r="T19" i="2"/>
  <c r="AC19" i="2" s="1"/>
  <c r="T20" i="2"/>
  <c r="AC20" i="2" s="1"/>
  <c r="AD20" i="2" s="1"/>
  <c r="T15" i="2"/>
  <c r="AC15" i="2" s="1"/>
  <c r="D26" i="5"/>
  <c r="D29" i="5" s="1"/>
  <c r="O15" i="3" l="1"/>
  <c r="O22" i="3"/>
  <c r="O3" i="3"/>
  <c r="O8" i="3"/>
  <c r="O20" i="3"/>
  <c r="O16" i="3"/>
  <c r="O21" i="3"/>
  <c r="O19" i="3"/>
  <c r="O4" i="3"/>
  <c r="O13" i="3"/>
  <c r="O12" i="3"/>
  <c r="O5" i="3"/>
  <c r="O14" i="3"/>
  <c r="O18" i="3"/>
  <c r="O6" i="3"/>
  <c r="O10" i="3"/>
  <c r="O11" i="3"/>
  <c r="O7" i="3"/>
  <c r="O24" i="3"/>
  <c r="O9" i="3"/>
  <c r="O23" i="3"/>
  <c r="N27" i="2"/>
  <c r="L2" i="2"/>
  <c r="L4" i="2"/>
  <c r="AD4" i="2" s="1"/>
  <c r="L13" i="2"/>
  <c r="AD13" i="2" s="1"/>
  <c r="L6" i="2"/>
  <c r="AD6" i="2" s="1"/>
  <c r="L12" i="2"/>
  <c r="AD12" i="2" s="1"/>
  <c r="O2" i="2" l="1"/>
  <c r="AD2" i="2"/>
  <c r="I2" i="2"/>
  <c r="O14" i="2" l="1"/>
  <c r="O13" i="2"/>
  <c r="O20" i="2"/>
  <c r="O6" i="2"/>
  <c r="O12" i="2"/>
  <c r="O7" i="2"/>
  <c r="L25" i="2"/>
  <c r="L9" i="2"/>
  <c r="L16" i="2"/>
  <c r="L11" i="2"/>
  <c r="AD11" i="2" s="1"/>
  <c r="L10" i="2"/>
  <c r="AD10" i="2" s="1"/>
  <c r="L15" i="2"/>
  <c r="L5" i="2"/>
  <c r="O4" i="2"/>
  <c r="L21" i="2"/>
  <c r="L23" i="2"/>
  <c r="L18" i="2"/>
  <c r="L22" i="2"/>
  <c r="L8" i="2"/>
  <c r="L3" i="2"/>
  <c r="L24" i="2"/>
  <c r="L17" i="2"/>
  <c r="AD17" i="2" s="1"/>
  <c r="L19" i="2"/>
  <c r="K27" i="2"/>
  <c r="M27" i="2"/>
  <c r="P27" i="2"/>
  <c r="Q27" i="2"/>
  <c r="R27" i="2"/>
  <c r="V27" i="2"/>
  <c r="O16" i="2" l="1"/>
  <c r="AD16" i="2"/>
  <c r="O9" i="2"/>
  <c r="AD9" i="2"/>
  <c r="O11" i="2"/>
  <c r="O22" i="2"/>
  <c r="AD22" i="2"/>
  <c r="O18" i="2"/>
  <c r="AD18" i="2"/>
  <c r="O17" i="2"/>
  <c r="O15" i="2"/>
  <c r="AD15" i="2"/>
  <c r="O19" i="2"/>
  <c r="I19" i="2"/>
  <c r="AD19" i="2"/>
  <c r="O25" i="2"/>
  <c r="O27" i="2" s="1"/>
  <c r="AD25" i="2"/>
  <c r="O24" i="2"/>
  <c r="AD24" i="2"/>
  <c r="O3" i="2"/>
  <c r="AD3" i="2"/>
  <c r="O8" i="2"/>
  <c r="AD8" i="2"/>
  <c r="O10" i="2"/>
  <c r="O23" i="2"/>
  <c r="AD23" i="2"/>
  <c r="O21" i="2"/>
  <c r="AD21" i="2"/>
  <c r="O5" i="2"/>
  <c r="AD5" i="2"/>
  <c r="L27" i="2"/>
  <c r="I22" i="2"/>
  <c r="I23" i="3"/>
  <c r="I9" i="3"/>
  <c r="I11" i="3"/>
  <c r="I10" i="3"/>
  <c r="I6" i="3"/>
  <c r="I18" i="3"/>
  <c r="I14" i="3"/>
  <c r="I5" i="3"/>
  <c r="I4" i="3"/>
  <c r="I19" i="3"/>
  <c r="I21" i="3"/>
  <c r="I16" i="3"/>
  <c r="I20" i="3"/>
  <c r="I8" i="3"/>
  <c r="I3" i="3"/>
  <c r="I22" i="3"/>
  <c r="I15" i="3"/>
  <c r="I17" i="3"/>
  <c r="I25" i="2"/>
  <c r="I9" i="2"/>
  <c r="I16" i="2"/>
  <c r="I12" i="2"/>
  <c r="I11" i="2"/>
  <c r="I6" i="2"/>
  <c r="I10" i="2"/>
  <c r="I20" i="2"/>
  <c r="I15" i="2"/>
  <c r="I5" i="2"/>
  <c r="I4" i="2"/>
  <c r="I21" i="2"/>
  <c r="I23" i="2"/>
  <c r="I18" i="2"/>
  <c r="I8" i="2"/>
  <c r="I3" i="2"/>
  <c r="I24" i="2"/>
  <c r="I17" i="2"/>
  <c r="I2" i="3" l="1"/>
  <c r="O2" i="3"/>
  <c r="O26" i="3" s="1"/>
  <c r="AA27" i="2"/>
  <c r="AB27" i="2"/>
  <c r="T27" i="2"/>
  <c r="X27" i="2"/>
  <c r="Z27" i="2"/>
  <c r="AD27" i="2" l="1"/>
  <c r="AC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Lacey Cunningham</author>
  </authors>
  <commentList>
    <comment ref="H24" authorId="0" shapeId="0" xr:uid="{8D68EE47-D6CA-44E6-9F10-77DFB6891ABC}">
      <text>
        <r>
          <rPr>
            <b/>
            <sz val="9"/>
            <color indexed="81"/>
            <rFont val="Tahoma"/>
            <family val="2"/>
          </rPr>
          <t>Lacey Cunningham:</t>
        </r>
        <r>
          <rPr>
            <sz val="9"/>
            <color indexed="81"/>
            <rFont val="Tahoma"/>
            <family val="2"/>
          </rPr>
          <t xml:space="preserve">
Pay Increase eff 9/5/22 for on-call status</t>
        </r>
      </text>
    </comment>
  </commentList>
</comments>
</file>

<file path=xl/sharedStrings.xml><?xml version="1.0" encoding="utf-8"?>
<sst xmlns="http://schemas.openxmlformats.org/spreadsheetml/2006/main" count="601" uniqueCount="87">
  <si>
    <r>
      <t xml:space="preserve">Hire Date </t>
    </r>
    <r>
      <rPr>
        <sz val="11"/>
        <color theme="1"/>
        <rFont val="Calibri"/>
        <family val="2"/>
        <scheme val="minor"/>
      </rPr>
      <t xml:space="preserve">
(M/D/Y)</t>
    </r>
  </si>
  <si>
    <t>Medical Coverage</t>
  </si>
  <si>
    <t>Health Insurance Premium</t>
  </si>
  <si>
    <t>Health Savings Acct Coverage</t>
  </si>
  <si>
    <t>Health Savings Account</t>
  </si>
  <si>
    <t>Dental Coverage</t>
  </si>
  <si>
    <t>Dental</t>
  </si>
  <si>
    <t>Vision Coverage</t>
  </si>
  <si>
    <t>Vision</t>
  </si>
  <si>
    <t>Life</t>
  </si>
  <si>
    <t>Long Term Disability</t>
  </si>
  <si>
    <t>Total Annual Compensation</t>
  </si>
  <si>
    <t>H</t>
  </si>
  <si>
    <t>Emp &amp; Family</t>
  </si>
  <si>
    <t>Family</t>
  </si>
  <si>
    <t>Emp &amp; Child</t>
  </si>
  <si>
    <t>Employee</t>
  </si>
  <si>
    <t>Individual</t>
  </si>
  <si>
    <t>Emp &amp; Spouse</t>
  </si>
  <si>
    <t>A</t>
  </si>
  <si>
    <t>Employee (KRS)</t>
  </si>
  <si>
    <t>Not Eligible</t>
  </si>
  <si>
    <r>
      <t xml:space="preserve">Term Date </t>
    </r>
    <r>
      <rPr>
        <sz val="10"/>
        <rFont val="Arial"/>
        <family val="2"/>
      </rPr>
      <t>(M/D/Y)</t>
    </r>
  </si>
  <si>
    <t>Water Plant Operator</t>
  </si>
  <si>
    <t>Utility Services Worker</t>
  </si>
  <si>
    <t>Building &amp; Grounds Maintenance Worker</t>
  </si>
  <si>
    <t>Distribution Operator</t>
  </si>
  <si>
    <t>Field Operations Supervisor</t>
  </si>
  <si>
    <t>Executive Administrator</t>
  </si>
  <si>
    <t>Maintenance Technician</t>
  </si>
  <si>
    <t>Field Operations Crew Leader</t>
  </si>
  <si>
    <t>Finance &amp; Administrative Manager</t>
  </si>
  <si>
    <t>Operations Manager</t>
  </si>
  <si>
    <t>Finance &amp; Administrative Assistant</t>
  </si>
  <si>
    <t>Office Administrator</t>
  </si>
  <si>
    <t>Facilities Maintenance Supervisor</t>
  </si>
  <si>
    <t>GIS Specialist</t>
  </si>
  <si>
    <t>Chief Executive Officer</t>
  </si>
  <si>
    <t>Engineering Manager</t>
  </si>
  <si>
    <t>Meter Operations Supervisor</t>
  </si>
  <si>
    <t>Reg Hrs Worked</t>
  </si>
  <si>
    <t>OT Hrs Worked</t>
  </si>
  <si>
    <t>OT Paid</t>
  </si>
  <si>
    <t>Regular Wages Paid</t>
  </si>
  <si>
    <t>Total Annual Cash Wages</t>
  </si>
  <si>
    <t>Total Benefits</t>
  </si>
  <si>
    <t>Average Pay Rate</t>
  </si>
  <si>
    <t>Pay Rate before Anniversary Date</t>
  </si>
  <si>
    <t>Pay Rate after Anniversary Date</t>
  </si>
  <si>
    <t>Leave Benefit Pay out</t>
  </si>
  <si>
    <t>Retirement KPPA:CERS Retirement Employer</t>
  </si>
  <si>
    <t>Retirement ER Deferred Compensation Match</t>
  </si>
  <si>
    <t>Employee #</t>
  </si>
  <si>
    <t>0001</t>
  </si>
  <si>
    <t>0049</t>
  </si>
  <si>
    <t>0046</t>
  </si>
  <si>
    <t>0057</t>
  </si>
  <si>
    <t>0002</t>
  </si>
  <si>
    <t>0024</t>
  </si>
  <si>
    <t>0055</t>
  </si>
  <si>
    <t>0047</t>
  </si>
  <si>
    <t>0056</t>
  </si>
  <si>
    <t>0053</t>
  </si>
  <si>
    <t>0005</t>
  </si>
  <si>
    <t>0039</t>
  </si>
  <si>
    <t>0034</t>
  </si>
  <si>
    <t>0008</t>
  </si>
  <si>
    <t>0042</t>
  </si>
  <si>
    <t>0050</t>
  </si>
  <si>
    <t>0012</t>
  </si>
  <si>
    <t>0032</t>
  </si>
  <si>
    <t>0033</t>
  </si>
  <si>
    <t>0016</t>
  </si>
  <si>
    <t>0026</t>
  </si>
  <si>
    <t>0058</t>
  </si>
  <si>
    <t>0028</t>
  </si>
  <si>
    <t>0045</t>
  </si>
  <si>
    <t>0059</t>
  </si>
  <si>
    <t>Should be totals</t>
  </si>
  <si>
    <t>FAM /Emp &amp; Child</t>
  </si>
  <si>
    <t>FAM/Emp &amp; Child</t>
  </si>
  <si>
    <t>TOTALS</t>
  </si>
  <si>
    <t>FICA Employer Contributions/Unemployment</t>
  </si>
  <si>
    <t>Title</t>
  </si>
  <si>
    <t>Customer Service Representative</t>
  </si>
  <si>
    <t>Adjustments on Invoice</t>
  </si>
  <si>
    <r>
      <t>Pay Code</t>
    </r>
    <r>
      <rPr>
        <sz val="8"/>
        <color theme="1"/>
        <rFont val="Calibri"/>
        <family val="2"/>
        <scheme val="minor"/>
      </rPr>
      <t xml:space="preserve">
A = Annual
H = Hour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</si>
</sst>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.5"/>
      <color indexed="8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.5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0" fontId="1" fillId="0" borderId="0" xfId="0" applyFont="1"/>
    <xf numFmtId="43" fontId="4" fillId="0" borderId="0" xfId="1" applyFont="1" applyAlignment="1">
      <alignment horizontal="left" vertical="top"/>
    </xf>
    <xf numFmtId="0" fontId="6" fillId="0" borderId="0" xfId="0" applyFont="1" applyAlignment="1">
      <alignment horizontal="center"/>
    </xf>
    <xf numFmtId="44" fontId="1" fillId="0" borderId="0" xfId="2" applyFont="1" applyFill="1"/>
    <xf numFmtId="164" fontId="1" fillId="0" borderId="0" xfId="0" applyNumberFormat="1" applyFont="1"/>
    <xf numFmtId="44" fontId="1" fillId="0" borderId="0" xfId="0" applyNumberFormat="1" applyFont="1"/>
    <xf numFmtId="164" fontId="0" fillId="0" borderId="0" xfId="0" applyNumberFormat="1"/>
    <xf numFmtId="44" fontId="0" fillId="0" borderId="0" xfId="0" applyNumberFormat="1"/>
    <xf numFmtId="164" fontId="1" fillId="0" borderId="0" xfId="2" applyNumberFormat="1" applyFont="1" applyFill="1"/>
    <xf numFmtId="43" fontId="6" fillId="0" borderId="0" xfId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165" fontId="1" fillId="0" borderId="0" xfId="0" applyNumberFormat="1" applyFont="1"/>
    <xf numFmtId="166" fontId="1" fillId="0" borderId="0" xfId="2" applyNumberFormat="1" applyFont="1" applyFill="1"/>
    <xf numFmtId="44" fontId="1" fillId="0" borderId="0" xfId="2" applyFont="1"/>
    <xf numFmtId="44" fontId="0" fillId="0" borderId="0" xfId="2" applyFont="1"/>
    <xf numFmtId="44" fontId="0" fillId="0" borderId="0" xfId="2" applyFont="1" applyFill="1"/>
    <xf numFmtId="44" fontId="1" fillId="2" borderId="0" xfId="0" applyNumberFormat="1" applyFont="1" applyFill="1"/>
    <xf numFmtId="44" fontId="1" fillId="2" borderId="0" xfId="2" applyFont="1" applyFill="1"/>
    <xf numFmtId="44" fontId="0" fillId="2" borderId="0" xfId="2" applyFont="1" applyFill="1"/>
    <xf numFmtId="167" fontId="2" fillId="0" borderId="0" xfId="0" applyNumberFormat="1" applyFont="1" applyAlignment="1">
      <alignment horizontal="center" vertical="center" wrapText="1"/>
    </xf>
    <xf numFmtId="0" fontId="9" fillId="0" borderId="0" xfId="0" applyFont="1"/>
    <xf numFmtId="43" fontId="10" fillId="0" borderId="0" xfId="1" applyFont="1" applyAlignment="1">
      <alignment horizontal="left" vertical="top"/>
    </xf>
    <xf numFmtId="165" fontId="2" fillId="0" borderId="0" xfId="1" applyNumberFormat="1" applyFont="1" applyAlignment="1">
      <alignment horizontal="center"/>
    </xf>
    <xf numFmtId="164" fontId="9" fillId="0" borderId="0" xfId="2" applyNumberFormat="1" applyFont="1" applyFill="1"/>
    <xf numFmtId="164" fontId="9" fillId="0" borderId="0" xfId="0" applyNumberFormat="1" applyFont="1"/>
    <xf numFmtId="44" fontId="9" fillId="0" borderId="0" xfId="0" applyNumberFormat="1" applyFont="1"/>
    <xf numFmtId="44" fontId="1" fillId="4" borderId="0" xfId="0" applyNumberFormat="1" applyFont="1" applyFill="1"/>
    <xf numFmtId="44" fontId="1" fillId="4" borderId="0" xfId="2" applyFont="1" applyFill="1"/>
    <xf numFmtId="44" fontId="0" fillId="4" borderId="0" xfId="2" applyFont="1" applyFill="1"/>
    <xf numFmtId="44" fontId="9" fillId="0" borderId="0" xfId="2" applyFont="1"/>
    <xf numFmtId="164" fontId="9" fillId="0" borderId="0" xfId="2" applyNumberFormat="1" applyFont="1"/>
    <xf numFmtId="165" fontId="9" fillId="0" borderId="0" xfId="0" applyNumberFormat="1" applyFont="1"/>
    <xf numFmtId="44" fontId="2" fillId="0" borderId="0" xfId="2" applyFont="1" applyFill="1" applyAlignment="1">
      <alignment horizontal="center" vertical="center" wrapText="1"/>
    </xf>
    <xf numFmtId="165" fontId="6" fillId="0" borderId="0" xfId="1" applyNumberFormat="1" applyFont="1" applyFill="1" applyAlignment="1">
      <alignment horizontal="center"/>
    </xf>
    <xf numFmtId="44" fontId="1" fillId="3" borderId="0" xfId="0" applyNumberFormat="1" applyFont="1" applyFill="1"/>
    <xf numFmtId="44" fontId="9" fillId="3" borderId="0" xfId="0" applyNumberFormat="1" applyFont="1" applyFill="1"/>
    <xf numFmtId="44" fontId="11" fillId="3" borderId="0" xfId="0" applyNumberFormat="1" applyFont="1" applyFill="1"/>
    <xf numFmtId="0" fontId="11" fillId="0" borderId="0" xfId="0" applyFont="1"/>
    <xf numFmtId="44" fontId="11" fillId="0" borderId="0" xfId="0" applyNumberFormat="1" applyFont="1"/>
    <xf numFmtId="14" fontId="5" fillId="0" borderId="0" xfId="0" applyNumberFormat="1" applyFont="1"/>
    <xf numFmtId="43" fontId="4" fillId="0" borderId="0" xfId="1" quotePrefix="1" applyFont="1" applyAlignment="1">
      <alignment horizontal="center" vertical="top"/>
    </xf>
    <xf numFmtId="43" fontId="4" fillId="0" borderId="0" xfId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4" fillId="0" borderId="0" xfId="1" quotePrefix="1" applyFont="1" applyFill="1" applyAlignment="1">
      <alignment horizontal="center" vertical="top"/>
    </xf>
    <xf numFmtId="0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AC22-00F4-46B7-A427-766E49C15977}">
  <dimension ref="A1:AE27"/>
  <sheetViews>
    <sheetView tabSelected="1" workbookViewId="0">
      <pane xSplit="1" ySplit="1" topLeftCell="B2" activePane="bottomRight" state="frozen"/>
      <selection activeCell="H13" sqref="H13"/>
      <selection pane="topRight" activeCell="H13" sqref="H13"/>
      <selection pane="bottomLeft" activeCell="H13" sqref="H13"/>
      <selection pane="bottomRight" activeCell="B1" sqref="B1"/>
    </sheetView>
  </sheetViews>
  <sheetFormatPr defaultColWidth="9.109375" defaultRowHeight="14.4" x14ac:dyDescent="0.3"/>
  <cols>
    <col min="1" max="1" width="3" style="3" bestFit="1" customWidth="1"/>
    <col min="2" max="2" width="11" style="47" bestFit="1" customWidth="1"/>
    <col min="3" max="3" width="31" style="3" bestFit="1" customWidth="1"/>
    <col min="4" max="5" width="10.5546875" style="3" bestFit="1" customWidth="1"/>
    <col min="6" max="6" width="8.6640625" style="3" customWidth="1"/>
    <col min="7" max="7" width="12.33203125" style="3" customWidth="1"/>
    <col min="8" max="8" width="12.44140625" style="3" customWidth="1"/>
    <col min="9" max="9" width="8.6640625" style="3" customWidth="1"/>
    <col min="10" max="10" width="10.44140625" style="3" bestFit="1" customWidth="1"/>
    <col min="11" max="11" width="9.44140625" style="3" bestFit="1" customWidth="1"/>
    <col min="12" max="12" width="11.44140625" style="3" bestFit="1" customWidth="1"/>
    <col min="13" max="13" width="8.88671875" style="3" bestFit="1" customWidth="1"/>
    <col min="14" max="14" width="8.33203125" style="3" customWidth="1"/>
    <col min="15" max="15" width="12" style="7" bestFit="1" customWidth="1"/>
    <col min="16" max="16" width="14" style="7" bestFit="1" customWidth="1"/>
    <col min="17" max="17" width="11.6640625" style="3" bestFit="1" customWidth="1"/>
    <col min="18" max="18" width="13.33203125" style="3" customWidth="1"/>
    <col min="19" max="19" width="16.88671875" style="3" bestFit="1" customWidth="1"/>
    <col min="20" max="20" width="12.44140625" style="3" bestFit="1" customWidth="1"/>
    <col min="21" max="21" width="14.109375" style="3" bestFit="1" customWidth="1"/>
    <col min="22" max="22" width="12.44140625" style="3" bestFit="1" customWidth="1"/>
    <col min="23" max="23" width="16.88671875" style="3" bestFit="1" customWidth="1"/>
    <col min="24" max="24" width="11.44140625" style="3" bestFit="1" customWidth="1"/>
    <col min="25" max="25" width="16.88671875" style="3" bestFit="1" customWidth="1"/>
    <col min="26" max="27" width="10.44140625" style="3" bestFit="1" customWidth="1"/>
    <col min="28" max="28" width="11.44140625" style="3" bestFit="1" customWidth="1"/>
    <col min="29" max="29" width="13.109375" style="3" bestFit="1" customWidth="1"/>
    <col min="30" max="30" width="13.6640625" style="3" bestFit="1" customWidth="1"/>
    <col min="31" max="16384" width="9.109375" style="3"/>
  </cols>
  <sheetData>
    <row r="1" spans="1:30" ht="66" x14ac:dyDescent="0.3">
      <c r="B1" s="1" t="s">
        <v>52</v>
      </c>
      <c r="C1" s="1" t="s">
        <v>83</v>
      </c>
      <c r="D1" s="1" t="s">
        <v>0</v>
      </c>
      <c r="E1" s="1" t="s">
        <v>22</v>
      </c>
      <c r="F1" s="1" t="s">
        <v>86</v>
      </c>
      <c r="G1" s="1" t="s">
        <v>47</v>
      </c>
      <c r="H1" s="1" t="s">
        <v>48</v>
      </c>
      <c r="I1" s="1" t="s">
        <v>46</v>
      </c>
      <c r="J1" s="1" t="s">
        <v>40</v>
      </c>
      <c r="K1" s="1" t="s">
        <v>41</v>
      </c>
      <c r="L1" s="1" t="s">
        <v>43</v>
      </c>
      <c r="M1" s="1" t="s">
        <v>42</v>
      </c>
      <c r="N1" s="1" t="s">
        <v>49</v>
      </c>
      <c r="O1" s="1" t="s">
        <v>44</v>
      </c>
      <c r="P1" s="1" t="s">
        <v>82</v>
      </c>
      <c r="Q1" s="1" t="s">
        <v>50</v>
      </c>
      <c r="R1" s="2" t="s">
        <v>51</v>
      </c>
      <c r="S1" s="1" t="s">
        <v>1</v>
      </c>
      <c r="T1" s="1" t="s">
        <v>2</v>
      </c>
      <c r="U1" s="1" t="s">
        <v>3</v>
      </c>
      <c r="V1" s="1" t="s">
        <v>4</v>
      </c>
      <c r="W1" s="1" t="s">
        <v>5</v>
      </c>
      <c r="X1" s="1" t="s">
        <v>6</v>
      </c>
      <c r="Y1" s="1" t="s">
        <v>7</v>
      </c>
      <c r="Z1" s="1" t="s">
        <v>8</v>
      </c>
      <c r="AA1" s="1" t="s">
        <v>9</v>
      </c>
      <c r="AB1" s="1" t="s">
        <v>10</v>
      </c>
      <c r="AC1" s="1" t="s">
        <v>45</v>
      </c>
      <c r="AD1" s="1" t="s">
        <v>11</v>
      </c>
    </row>
    <row r="2" spans="1:30" x14ac:dyDescent="0.3">
      <c r="A2" s="3">
        <v>1</v>
      </c>
      <c r="B2" s="44" t="s">
        <v>53</v>
      </c>
      <c r="C2" s="4" t="s">
        <v>23</v>
      </c>
      <c r="D2" s="43">
        <v>37011</v>
      </c>
      <c r="E2" s="43"/>
      <c r="F2" s="5" t="s">
        <v>12</v>
      </c>
      <c r="G2" s="6">
        <v>32.714500000000001</v>
      </c>
      <c r="H2" s="6">
        <v>34.6447</v>
      </c>
      <c r="I2" s="6">
        <f>(L2/J2)</f>
        <v>33.965225961538458</v>
      </c>
      <c r="J2" s="13">
        <v>2080</v>
      </c>
      <c r="K2" s="13">
        <v>69.75</v>
      </c>
      <c r="L2" s="11">
        <f>76708.64-M2-N2</f>
        <v>70647.67</v>
      </c>
      <c r="M2" s="11">
        <v>3574.67</v>
      </c>
      <c r="N2" s="11">
        <v>2486.3000000000002</v>
      </c>
      <c r="O2" s="7">
        <f>L2+M2+N2</f>
        <v>76708.639999999999</v>
      </c>
      <c r="P2" s="7">
        <v>6031.83</v>
      </c>
      <c r="Q2" s="7">
        <v>19935.45</v>
      </c>
      <c r="R2" s="7">
        <v>2945.63</v>
      </c>
      <c r="S2" s="7" t="s">
        <v>15</v>
      </c>
      <c r="T2" s="8">
        <f>'2022 Ins'!D2</f>
        <v>11059.86</v>
      </c>
      <c r="U2" s="8" t="s">
        <v>14</v>
      </c>
      <c r="V2" s="17">
        <v>7300</v>
      </c>
      <c r="W2" s="7" t="s">
        <v>15</v>
      </c>
      <c r="X2" s="8">
        <f>'2022 Ins'!R2</f>
        <v>626.40000000000009</v>
      </c>
      <c r="Y2" s="7" t="s">
        <v>15</v>
      </c>
      <c r="Z2" s="8">
        <f>'2022 Ins'!AF2</f>
        <v>145.26000000000002</v>
      </c>
      <c r="AA2" s="8">
        <f>'2022 Ins'!AS2</f>
        <v>841.20000000000016</v>
      </c>
      <c r="AB2" s="8">
        <f>'2022 Ins'!BF2</f>
        <v>685.13999999999987</v>
      </c>
      <c r="AC2" s="7">
        <f t="shared" ref="AC2:AC25" si="0">N2+P2+Q2+R2+T2+V2+X2+Z2+AA2+AB2</f>
        <v>52057.070000000007</v>
      </c>
      <c r="AD2" s="7">
        <f t="shared" ref="AD2:AD25" si="1">AC2+L2+M2</f>
        <v>126279.41</v>
      </c>
    </row>
    <row r="3" spans="1:30" x14ac:dyDescent="0.3">
      <c r="A3" s="3">
        <v>2</v>
      </c>
      <c r="B3" s="44" t="s">
        <v>57</v>
      </c>
      <c r="C3" s="4" t="s">
        <v>26</v>
      </c>
      <c r="D3" s="43">
        <v>37826</v>
      </c>
      <c r="E3" s="43"/>
      <c r="F3" s="5" t="s">
        <v>12</v>
      </c>
      <c r="G3" s="6">
        <v>27.874300000000002</v>
      </c>
      <c r="H3" s="6">
        <v>29.797599999999999</v>
      </c>
      <c r="I3" s="6">
        <f>(L3/J3)</f>
        <v>28.49970673076923</v>
      </c>
      <c r="J3" s="13">
        <v>2080</v>
      </c>
      <c r="K3" s="13">
        <v>50.75</v>
      </c>
      <c r="L3" s="11">
        <f>61422.85-M3</f>
        <v>59279.39</v>
      </c>
      <c r="M3" s="11">
        <v>2143.46</v>
      </c>
      <c r="N3" s="11">
        <v>0</v>
      </c>
      <c r="O3" s="7">
        <f t="shared" ref="O3:O25" si="2">L3+M3</f>
        <v>61422.85</v>
      </c>
      <c r="P3" s="7">
        <v>4804.07</v>
      </c>
      <c r="Q3" s="7">
        <v>16499.11</v>
      </c>
      <c r="R3" s="7">
        <v>2406.42</v>
      </c>
      <c r="S3" s="7" t="s">
        <v>13</v>
      </c>
      <c r="T3" s="8">
        <f>'2022 Ins'!D6</f>
        <v>19537.020000000004</v>
      </c>
      <c r="U3" s="8" t="s">
        <v>14</v>
      </c>
      <c r="V3" s="17">
        <v>7300</v>
      </c>
      <c r="W3" s="7" t="s">
        <v>13</v>
      </c>
      <c r="X3" s="8">
        <f>'2022 Ins'!R6</f>
        <v>992.16000000000031</v>
      </c>
      <c r="Y3" s="7" t="s">
        <v>13</v>
      </c>
      <c r="Z3" s="8">
        <f>'2022 Ins'!AF6</f>
        <v>217.91999999999996</v>
      </c>
      <c r="AA3" s="8">
        <f>'2022 Ins'!AS6</f>
        <v>248.39999999999995</v>
      </c>
      <c r="AB3" s="8">
        <f>'2022 Ins'!BF6</f>
        <v>827.15999999999985</v>
      </c>
      <c r="AC3" s="7">
        <f t="shared" si="0"/>
        <v>52832.260000000009</v>
      </c>
      <c r="AD3" s="7">
        <f t="shared" si="1"/>
        <v>114255.11000000002</v>
      </c>
    </row>
    <row r="4" spans="1:30" x14ac:dyDescent="0.3">
      <c r="A4" s="3">
        <v>3</v>
      </c>
      <c r="B4" s="44" t="s">
        <v>63</v>
      </c>
      <c r="C4" s="4" t="s">
        <v>84</v>
      </c>
      <c r="D4" s="43">
        <v>37466</v>
      </c>
      <c r="E4" s="43"/>
      <c r="F4" s="5" t="s">
        <v>12</v>
      </c>
      <c r="G4" s="6">
        <v>27.294</v>
      </c>
      <c r="H4" s="6">
        <v>29.177299999999999</v>
      </c>
      <c r="I4" s="6">
        <f>(L4/J4)</f>
        <v>27.778485576923078</v>
      </c>
      <c r="J4" s="13">
        <v>2080</v>
      </c>
      <c r="K4" s="13">
        <v>1</v>
      </c>
      <c r="L4" s="11">
        <f>59071.57-M4-N4</f>
        <v>57779.25</v>
      </c>
      <c r="M4" s="11">
        <v>36.799999999999997</v>
      </c>
      <c r="N4" s="11">
        <v>1255.52</v>
      </c>
      <c r="O4" s="7">
        <f t="shared" si="2"/>
        <v>57816.05</v>
      </c>
      <c r="P4" s="7">
        <v>4624.3</v>
      </c>
      <c r="Q4" s="7">
        <v>15529.99</v>
      </c>
      <c r="R4" s="7">
        <v>1958.24</v>
      </c>
      <c r="S4" s="7" t="s">
        <v>13</v>
      </c>
      <c r="T4" s="8">
        <f>'2022 Ins'!D12</f>
        <v>12876.359999999997</v>
      </c>
      <c r="U4" s="8" t="s">
        <v>14</v>
      </c>
      <c r="V4" s="17">
        <v>7300</v>
      </c>
      <c r="W4" s="7" t="s">
        <v>13</v>
      </c>
      <c r="X4" s="8">
        <f>'2022 Ins'!R12</f>
        <v>890.03999999999985</v>
      </c>
      <c r="Y4" s="7" t="s">
        <v>13</v>
      </c>
      <c r="Z4" s="8">
        <f>'2022 Ins'!AF12</f>
        <v>217.91999999999996</v>
      </c>
      <c r="AA4" s="8">
        <f>'2022 Ins'!AS12</f>
        <v>397.2000000000001</v>
      </c>
      <c r="AB4" s="8">
        <f>'2022 Ins'!BF12</f>
        <v>686.1</v>
      </c>
      <c r="AC4" s="7">
        <f t="shared" si="0"/>
        <v>45735.669999999991</v>
      </c>
      <c r="AD4" s="7">
        <f t="shared" si="1"/>
        <v>103551.71999999999</v>
      </c>
    </row>
    <row r="5" spans="1:30" x14ac:dyDescent="0.3">
      <c r="A5">
        <v>4</v>
      </c>
      <c r="B5" s="44" t="s">
        <v>66</v>
      </c>
      <c r="C5" s="4" t="s">
        <v>33</v>
      </c>
      <c r="D5" s="43">
        <v>37935</v>
      </c>
      <c r="E5" s="43"/>
      <c r="F5" s="5" t="s">
        <v>12</v>
      </c>
      <c r="G5" s="6">
        <v>32.797899999999998</v>
      </c>
      <c r="H5" s="6">
        <v>35.061</v>
      </c>
      <c r="I5" s="6">
        <f>(L5/J5)</f>
        <v>32.899500000000003</v>
      </c>
      <c r="J5" s="13">
        <v>2080</v>
      </c>
      <c r="K5" s="13">
        <v>4.5</v>
      </c>
      <c r="L5" s="11">
        <f>68652.36-M5</f>
        <v>68430.960000000006</v>
      </c>
      <c r="M5" s="11">
        <v>221.4</v>
      </c>
      <c r="N5" s="11">
        <v>0</v>
      </c>
      <c r="O5" s="7">
        <f t="shared" si="2"/>
        <v>68652.36</v>
      </c>
      <c r="P5" s="7">
        <v>5356.14</v>
      </c>
      <c r="Q5" s="7">
        <v>18441.22</v>
      </c>
      <c r="R5" s="7">
        <v>2680.86</v>
      </c>
      <c r="S5" s="7" t="s">
        <v>18</v>
      </c>
      <c r="T5" s="8">
        <f>'2022 Ins'!D15</f>
        <v>9003.6</v>
      </c>
      <c r="U5" s="8" t="s">
        <v>14</v>
      </c>
      <c r="V5" s="17">
        <v>7300</v>
      </c>
      <c r="W5" s="7" t="s">
        <v>18</v>
      </c>
      <c r="X5" s="8">
        <f>'2022 Ins'!R15</f>
        <v>553.79999999999984</v>
      </c>
      <c r="Y5" s="7" t="s">
        <v>18</v>
      </c>
      <c r="Z5" s="8">
        <f>'2022 Ins'!AF15</f>
        <v>137.03999999999996</v>
      </c>
      <c r="AA5" s="8">
        <f>'2022 Ins'!AS15</f>
        <v>512.99999999999989</v>
      </c>
      <c r="AB5" s="8">
        <f>'2022 Ins'!BF15</f>
        <v>391.67999999999995</v>
      </c>
      <c r="AC5" s="7">
        <f t="shared" si="0"/>
        <v>44377.340000000004</v>
      </c>
      <c r="AD5" s="7">
        <f t="shared" si="1"/>
        <v>113029.70000000001</v>
      </c>
    </row>
    <row r="6" spans="1:30" x14ac:dyDescent="0.3">
      <c r="A6" s="3">
        <v>5</v>
      </c>
      <c r="B6" s="44" t="s">
        <v>69</v>
      </c>
      <c r="C6" s="4" t="s">
        <v>35</v>
      </c>
      <c r="D6" s="43">
        <v>36055</v>
      </c>
      <c r="E6" s="43"/>
      <c r="F6" s="5" t="s">
        <v>12</v>
      </c>
      <c r="G6" s="6">
        <v>41.646500000000003</v>
      </c>
      <c r="H6" s="6">
        <v>44.514400000000002</v>
      </c>
      <c r="I6" s="6">
        <f>(L6/J6)</f>
        <v>42.104067307692311</v>
      </c>
      <c r="J6" s="13">
        <v>2080</v>
      </c>
      <c r="K6" s="13">
        <v>27.75</v>
      </c>
      <c r="L6" s="11">
        <f>91381.78-M6-N6</f>
        <v>87576.46</v>
      </c>
      <c r="M6" s="11">
        <v>1754.23</v>
      </c>
      <c r="N6" s="11">
        <v>2051.09</v>
      </c>
      <c r="O6" s="7">
        <f t="shared" si="2"/>
        <v>89330.69</v>
      </c>
      <c r="P6" s="7">
        <v>7092.8</v>
      </c>
      <c r="Q6" s="7">
        <v>23995.3</v>
      </c>
      <c r="R6" s="7">
        <v>3496.33</v>
      </c>
      <c r="S6" s="7" t="s">
        <v>13</v>
      </c>
      <c r="T6" s="8">
        <f>'2022 Ins'!D19</f>
        <v>13124.310000000001</v>
      </c>
      <c r="U6" s="8" t="s">
        <v>14</v>
      </c>
      <c r="V6" s="17">
        <v>7300</v>
      </c>
      <c r="W6" s="7" t="s">
        <v>13</v>
      </c>
      <c r="X6" s="8">
        <f>'2022 Ins'!R19</f>
        <v>652.43999999999983</v>
      </c>
      <c r="Y6" s="7" t="s">
        <v>13</v>
      </c>
      <c r="Z6" s="8">
        <f>'2022 Ins'!AF19</f>
        <v>172.86</v>
      </c>
      <c r="AA6" s="8">
        <f>'2022 Ins'!AS19</f>
        <v>134.4</v>
      </c>
      <c r="AB6" s="8">
        <f>'2022 Ins'!BF19</f>
        <v>403.25999999999993</v>
      </c>
      <c r="AC6" s="7">
        <f t="shared" si="0"/>
        <v>58422.790000000008</v>
      </c>
      <c r="AD6" s="7">
        <f t="shared" si="1"/>
        <v>147753.48000000001</v>
      </c>
    </row>
    <row r="7" spans="1:30" x14ac:dyDescent="0.3">
      <c r="A7" s="3">
        <v>6</v>
      </c>
      <c r="B7" s="44" t="s">
        <v>72</v>
      </c>
      <c r="C7" s="4" t="s">
        <v>37</v>
      </c>
      <c r="D7" s="43">
        <v>39027</v>
      </c>
      <c r="E7" s="43"/>
      <c r="F7" s="5" t="s">
        <v>19</v>
      </c>
      <c r="G7" s="16">
        <v>160000</v>
      </c>
      <c r="H7" s="16">
        <v>169440</v>
      </c>
      <c r="I7" s="6"/>
      <c r="J7" s="13">
        <v>2080</v>
      </c>
      <c r="K7" s="13">
        <v>0</v>
      </c>
      <c r="L7" s="11">
        <v>156699.42000000001</v>
      </c>
      <c r="M7" s="11">
        <v>0</v>
      </c>
      <c r="N7" s="11">
        <v>0</v>
      </c>
      <c r="O7" s="7">
        <f t="shared" si="2"/>
        <v>156699.42000000001</v>
      </c>
      <c r="P7" s="7">
        <v>11495.28</v>
      </c>
      <c r="Q7" s="7">
        <v>42090.62</v>
      </c>
      <c r="R7" s="7">
        <v>6217.36</v>
      </c>
      <c r="S7" s="7" t="s">
        <v>15</v>
      </c>
      <c r="T7" s="8">
        <f>'2022 Ins'!D22</f>
        <v>4701</v>
      </c>
      <c r="U7" s="8" t="s">
        <v>14</v>
      </c>
      <c r="V7" s="17">
        <v>7300</v>
      </c>
      <c r="W7" s="7" t="s">
        <v>13</v>
      </c>
      <c r="X7" s="8">
        <f>'2022 Ins'!R22</f>
        <v>209.70000000000005</v>
      </c>
      <c r="Y7" s="7" t="s">
        <v>13</v>
      </c>
      <c r="Z7" s="8">
        <f>'2022 Ins'!AF22</f>
        <v>51.899999999999991</v>
      </c>
      <c r="AA7" s="8">
        <f>'2022 Ins'!AS22</f>
        <v>80</v>
      </c>
      <c r="AB7" s="8">
        <f>'2022 Ins'!BF22</f>
        <v>333.92</v>
      </c>
      <c r="AC7" s="7">
        <f t="shared" si="0"/>
        <v>72479.78</v>
      </c>
      <c r="AD7" s="7">
        <f t="shared" si="1"/>
        <v>229179.2</v>
      </c>
    </row>
    <row r="8" spans="1:30" x14ac:dyDescent="0.3">
      <c r="A8" s="3">
        <v>7</v>
      </c>
      <c r="B8" s="44" t="s">
        <v>58</v>
      </c>
      <c r="C8" s="4" t="s">
        <v>27</v>
      </c>
      <c r="D8" s="43">
        <v>40990</v>
      </c>
      <c r="E8" s="43"/>
      <c r="F8" s="5" t="s">
        <v>12</v>
      </c>
      <c r="G8" s="6">
        <v>37.451599999999999</v>
      </c>
      <c r="H8" s="6">
        <v>39.661200000000001</v>
      </c>
      <c r="I8" s="6">
        <f>(L8/J8)</f>
        <v>39.053038461538463</v>
      </c>
      <c r="J8" s="13">
        <v>2080</v>
      </c>
      <c r="K8" s="13">
        <v>181.25</v>
      </c>
      <c r="L8" s="11">
        <f>91960.08-M8</f>
        <v>81230.320000000007</v>
      </c>
      <c r="M8" s="11">
        <v>10729.76</v>
      </c>
      <c r="N8" s="11">
        <v>0</v>
      </c>
      <c r="O8" s="7">
        <f t="shared" si="2"/>
        <v>91960.08</v>
      </c>
      <c r="P8" s="7">
        <v>7138.07</v>
      </c>
      <c r="Q8" s="7">
        <v>24696.29</v>
      </c>
      <c r="R8" s="7">
        <v>3696.55</v>
      </c>
      <c r="S8" s="7" t="s">
        <v>13</v>
      </c>
      <c r="T8" s="8">
        <f>'2022 Ins'!D7</f>
        <v>11059.86</v>
      </c>
      <c r="U8" s="8" t="s">
        <v>14</v>
      </c>
      <c r="V8" s="17">
        <v>7300</v>
      </c>
      <c r="W8" s="7" t="s">
        <v>13</v>
      </c>
      <c r="X8" s="8">
        <f>'2022 Ins'!R7</f>
        <v>890.03999999999985</v>
      </c>
      <c r="Y8" s="7" t="s">
        <v>13</v>
      </c>
      <c r="Z8" s="8">
        <f>'2022 Ins'!AF7</f>
        <v>217.91999999999996</v>
      </c>
      <c r="AA8" s="8">
        <f>'2022 Ins'!AS7</f>
        <v>397.2000000000001</v>
      </c>
      <c r="AB8" s="8">
        <f>'2022 Ins'!BF7</f>
        <v>1430.9999999999998</v>
      </c>
      <c r="AC8" s="7">
        <f t="shared" si="0"/>
        <v>56826.93</v>
      </c>
      <c r="AD8" s="7">
        <f t="shared" si="1"/>
        <v>148787.01</v>
      </c>
    </row>
    <row r="9" spans="1:30" x14ac:dyDescent="0.3">
      <c r="A9">
        <v>8</v>
      </c>
      <c r="B9" s="44" t="s">
        <v>73</v>
      </c>
      <c r="C9" s="4" t="s">
        <v>84</v>
      </c>
      <c r="D9" s="43">
        <v>41211</v>
      </c>
      <c r="E9" s="43"/>
      <c r="F9" s="5" t="s">
        <v>12</v>
      </c>
      <c r="G9" s="6">
        <v>24.156700000000001</v>
      </c>
      <c r="H9" s="6">
        <v>25.823499999999999</v>
      </c>
      <c r="I9" s="6">
        <f>(L9/J9)</f>
        <v>24.200129807692306</v>
      </c>
      <c r="J9" s="13">
        <v>2080</v>
      </c>
      <c r="K9" s="13">
        <v>8.75</v>
      </c>
      <c r="L9" s="11">
        <f>50651.53-M9</f>
        <v>50336.27</v>
      </c>
      <c r="M9" s="11">
        <v>315.26</v>
      </c>
      <c r="N9" s="11">
        <v>0</v>
      </c>
      <c r="O9" s="7">
        <f t="shared" si="2"/>
        <v>50651.53</v>
      </c>
      <c r="P9" s="7">
        <v>3980.85</v>
      </c>
      <c r="Q9" s="7">
        <v>13606</v>
      </c>
      <c r="R9" s="7">
        <v>1976.28</v>
      </c>
      <c r="S9" s="7" t="s">
        <v>15</v>
      </c>
      <c r="T9" s="8">
        <f>'2022 Ins'!D24</f>
        <v>3691.16</v>
      </c>
      <c r="U9" s="8" t="s">
        <v>14</v>
      </c>
      <c r="V9" s="17">
        <v>7300</v>
      </c>
      <c r="W9" s="7" t="s">
        <v>15</v>
      </c>
      <c r="X9" s="8">
        <f>'2022 Ins'!R24</f>
        <v>163.10000000000002</v>
      </c>
      <c r="Y9" s="7" t="s">
        <v>15</v>
      </c>
      <c r="Z9" s="8">
        <f>'2022 Ins'!AF24</f>
        <v>40.78</v>
      </c>
      <c r="AA9" s="8">
        <f>'2022 Ins'!AS24</f>
        <v>60</v>
      </c>
      <c r="AB9" s="8">
        <f>'2022 Ins'!BF24</f>
        <v>198.42</v>
      </c>
      <c r="AC9" s="7">
        <f t="shared" si="0"/>
        <v>31016.589999999993</v>
      </c>
      <c r="AD9" s="7">
        <f t="shared" si="1"/>
        <v>81668.119999999981</v>
      </c>
    </row>
    <row r="10" spans="1:30" x14ac:dyDescent="0.3">
      <c r="A10" s="3">
        <v>9</v>
      </c>
      <c r="B10" s="44" t="s">
        <v>75</v>
      </c>
      <c r="C10" s="4" t="s">
        <v>39</v>
      </c>
      <c r="D10" s="43">
        <v>42142</v>
      </c>
      <c r="E10" s="43">
        <v>44666</v>
      </c>
      <c r="F10" s="5" t="s">
        <v>12</v>
      </c>
      <c r="G10" s="6">
        <v>24.487400000000001</v>
      </c>
      <c r="H10" s="6">
        <v>28.307400000000001</v>
      </c>
      <c r="I10" s="6">
        <f>(L10/J10)</f>
        <v>27.46825309491059</v>
      </c>
      <c r="J10" s="13">
        <v>727</v>
      </c>
      <c r="K10" s="13">
        <v>33</v>
      </c>
      <c r="L10" s="11">
        <f>21301.87-M10</f>
        <v>19969.419999999998</v>
      </c>
      <c r="M10" s="11">
        <v>1332.45</v>
      </c>
      <c r="N10" s="11">
        <v>0</v>
      </c>
      <c r="O10" s="7">
        <f t="shared" si="2"/>
        <v>21301.87</v>
      </c>
      <c r="P10" s="7">
        <v>1733.42</v>
      </c>
      <c r="Q10" s="9">
        <v>5116.91</v>
      </c>
      <c r="R10" s="9">
        <v>0</v>
      </c>
      <c r="S10" s="9" t="s">
        <v>16</v>
      </c>
      <c r="T10" s="8">
        <f>'2022 Ins'!D18</f>
        <v>12876.359999999997</v>
      </c>
      <c r="U10" s="10" t="s">
        <v>17</v>
      </c>
      <c r="V10" s="17">
        <v>1800</v>
      </c>
      <c r="W10" s="9" t="s">
        <v>16</v>
      </c>
      <c r="X10" s="8">
        <f>'2022 Ins'!R18</f>
        <v>553.79999999999984</v>
      </c>
      <c r="Y10" s="9" t="s">
        <v>16</v>
      </c>
      <c r="Z10" s="8">
        <f>'2022 Ins'!AF18</f>
        <v>137.03999999999996</v>
      </c>
      <c r="AA10" s="8">
        <f>'2022 Ins'!AS18</f>
        <v>512.99999999999989</v>
      </c>
      <c r="AB10" s="8">
        <f>'2022 Ins'!BF18</f>
        <v>698.45999999999992</v>
      </c>
      <c r="AC10" s="7">
        <f t="shared" si="0"/>
        <v>23428.989999999994</v>
      </c>
      <c r="AD10" s="7">
        <f t="shared" si="1"/>
        <v>44730.859999999986</v>
      </c>
    </row>
    <row r="11" spans="1:30" x14ac:dyDescent="0.3">
      <c r="A11" s="3">
        <v>10</v>
      </c>
      <c r="B11" s="44" t="s">
        <v>70</v>
      </c>
      <c r="C11" s="4" t="s">
        <v>30</v>
      </c>
      <c r="D11" s="43">
        <v>42562</v>
      </c>
      <c r="E11" s="43"/>
      <c r="F11" s="5" t="s">
        <v>12</v>
      </c>
      <c r="G11" s="6">
        <v>29.3691</v>
      </c>
      <c r="H11" s="6">
        <v>31.689299999999999</v>
      </c>
      <c r="I11" s="6">
        <f>(L11/J11)</f>
        <v>29.857192307692305</v>
      </c>
      <c r="J11" s="13">
        <v>2080</v>
      </c>
      <c r="K11" s="13">
        <v>145</v>
      </c>
      <c r="L11" s="11">
        <f>68542.98-M11</f>
        <v>62102.959999999992</v>
      </c>
      <c r="M11" s="11">
        <v>6440.02</v>
      </c>
      <c r="N11" s="11">
        <v>0</v>
      </c>
      <c r="O11" s="7">
        <f t="shared" si="2"/>
        <v>68542.98</v>
      </c>
      <c r="P11" s="7">
        <v>5348.47</v>
      </c>
      <c r="Q11" s="7">
        <v>18412.439999999999</v>
      </c>
      <c r="R11" s="7">
        <v>2699.3</v>
      </c>
      <c r="S11" s="7" t="s">
        <v>16</v>
      </c>
      <c r="T11" s="8">
        <f>'2022 Ins'!D20</f>
        <v>0</v>
      </c>
      <c r="U11" s="8" t="s">
        <v>17</v>
      </c>
      <c r="V11" s="17">
        <v>3650</v>
      </c>
      <c r="W11" s="7" t="s">
        <v>16</v>
      </c>
      <c r="X11" s="8">
        <f>'2022 Ins'!R20</f>
        <v>0</v>
      </c>
      <c r="Y11" s="7" t="s">
        <v>16</v>
      </c>
      <c r="Z11" s="8">
        <f>'2022 Ins'!AF20</f>
        <v>0</v>
      </c>
      <c r="AA11" s="8">
        <f>'2022 Ins'!AS20</f>
        <v>0</v>
      </c>
      <c r="AB11" s="8">
        <f>'2022 Ins'!BF20</f>
        <v>0</v>
      </c>
      <c r="AC11" s="7">
        <f t="shared" si="0"/>
        <v>30110.21</v>
      </c>
      <c r="AD11" s="7">
        <f t="shared" si="1"/>
        <v>98653.189999999988</v>
      </c>
    </row>
    <row r="12" spans="1:30" x14ac:dyDescent="0.3">
      <c r="A12" s="3">
        <v>11</v>
      </c>
      <c r="B12" s="44" t="s">
        <v>71</v>
      </c>
      <c r="C12" s="4" t="s">
        <v>36</v>
      </c>
      <c r="D12" s="43">
        <v>42564</v>
      </c>
      <c r="E12" s="43"/>
      <c r="F12" s="5" t="s">
        <v>12</v>
      </c>
      <c r="G12" s="6">
        <v>36.467100000000002</v>
      </c>
      <c r="H12" s="6">
        <v>38.9833</v>
      </c>
      <c r="I12" s="6">
        <f>(L12/J12)</f>
        <v>37.358389423076915</v>
      </c>
      <c r="J12" s="13">
        <v>2080</v>
      </c>
      <c r="K12" s="13">
        <v>106.25</v>
      </c>
      <c r="L12" s="11">
        <f>84597.15-M12-N12</f>
        <v>77705.449999999983</v>
      </c>
      <c r="M12" s="11">
        <v>5916.21</v>
      </c>
      <c r="N12" s="11">
        <v>975.49</v>
      </c>
      <c r="O12" s="7">
        <f t="shared" si="2"/>
        <v>83621.659999999989</v>
      </c>
      <c r="P12" s="7">
        <v>6574.4</v>
      </c>
      <c r="Q12" s="7">
        <v>22460.67</v>
      </c>
      <c r="R12" s="7">
        <v>3287.6</v>
      </c>
      <c r="S12" s="9" t="s">
        <v>18</v>
      </c>
      <c r="T12" s="8">
        <f>'2022 Ins'!D21</f>
        <v>6215.7599999999993</v>
      </c>
      <c r="U12" s="8" t="s">
        <v>14</v>
      </c>
      <c r="V12" s="17">
        <v>7300</v>
      </c>
      <c r="W12" s="7" t="s">
        <v>13</v>
      </c>
      <c r="X12" s="8">
        <f>'2022 Ins'!R21</f>
        <v>279.60000000000008</v>
      </c>
      <c r="Y12" s="7" t="s">
        <v>13</v>
      </c>
      <c r="Z12" s="8">
        <f>'2022 Ins'!AF21</f>
        <v>68.579999999999984</v>
      </c>
      <c r="AA12" s="8">
        <f>'2022 Ins'!AS21</f>
        <v>120</v>
      </c>
      <c r="AB12" s="8">
        <f>'2022 Ins'!BF21</f>
        <v>376.50999999999988</v>
      </c>
      <c r="AC12" s="7">
        <f t="shared" si="0"/>
        <v>47658.61</v>
      </c>
      <c r="AD12" s="7">
        <f t="shared" si="1"/>
        <v>131280.26999999999</v>
      </c>
    </row>
    <row r="13" spans="1:30" x14ac:dyDescent="0.3">
      <c r="A13">
        <v>12</v>
      </c>
      <c r="B13" s="44" t="s">
        <v>65</v>
      </c>
      <c r="C13" s="4" t="s">
        <v>32</v>
      </c>
      <c r="D13" s="43">
        <v>42604</v>
      </c>
      <c r="E13" s="43"/>
      <c r="F13" s="5" t="s">
        <v>19</v>
      </c>
      <c r="G13" s="6">
        <v>104425.61</v>
      </c>
      <c r="H13" s="6">
        <v>112675.23</v>
      </c>
      <c r="I13" s="6"/>
      <c r="J13" s="13">
        <v>2080</v>
      </c>
      <c r="K13" s="13">
        <v>0</v>
      </c>
      <c r="L13" s="11">
        <f>108205.42-N13</f>
        <v>106197.24</v>
      </c>
      <c r="M13" s="11">
        <v>0</v>
      </c>
      <c r="N13" s="11">
        <v>2008.18</v>
      </c>
      <c r="O13" s="7">
        <f t="shared" si="2"/>
        <v>106197.24</v>
      </c>
      <c r="P13" s="7">
        <v>8437.9</v>
      </c>
      <c r="Q13" s="7">
        <v>28525.64</v>
      </c>
      <c r="R13" s="7">
        <v>4159.1499999999996</v>
      </c>
      <c r="S13" s="7" t="s">
        <v>13</v>
      </c>
      <c r="T13" s="8">
        <f>'2022 Ins'!D14</f>
        <v>19537.020000000004</v>
      </c>
      <c r="U13" s="8" t="s">
        <v>14</v>
      </c>
      <c r="V13" s="17">
        <v>7300</v>
      </c>
      <c r="W13" s="7" t="s">
        <v>13</v>
      </c>
      <c r="X13" s="8">
        <f>'2022 Ins'!R14</f>
        <v>992.16000000000031</v>
      </c>
      <c r="Y13" s="7" t="s">
        <v>13</v>
      </c>
      <c r="Z13" s="8">
        <f>'2022 Ins'!AF14</f>
        <v>217.91999999999996</v>
      </c>
      <c r="AA13" s="8">
        <f>'2022 Ins'!AS14</f>
        <v>159.00000000000003</v>
      </c>
      <c r="AB13" s="8">
        <f>'2022 Ins'!BF14</f>
        <v>1024.1399999999999</v>
      </c>
      <c r="AC13" s="7">
        <f t="shared" si="0"/>
        <v>72361.110000000015</v>
      </c>
      <c r="AD13" s="7">
        <f t="shared" si="1"/>
        <v>178558.35000000003</v>
      </c>
    </row>
    <row r="14" spans="1:30" x14ac:dyDescent="0.3">
      <c r="A14" s="3">
        <v>13</v>
      </c>
      <c r="B14" s="44" t="s">
        <v>64</v>
      </c>
      <c r="C14" s="4" t="s">
        <v>31</v>
      </c>
      <c r="D14" s="43">
        <v>42793</v>
      </c>
      <c r="E14" s="43"/>
      <c r="F14" s="5" t="s">
        <v>19</v>
      </c>
      <c r="G14" s="6">
        <v>104425.61</v>
      </c>
      <c r="H14" s="6">
        <v>112675.23</v>
      </c>
      <c r="I14" s="6"/>
      <c r="J14" s="13">
        <v>2080</v>
      </c>
      <c r="K14" s="13">
        <v>0</v>
      </c>
      <c r="L14" s="11">
        <v>108037.52</v>
      </c>
      <c r="M14" s="11">
        <v>0</v>
      </c>
      <c r="N14" s="11">
        <v>0</v>
      </c>
      <c r="O14" s="7">
        <f t="shared" si="2"/>
        <v>108037.52</v>
      </c>
      <c r="P14" s="7">
        <v>8365.59</v>
      </c>
      <c r="Q14" s="7">
        <v>29018.639999999999</v>
      </c>
      <c r="R14" s="7">
        <v>4251.1400000000003</v>
      </c>
      <c r="S14" s="7" t="s">
        <v>13</v>
      </c>
      <c r="T14" s="8">
        <f>'2022 Ins'!D13</f>
        <v>19537.020000000004</v>
      </c>
      <c r="U14" s="8" t="s">
        <v>14</v>
      </c>
      <c r="V14" s="17">
        <v>7300</v>
      </c>
      <c r="W14" s="7" t="s">
        <v>13</v>
      </c>
      <c r="X14" s="8">
        <f>'2022 Ins'!R13</f>
        <v>890.03999999999985</v>
      </c>
      <c r="Y14" s="7" t="s">
        <v>13</v>
      </c>
      <c r="Z14" s="8">
        <f>'2022 Ins'!AF13</f>
        <v>217.91999999999996</v>
      </c>
      <c r="AA14" s="8">
        <f>'2022 Ins'!AS13</f>
        <v>397.2000000000001</v>
      </c>
      <c r="AB14" s="8">
        <f>'2022 Ins'!BF13</f>
        <v>980.33999999999992</v>
      </c>
      <c r="AC14" s="7">
        <f t="shared" si="0"/>
        <v>70957.889999999985</v>
      </c>
      <c r="AD14" s="7">
        <f t="shared" si="1"/>
        <v>178995.40999999997</v>
      </c>
    </row>
    <row r="15" spans="1:30" x14ac:dyDescent="0.3">
      <c r="A15" s="3">
        <v>14</v>
      </c>
      <c r="B15" s="44" t="s">
        <v>67</v>
      </c>
      <c r="C15" s="4" t="s">
        <v>84</v>
      </c>
      <c r="D15" s="43">
        <v>43164</v>
      </c>
      <c r="E15" s="43"/>
      <c r="F15" s="5" t="s">
        <v>12</v>
      </c>
      <c r="G15" s="6">
        <v>18.700800000000001</v>
      </c>
      <c r="H15" s="6">
        <v>19.804099999999998</v>
      </c>
      <c r="I15" s="6">
        <f t="shared" ref="I15:I25" si="3">(L15/J15)</f>
        <v>19.397817307692307</v>
      </c>
      <c r="J15" s="13">
        <v>2080</v>
      </c>
      <c r="K15" s="13">
        <v>0.25</v>
      </c>
      <c r="L15" s="11">
        <f>40354.89-M15</f>
        <v>40347.46</v>
      </c>
      <c r="M15" s="11">
        <v>7.43</v>
      </c>
      <c r="N15" s="11">
        <v>0</v>
      </c>
      <c r="O15" s="7">
        <f t="shared" si="2"/>
        <v>40354.89</v>
      </c>
      <c r="P15" s="7">
        <v>3184.57</v>
      </c>
      <c r="Q15" s="7">
        <v>10840.12</v>
      </c>
      <c r="R15" s="7">
        <v>1589.18</v>
      </c>
      <c r="S15" s="9" t="s">
        <v>20</v>
      </c>
      <c r="T15" s="8">
        <f>'2022 Ins'!D16</f>
        <v>3560.56</v>
      </c>
      <c r="U15" s="10" t="s">
        <v>21</v>
      </c>
      <c r="V15" s="17">
        <v>0</v>
      </c>
      <c r="W15" s="7" t="s">
        <v>18</v>
      </c>
      <c r="X15" s="8">
        <f>'2022 Ins'!R16</f>
        <v>163.10000000000002</v>
      </c>
      <c r="Y15" s="7" t="s">
        <v>18</v>
      </c>
      <c r="Z15" s="8">
        <f>'2022 Ins'!AF16</f>
        <v>39.229999999999997</v>
      </c>
      <c r="AA15" s="8">
        <f>'2022 Ins'!AS16</f>
        <v>70</v>
      </c>
      <c r="AB15" s="8">
        <f>'2022 Ins'!BF16</f>
        <v>192.92</v>
      </c>
      <c r="AC15" s="7">
        <f t="shared" si="0"/>
        <v>19639.679999999997</v>
      </c>
      <c r="AD15" s="7">
        <f t="shared" si="1"/>
        <v>59994.57</v>
      </c>
    </row>
    <row r="16" spans="1:30" x14ac:dyDescent="0.3">
      <c r="A16" s="3">
        <v>15</v>
      </c>
      <c r="B16" s="44" t="s">
        <v>76</v>
      </c>
      <c r="C16" s="4" t="s">
        <v>24</v>
      </c>
      <c r="D16" s="43">
        <v>43347</v>
      </c>
      <c r="E16" s="43">
        <v>44753</v>
      </c>
      <c r="F16" s="5" t="s">
        <v>12</v>
      </c>
      <c r="G16" s="6">
        <v>18.7209</v>
      </c>
      <c r="H16" s="6">
        <v>21.641400000000001</v>
      </c>
      <c r="I16" s="6">
        <f t="shared" si="3"/>
        <v>21.111276233692571</v>
      </c>
      <c r="J16" s="13">
        <v>881.5</v>
      </c>
      <c r="K16" s="13">
        <v>29.75</v>
      </c>
      <c r="L16" s="11">
        <f>19526.06-M16</f>
        <v>18609.59</v>
      </c>
      <c r="M16" s="11">
        <v>916.47</v>
      </c>
      <c r="N16" s="11">
        <v>0</v>
      </c>
      <c r="O16" s="7">
        <f t="shared" si="2"/>
        <v>19526.060000000001</v>
      </c>
      <c r="P16" s="7">
        <v>1596.99</v>
      </c>
      <c r="Q16" s="9">
        <v>5261.3</v>
      </c>
      <c r="R16" s="9">
        <v>51.94</v>
      </c>
      <c r="S16" s="9" t="s">
        <v>16</v>
      </c>
      <c r="T16" s="8">
        <f>'2022 Ins'!D23</f>
        <v>13191.86</v>
      </c>
      <c r="U16" s="10" t="s">
        <v>17</v>
      </c>
      <c r="V16" s="17">
        <v>3650</v>
      </c>
      <c r="W16" s="9" t="s">
        <v>16</v>
      </c>
      <c r="X16" s="8">
        <f>'2022 Ins'!R23</f>
        <v>593.36</v>
      </c>
      <c r="Y16" s="9" t="s">
        <v>16</v>
      </c>
      <c r="Z16" s="8">
        <f>'2022 Ins'!AF23</f>
        <v>152.91999999999999</v>
      </c>
      <c r="AA16" s="8">
        <f>'2022 Ins'!AS23</f>
        <v>71.400000000000006</v>
      </c>
      <c r="AB16" s="8">
        <f>'2022 Ins'!BF23</f>
        <v>333.56</v>
      </c>
      <c r="AC16" s="7">
        <f t="shared" si="0"/>
        <v>24903.33</v>
      </c>
      <c r="AD16" s="7">
        <f t="shared" si="1"/>
        <v>44429.39</v>
      </c>
    </row>
    <row r="17" spans="1:31" x14ac:dyDescent="0.3">
      <c r="A17">
        <v>16</v>
      </c>
      <c r="B17" s="44" t="s">
        <v>55</v>
      </c>
      <c r="C17" s="4" t="s">
        <v>25</v>
      </c>
      <c r="D17" s="43">
        <v>43397</v>
      </c>
      <c r="E17" s="43"/>
      <c r="F17" s="5" t="s">
        <v>12</v>
      </c>
      <c r="G17" s="6">
        <v>23.250699999999998</v>
      </c>
      <c r="H17" s="6">
        <v>24.855</v>
      </c>
      <c r="I17" s="6">
        <f t="shared" si="3"/>
        <v>23.60219711538462</v>
      </c>
      <c r="J17" s="13">
        <v>2080</v>
      </c>
      <c r="K17" s="13">
        <v>250</v>
      </c>
      <c r="L17" s="11">
        <f>57819.66-M17</f>
        <v>49092.570000000007</v>
      </c>
      <c r="M17" s="11">
        <v>8727.09</v>
      </c>
      <c r="N17" s="11">
        <v>0</v>
      </c>
      <c r="O17" s="7">
        <f t="shared" si="2"/>
        <v>57819.66</v>
      </c>
      <c r="P17" s="7">
        <v>4529.0600000000004</v>
      </c>
      <c r="Q17" s="7">
        <v>15531.33</v>
      </c>
      <c r="R17" s="7">
        <v>2266.75</v>
      </c>
      <c r="S17" s="7" t="s">
        <v>13</v>
      </c>
      <c r="T17" s="8">
        <f>'2022 Ins'!D4</f>
        <v>19537.020000000004</v>
      </c>
      <c r="U17" s="8" t="s">
        <v>14</v>
      </c>
      <c r="V17" s="17">
        <v>7300</v>
      </c>
      <c r="W17" s="7" t="s">
        <v>13</v>
      </c>
      <c r="X17" s="8">
        <f>'2022 Ins'!R4</f>
        <v>890.03999999999985</v>
      </c>
      <c r="Y17" s="7" t="s">
        <v>13</v>
      </c>
      <c r="Z17" s="8">
        <f>'2022 Ins'!AF4</f>
        <v>217.91999999999996</v>
      </c>
      <c r="AA17" s="8">
        <f>'2022 Ins'!AS4</f>
        <v>248.39999999999995</v>
      </c>
      <c r="AB17" s="8">
        <f>'2022 Ins'!BF4</f>
        <v>539.64</v>
      </c>
      <c r="AC17" s="7">
        <f t="shared" si="0"/>
        <v>51060.160000000003</v>
      </c>
      <c r="AD17" s="7">
        <f t="shared" si="1"/>
        <v>108879.82</v>
      </c>
    </row>
    <row r="18" spans="1:31" x14ac:dyDescent="0.3">
      <c r="A18" s="3">
        <v>17</v>
      </c>
      <c r="B18" s="44" t="s">
        <v>60</v>
      </c>
      <c r="C18" s="4" t="s">
        <v>29</v>
      </c>
      <c r="D18" s="43">
        <v>43465</v>
      </c>
      <c r="E18" s="43"/>
      <c r="F18" s="5" t="s">
        <v>12</v>
      </c>
      <c r="G18" s="6">
        <v>29.917100000000001</v>
      </c>
      <c r="H18" s="6">
        <v>34.584200000000003</v>
      </c>
      <c r="I18" s="6">
        <f t="shared" si="3"/>
        <v>34.214855769230766</v>
      </c>
      <c r="J18" s="13">
        <v>2080</v>
      </c>
      <c r="K18" s="13">
        <v>35.75</v>
      </c>
      <c r="L18" s="11">
        <f>73021.48-M18</f>
        <v>71166.899999999994</v>
      </c>
      <c r="M18" s="11">
        <v>1854.58</v>
      </c>
      <c r="N18" s="11">
        <v>0</v>
      </c>
      <c r="O18" s="7">
        <f t="shared" si="2"/>
        <v>73021.48</v>
      </c>
      <c r="P18" s="7">
        <v>5690.18</v>
      </c>
      <c r="Q18" s="7">
        <v>19616.02</v>
      </c>
      <c r="R18" s="7">
        <v>2838.74</v>
      </c>
      <c r="S18" s="9" t="s">
        <v>18</v>
      </c>
      <c r="T18" s="8">
        <f>'2022 Ins'!D9</f>
        <v>11059.86</v>
      </c>
      <c r="U18" s="10" t="s">
        <v>14</v>
      </c>
      <c r="V18" s="17">
        <v>7300</v>
      </c>
      <c r="W18" s="9" t="s">
        <v>18</v>
      </c>
      <c r="X18" s="8">
        <f>'2022 Ins'!R9</f>
        <v>573.2399999999999</v>
      </c>
      <c r="Y18" s="9" t="s">
        <v>18</v>
      </c>
      <c r="Z18" s="8">
        <f>'2022 Ins'!AF9</f>
        <v>145.26000000000002</v>
      </c>
      <c r="AA18" s="8">
        <f>'2022 Ins'!AS9</f>
        <v>397.2000000000001</v>
      </c>
      <c r="AB18" s="8">
        <f>'2022 Ins'!BF9</f>
        <v>477.17999999999989</v>
      </c>
      <c r="AC18" s="7">
        <f t="shared" si="0"/>
        <v>48097.68</v>
      </c>
      <c r="AD18" s="7">
        <f t="shared" si="1"/>
        <v>121119.15999999999</v>
      </c>
    </row>
    <row r="19" spans="1:31" x14ac:dyDescent="0.3">
      <c r="A19" s="3">
        <v>18</v>
      </c>
      <c r="B19" s="44" t="s">
        <v>54</v>
      </c>
      <c r="C19" s="4" t="s">
        <v>24</v>
      </c>
      <c r="D19" s="43">
        <v>43682</v>
      </c>
      <c r="E19" s="43"/>
      <c r="F19" s="5" t="s">
        <v>12</v>
      </c>
      <c r="G19" s="6">
        <v>21.437999999999999</v>
      </c>
      <c r="H19" s="6">
        <v>22.917200000000001</v>
      </c>
      <c r="I19" s="6">
        <f t="shared" si="3"/>
        <v>21.818692307692306</v>
      </c>
      <c r="J19" s="13">
        <v>2080</v>
      </c>
      <c r="K19" s="13">
        <v>178.25</v>
      </c>
      <c r="L19" s="11">
        <f>51255.68-M19</f>
        <v>45382.879999999997</v>
      </c>
      <c r="M19" s="11">
        <v>5872.8</v>
      </c>
      <c r="N19" s="11">
        <v>0</v>
      </c>
      <c r="O19" s="7">
        <f t="shared" si="2"/>
        <v>51255.68</v>
      </c>
      <c r="P19" s="7">
        <v>4025.47</v>
      </c>
      <c r="Q19" s="7">
        <v>13767.18</v>
      </c>
      <c r="R19" s="7">
        <v>0</v>
      </c>
      <c r="S19" s="7" t="s">
        <v>79</v>
      </c>
      <c r="T19" s="8">
        <f>'2022 Ins'!D3</f>
        <v>19537.020000000004</v>
      </c>
      <c r="U19" s="10" t="s">
        <v>14</v>
      </c>
      <c r="V19" s="17">
        <v>7300</v>
      </c>
      <c r="W19" s="7" t="s">
        <v>79</v>
      </c>
      <c r="X19" s="8">
        <f>'2022 Ins'!R3</f>
        <v>992.16000000000031</v>
      </c>
      <c r="Y19" s="7" t="s">
        <v>79</v>
      </c>
      <c r="Z19" s="8">
        <f>'2022 Ins'!AF3</f>
        <v>217.91999999999996</v>
      </c>
      <c r="AA19" s="8">
        <f>'2022 Ins'!AS3</f>
        <v>248.39999999999995</v>
      </c>
      <c r="AB19" s="8">
        <f>'2022 Ins'!BF3</f>
        <v>556.1400000000001</v>
      </c>
      <c r="AC19" s="7">
        <f t="shared" si="0"/>
        <v>46644.290000000008</v>
      </c>
      <c r="AD19" s="7">
        <f t="shared" si="1"/>
        <v>97899.970000000016</v>
      </c>
    </row>
    <row r="20" spans="1:31" x14ac:dyDescent="0.3">
      <c r="A20" s="3">
        <v>19</v>
      </c>
      <c r="B20" s="44" t="s">
        <v>68</v>
      </c>
      <c r="C20" s="4" t="s">
        <v>34</v>
      </c>
      <c r="D20" s="43">
        <v>43788</v>
      </c>
      <c r="E20" s="43"/>
      <c r="F20" s="5" t="s">
        <v>12</v>
      </c>
      <c r="G20" s="6">
        <v>22</v>
      </c>
      <c r="H20" s="6">
        <v>25.431999999999999</v>
      </c>
      <c r="I20" s="6">
        <f t="shared" si="3"/>
        <v>25.195690949227373</v>
      </c>
      <c r="J20" s="13">
        <v>566.25</v>
      </c>
      <c r="K20" s="13">
        <v>0</v>
      </c>
      <c r="L20" s="11">
        <v>14267.06</v>
      </c>
      <c r="M20" s="11">
        <v>0</v>
      </c>
      <c r="N20" s="11">
        <v>0</v>
      </c>
      <c r="O20" s="7">
        <f t="shared" si="2"/>
        <v>14267.06</v>
      </c>
      <c r="P20" s="7">
        <v>1175.1099999999999</v>
      </c>
      <c r="Q20" s="7">
        <v>0</v>
      </c>
      <c r="R20" s="7">
        <v>0</v>
      </c>
      <c r="S20" s="9" t="s">
        <v>21</v>
      </c>
      <c r="T20" s="8">
        <f>'2022 Ins'!D17</f>
        <v>19537.020000000004</v>
      </c>
      <c r="U20" s="10" t="s">
        <v>21</v>
      </c>
      <c r="V20" s="17">
        <v>0</v>
      </c>
      <c r="W20" s="9" t="s">
        <v>21</v>
      </c>
      <c r="X20" s="8">
        <f>'2022 Ins'!R17</f>
        <v>890.03999999999985</v>
      </c>
      <c r="Y20" s="9" t="s">
        <v>21</v>
      </c>
      <c r="Z20" s="8">
        <f>'2022 Ins'!AF17</f>
        <v>217.91999999999996</v>
      </c>
      <c r="AA20" s="8">
        <f>'2022 Ins'!AS17</f>
        <v>248.39999999999995</v>
      </c>
      <c r="AB20" s="8">
        <f>'2022 Ins'!BF17</f>
        <v>470.39999999999986</v>
      </c>
      <c r="AC20" s="7">
        <f t="shared" si="0"/>
        <v>22538.890000000007</v>
      </c>
      <c r="AD20" s="7">
        <f t="shared" si="1"/>
        <v>36805.950000000004</v>
      </c>
    </row>
    <row r="21" spans="1:31" x14ac:dyDescent="0.3">
      <c r="A21">
        <v>20</v>
      </c>
      <c r="B21" s="44" t="s">
        <v>62</v>
      </c>
      <c r="C21" s="4" t="s">
        <v>24</v>
      </c>
      <c r="D21" s="43">
        <v>44270</v>
      </c>
      <c r="E21" s="43"/>
      <c r="F21" s="5" t="s">
        <v>12</v>
      </c>
      <c r="G21" s="6">
        <v>20.000900000000001</v>
      </c>
      <c r="H21" s="6">
        <v>21.181000000000001</v>
      </c>
      <c r="I21" s="6">
        <f t="shared" si="3"/>
        <v>20.126615384615384</v>
      </c>
      <c r="J21" s="13">
        <v>2080</v>
      </c>
      <c r="K21" s="13">
        <v>340</v>
      </c>
      <c r="L21" s="11">
        <f>52305.84-M21</f>
        <v>41863.360000000001</v>
      </c>
      <c r="M21" s="11">
        <v>10442.48</v>
      </c>
      <c r="N21" s="11">
        <v>0</v>
      </c>
      <c r="O21" s="7">
        <f t="shared" si="2"/>
        <v>52305.84</v>
      </c>
      <c r="P21" s="7">
        <v>4100.8500000000004</v>
      </c>
      <c r="Q21" s="7">
        <v>14047.06</v>
      </c>
      <c r="R21" s="7">
        <v>2152.7800000000002</v>
      </c>
      <c r="S21" s="9" t="s">
        <v>16</v>
      </c>
      <c r="T21" s="8">
        <f>'2022 Ins'!D11</f>
        <v>6215.7599999999993</v>
      </c>
      <c r="U21" s="10" t="s">
        <v>17</v>
      </c>
      <c r="V21" s="17">
        <v>3650</v>
      </c>
      <c r="W21" s="9" t="s">
        <v>16</v>
      </c>
      <c r="X21" s="8">
        <f>'2022 Ins'!R11</f>
        <v>279.60000000000008</v>
      </c>
      <c r="Y21" s="9" t="s">
        <v>16</v>
      </c>
      <c r="Z21" s="8">
        <f>'2022 Ins'!AF11</f>
        <v>68.579999999999984</v>
      </c>
      <c r="AA21" s="8">
        <f>'2022 Ins'!AS11</f>
        <v>121.20000000000002</v>
      </c>
      <c r="AB21" s="8">
        <f>'2022 Ins'!BF11</f>
        <v>590.46</v>
      </c>
      <c r="AC21" s="7">
        <f t="shared" si="0"/>
        <v>31226.289999999997</v>
      </c>
      <c r="AD21" s="7">
        <f t="shared" si="1"/>
        <v>83532.12999999999</v>
      </c>
    </row>
    <row r="22" spans="1:31" x14ac:dyDescent="0.3">
      <c r="A22" s="3">
        <v>21</v>
      </c>
      <c r="B22" s="44" t="s">
        <v>59</v>
      </c>
      <c r="C22" s="4" t="s">
        <v>28</v>
      </c>
      <c r="D22" s="43">
        <v>44651</v>
      </c>
      <c r="E22" s="43"/>
      <c r="F22" s="5" t="s">
        <v>12</v>
      </c>
      <c r="G22" s="6"/>
      <c r="H22" s="6">
        <v>22.72</v>
      </c>
      <c r="I22" s="6">
        <f t="shared" si="3"/>
        <v>22.720000000000002</v>
      </c>
      <c r="J22" s="13">
        <v>1536</v>
      </c>
      <c r="K22" s="13">
        <v>21.25</v>
      </c>
      <c r="L22" s="11">
        <f>35622.12-M22</f>
        <v>34897.920000000006</v>
      </c>
      <c r="M22" s="11">
        <v>724.2</v>
      </c>
      <c r="N22" s="11">
        <v>0</v>
      </c>
      <c r="O22" s="7">
        <f t="shared" si="2"/>
        <v>35622.120000000003</v>
      </c>
      <c r="P22" s="7">
        <v>2800.72</v>
      </c>
      <c r="Q22" s="7">
        <v>9558.33</v>
      </c>
      <c r="R22" s="7">
        <v>1762.93</v>
      </c>
      <c r="S22" s="9" t="s">
        <v>16</v>
      </c>
      <c r="T22" s="8">
        <f>'2022 Ins'!D8</f>
        <v>19537.020000000004</v>
      </c>
      <c r="U22" s="10" t="s">
        <v>17</v>
      </c>
      <c r="V22" s="17">
        <v>2750</v>
      </c>
      <c r="W22" s="9" t="s">
        <v>16</v>
      </c>
      <c r="X22" s="8">
        <f>'2022 Ins'!R8</f>
        <v>890.03999999999985</v>
      </c>
      <c r="Y22" s="9" t="s">
        <v>16</v>
      </c>
      <c r="Z22" s="8">
        <f>'2022 Ins'!AF8</f>
        <v>217.91999999999996</v>
      </c>
      <c r="AA22" s="8">
        <f>'2022 Ins'!AS8</f>
        <v>248.39999999999995</v>
      </c>
      <c r="AB22" s="8">
        <f>'2022 Ins'!BF8</f>
        <v>781.55999999999972</v>
      </c>
      <c r="AC22" s="7">
        <f t="shared" si="0"/>
        <v>38546.92</v>
      </c>
      <c r="AD22" s="7">
        <f t="shared" si="1"/>
        <v>74169.039999999994</v>
      </c>
    </row>
    <row r="23" spans="1:31" x14ac:dyDescent="0.3">
      <c r="A23" s="3">
        <v>22</v>
      </c>
      <c r="B23" s="44" t="s">
        <v>61</v>
      </c>
      <c r="C23" s="4" t="s">
        <v>30</v>
      </c>
      <c r="D23" s="43">
        <v>44680</v>
      </c>
      <c r="E23" s="43"/>
      <c r="F23" s="5" t="s">
        <v>12</v>
      </c>
      <c r="G23" s="6"/>
      <c r="H23" s="6">
        <v>25.93</v>
      </c>
      <c r="I23" s="6">
        <f t="shared" si="3"/>
        <v>25.930003645643456</v>
      </c>
      <c r="J23" s="13">
        <v>1371.5</v>
      </c>
      <c r="K23" s="13">
        <v>145</v>
      </c>
      <c r="L23" s="11">
        <f>41202.78-M23</f>
        <v>35563</v>
      </c>
      <c r="M23" s="11">
        <v>5639.78</v>
      </c>
      <c r="N23" s="11">
        <v>0</v>
      </c>
      <c r="O23" s="7">
        <f t="shared" si="2"/>
        <v>41202.78</v>
      </c>
      <c r="P23" s="7">
        <v>3227.63</v>
      </c>
      <c r="Q23" s="7">
        <v>11048.97</v>
      </c>
      <c r="R23" s="7">
        <v>0</v>
      </c>
      <c r="S23" s="9" t="s">
        <v>13</v>
      </c>
      <c r="T23" s="8">
        <f>'2022 Ins'!D10</f>
        <v>2019.68</v>
      </c>
      <c r="U23" s="10" t="s">
        <v>14</v>
      </c>
      <c r="V23" s="17">
        <v>4900</v>
      </c>
      <c r="W23" s="9" t="s">
        <v>13</v>
      </c>
      <c r="X23" s="8">
        <f>'2022 Ins'!R10</f>
        <v>93.2</v>
      </c>
      <c r="Y23" s="9" t="s">
        <v>13</v>
      </c>
      <c r="Z23" s="8">
        <f>'2022 Ins'!AF10</f>
        <v>22.24</v>
      </c>
      <c r="AA23" s="8">
        <f>'2022 Ins'!AS10</f>
        <v>40.799999999999997</v>
      </c>
      <c r="AB23" s="8">
        <f>'2022 Ins'!BF10</f>
        <v>169.6</v>
      </c>
      <c r="AC23" s="7">
        <f t="shared" si="0"/>
        <v>21522.12</v>
      </c>
      <c r="AD23" s="7">
        <f t="shared" si="1"/>
        <v>62724.899999999994</v>
      </c>
    </row>
    <row r="24" spans="1:31" x14ac:dyDescent="0.3">
      <c r="A24" s="3">
        <v>23</v>
      </c>
      <c r="B24" s="44" t="s">
        <v>56</v>
      </c>
      <c r="C24" s="4" t="s">
        <v>24</v>
      </c>
      <c r="D24" s="43">
        <v>44704</v>
      </c>
      <c r="E24" s="43"/>
      <c r="F24" s="5" t="s">
        <v>12</v>
      </c>
      <c r="G24" s="6">
        <v>18</v>
      </c>
      <c r="H24" s="6">
        <v>20</v>
      </c>
      <c r="I24" s="6">
        <f t="shared" si="3"/>
        <v>19.051770002046243</v>
      </c>
      <c r="J24" s="13">
        <v>1221.75</v>
      </c>
      <c r="K24" s="13">
        <v>107.75</v>
      </c>
      <c r="L24" s="11">
        <f>26354.5-M24</f>
        <v>23276.5</v>
      </c>
      <c r="M24" s="11">
        <v>3078</v>
      </c>
      <c r="N24" s="11">
        <v>0</v>
      </c>
      <c r="O24" s="7">
        <f t="shared" si="2"/>
        <v>26354.5</v>
      </c>
      <c r="P24" s="7">
        <v>2091.7399999999998</v>
      </c>
      <c r="Q24" s="7">
        <v>7064.1</v>
      </c>
      <c r="R24" s="7">
        <v>1281.75</v>
      </c>
      <c r="S24" s="9" t="s">
        <v>16</v>
      </c>
      <c r="T24" s="8">
        <f>'2022 Ins'!D5</f>
        <v>12876.359999999997</v>
      </c>
      <c r="U24" s="10" t="s">
        <v>17</v>
      </c>
      <c r="V24" s="17">
        <v>2150</v>
      </c>
      <c r="W24" s="9" t="s">
        <v>16</v>
      </c>
      <c r="X24" s="8">
        <f>'2022 Ins'!R5</f>
        <v>553.79999999999984</v>
      </c>
      <c r="Y24" s="9" t="s">
        <v>16</v>
      </c>
      <c r="Z24" s="8">
        <f>'2022 Ins'!AF5</f>
        <v>137.03999999999996</v>
      </c>
      <c r="AA24" s="8">
        <f>'2022 Ins'!AS5</f>
        <v>628.79999999999984</v>
      </c>
      <c r="AB24" s="8">
        <f>'2022 Ins'!BF5</f>
        <v>648.77999999999986</v>
      </c>
      <c r="AC24" s="7">
        <f t="shared" si="0"/>
        <v>27432.369999999995</v>
      </c>
      <c r="AD24" s="7">
        <f t="shared" si="1"/>
        <v>53786.869999999995</v>
      </c>
    </row>
    <row r="25" spans="1:31" x14ac:dyDescent="0.3">
      <c r="A25">
        <v>24</v>
      </c>
      <c r="B25" s="44" t="s">
        <v>74</v>
      </c>
      <c r="C25" s="4" t="s">
        <v>24</v>
      </c>
      <c r="D25" s="43">
        <v>44830</v>
      </c>
      <c r="E25" s="43"/>
      <c r="F25" s="5" t="s">
        <v>12</v>
      </c>
      <c r="G25" s="6"/>
      <c r="H25" s="6">
        <v>18</v>
      </c>
      <c r="I25" s="6">
        <f t="shared" si="3"/>
        <v>18</v>
      </c>
      <c r="J25" s="13">
        <v>488.5</v>
      </c>
      <c r="K25" s="13">
        <v>18</v>
      </c>
      <c r="L25" s="11">
        <f>9279-M25</f>
        <v>8793</v>
      </c>
      <c r="M25" s="11">
        <v>486</v>
      </c>
      <c r="N25" s="11">
        <v>0</v>
      </c>
      <c r="O25" s="7">
        <f t="shared" si="2"/>
        <v>9279</v>
      </c>
      <c r="P25" s="7">
        <v>774.76</v>
      </c>
      <c r="Q25" s="7">
        <v>2485.86</v>
      </c>
      <c r="R25" s="7">
        <v>0</v>
      </c>
      <c r="S25" s="9" t="s">
        <v>16</v>
      </c>
      <c r="T25" s="8">
        <f>'2022 Ins'!D25</f>
        <v>1593.12</v>
      </c>
      <c r="U25" s="10" t="s">
        <v>17</v>
      </c>
      <c r="V25" s="17">
        <v>912.5</v>
      </c>
      <c r="W25" s="9" t="s">
        <v>16</v>
      </c>
      <c r="X25" s="8">
        <f>'2022 Ins'!R25</f>
        <v>69.900000000000006</v>
      </c>
      <c r="Y25" s="9" t="s">
        <v>16</v>
      </c>
      <c r="Z25" s="8">
        <f>'2022 Ins'!AF25</f>
        <v>17.61</v>
      </c>
      <c r="AA25" s="8">
        <f>'2022 Ins'!AS25</f>
        <v>30.6</v>
      </c>
      <c r="AB25" s="8">
        <f>'2022 Ins'!BF25</f>
        <v>66.14</v>
      </c>
      <c r="AC25" s="7">
        <f t="shared" si="0"/>
        <v>5950.49</v>
      </c>
      <c r="AD25" s="7">
        <f t="shared" si="1"/>
        <v>15229.49</v>
      </c>
    </row>
    <row r="26" spans="1:31" ht="7.2" customHeight="1" x14ac:dyDescent="0.3">
      <c r="B26" s="45"/>
      <c r="C26" s="4"/>
      <c r="K26" s="15"/>
      <c r="V26" s="17"/>
    </row>
    <row r="27" spans="1:31" s="24" customFormat="1" x14ac:dyDescent="0.3">
      <c r="B27" s="46"/>
      <c r="C27" s="25" t="s">
        <v>81</v>
      </c>
      <c r="J27" s="26">
        <f>SUM(J2:J26)</f>
        <v>42152.5</v>
      </c>
      <c r="K27" s="26">
        <f t="shared" ref="K27:AD27" si="4">SUM(K2:K26)</f>
        <v>1754</v>
      </c>
      <c r="L27" s="27">
        <f t="shared" si="4"/>
        <v>1389252.5699999998</v>
      </c>
      <c r="M27" s="27">
        <f t="shared" si="4"/>
        <v>70213.09</v>
      </c>
      <c r="N27" s="27">
        <f t="shared" si="4"/>
        <v>8776.58</v>
      </c>
      <c r="O27" s="28">
        <f>SUM(O2:O26)</f>
        <v>1461951.9600000002</v>
      </c>
      <c r="P27" s="28">
        <f t="shared" si="4"/>
        <v>114180.20000000003</v>
      </c>
      <c r="Q27" s="28">
        <f t="shared" si="4"/>
        <v>387548.55</v>
      </c>
      <c r="R27" s="28">
        <f t="shared" si="4"/>
        <v>51718.929999999993</v>
      </c>
      <c r="S27" s="28"/>
      <c r="T27" s="29">
        <f t="shared" si="4"/>
        <v>271884.61000000004</v>
      </c>
      <c r="U27" s="29"/>
      <c r="V27" s="33">
        <f t="shared" si="4"/>
        <v>125662.5</v>
      </c>
      <c r="W27" s="28"/>
      <c r="X27" s="29">
        <f t="shared" si="4"/>
        <v>13681.759999999998</v>
      </c>
      <c r="Y27" s="28"/>
      <c r="Z27" s="29">
        <f t="shared" si="4"/>
        <v>3297.62</v>
      </c>
      <c r="AA27" s="29">
        <f t="shared" si="4"/>
        <v>6214.2</v>
      </c>
      <c r="AB27" s="29">
        <f t="shared" si="4"/>
        <v>12862.509999999997</v>
      </c>
      <c r="AC27" s="28">
        <f t="shared" si="4"/>
        <v>995827.4600000002</v>
      </c>
      <c r="AD27" s="28">
        <f t="shared" si="4"/>
        <v>2455293.12</v>
      </c>
      <c r="AE27" s="28"/>
    </row>
  </sheetData>
  <sortState xmlns:xlrd2="http://schemas.microsoft.com/office/spreadsheetml/2017/richdata2" ref="B2:AD25">
    <sortCondition ref="B2:B25"/>
  </sortState>
  <pageMargins left="0.45" right="0.45" top="0.75" bottom="0.75" header="0.3" footer="0.3"/>
  <pageSetup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DC28-2E70-43ED-895A-89494F134D5C}">
  <sheetPr>
    <pageSetUpPr fitToPage="1"/>
  </sheetPr>
  <dimension ref="A1:AE26"/>
  <sheetViews>
    <sheetView workbookViewId="0">
      <pane xSplit="1" ySplit="1" topLeftCell="B2" activePane="bottomRight" state="frozen"/>
      <selection activeCell="H13" sqref="H13"/>
      <selection pane="topRight" activeCell="H13" sqref="H13"/>
      <selection pane="bottomLeft" activeCell="H13" sqref="H13"/>
      <selection pane="bottomRight" activeCell="Q1" sqref="Q1"/>
    </sheetView>
  </sheetViews>
  <sheetFormatPr defaultColWidth="9.109375" defaultRowHeight="14.4" x14ac:dyDescent="0.3"/>
  <cols>
    <col min="1" max="1" width="3" style="3" bestFit="1" customWidth="1"/>
    <col min="2" max="2" width="11" style="47" bestFit="1" customWidth="1"/>
    <col min="3" max="3" width="31" style="3" bestFit="1" customWidth="1"/>
    <col min="4" max="5" width="10.5546875" style="3" bestFit="1" customWidth="1"/>
    <col min="6" max="6" width="8.6640625" style="3" customWidth="1"/>
    <col min="7" max="8" width="12.109375" style="3" bestFit="1" customWidth="1"/>
    <col min="9" max="9" width="8.6640625" style="3" customWidth="1"/>
    <col min="10" max="10" width="10.44140625" style="3" bestFit="1" customWidth="1"/>
    <col min="11" max="11" width="8.6640625" style="3" customWidth="1"/>
    <col min="12" max="12" width="11.109375" style="3" bestFit="1" customWidth="1"/>
    <col min="13" max="13" width="10.109375" style="3" bestFit="1" customWidth="1"/>
    <col min="14" max="14" width="10.109375" style="3" customWidth="1"/>
    <col min="15" max="15" width="13.5546875" style="7" customWidth="1"/>
    <col min="16" max="16" width="13.88671875" style="7" customWidth="1"/>
    <col min="17" max="17" width="12.5546875" style="3" bestFit="1" customWidth="1"/>
    <col min="18" max="18" width="13.33203125" style="3" customWidth="1"/>
    <col min="19" max="19" width="15.109375" style="3" bestFit="1" customWidth="1"/>
    <col min="20" max="20" width="12.5546875" style="3" bestFit="1" customWidth="1"/>
    <col min="21" max="21" width="12.5546875" style="3" customWidth="1"/>
    <col min="22" max="22" width="11.5546875" style="3" bestFit="1" customWidth="1"/>
    <col min="23" max="23" width="15.109375" style="3" bestFit="1" customWidth="1"/>
    <col min="24" max="24" width="11.5546875" style="3" bestFit="1" customWidth="1"/>
    <col min="25" max="25" width="15.109375" style="3" bestFit="1" customWidth="1"/>
    <col min="26" max="26" width="10.5546875" style="3" bestFit="1" customWidth="1"/>
    <col min="27" max="27" width="11.109375" style="3" bestFit="1" customWidth="1"/>
    <col min="28" max="28" width="11.5546875" style="3" bestFit="1" customWidth="1"/>
    <col min="29" max="29" width="14.33203125" style="3" customWidth="1"/>
    <col min="30" max="30" width="16.33203125" style="3" customWidth="1"/>
    <col min="31" max="16384" width="9.109375" style="3"/>
  </cols>
  <sheetData>
    <row r="1" spans="1:30" ht="66" x14ac:dyDescent="0.3">
      <c r="B1" s="1" t="s">
        <v>52</v>
      </c>
      <c r="C1" s="1" t="s">
        <v>83</v>
      </c>
      <c r="D1" s="1" t="s">
        <v>0</v>
      </c>
      <c r="E1" s="1" t="s">
        <v>22</v>
      </c>
      <c r="F1" s="1" t="s">
        <v>86</v>
      </c>
      <c r="G1" s="1" t="s">
        <v>47</v>
      </c>
      <c r="H1" s="1" t="s">
        <v>48</v>
      </c>
      <c r="I1" s="1" t="s">
        <v>46</v>
      </c>
      <c r="J1" s="1" t="s">
        <v>40</v>
      </c>
      <c r="K1" s="1" t="s">
        <v>41</v>
      </c>
      <c r="L1" s="1" t="s">
        <v>43</v>
      </c>
      <c r="M1" s="1" t="s">
        <v>42</v>
      </c>
      <c r="N1" s="1" t="s">
        <v>49</v>
      </c>
      <c r="O1" s="1" t="s">
        <v>44</v>
      </c>
      <c r="P1" s="1" t="s">
        <v>82</v>
      </c>
      <c r="Q1" s="1" t="s">
        <v>50</v>
      </c>
      <c r="R1" s="36" t="s">
        <v>51</v>
      </c>
      <c r="S1" s="1" t="s">
        <v>1</v>
      </c>
      <c r="T1" s="1" t="s">
        <v>2</v>
      </c>
      <c r="U1" s="1" t="s">
        <v>3</v>
      </c>
      <c r="V1" s="1" t="s">
        <v>4</v>
      </c>
      <c r="W1" s="1" t="s">
        <v>5</v>
      </c>
      <c r="X1" s="1" t="s">
        <v>6</v>
      </c>
      <c r="Y1" s="1" t="s">
        <v>7</v>
      </c>
      <c r="Z1" s="1" t="s">
        <v>8</v>
      </c>
      <c r="AA1" s="1" t="s">
        <v>9</v>
      </c>
      <c r="AB1" s="1" t="s">
        <v>10</v>
      </c>
      <c r="AC1" s="1" t="s">
        <v>45</v>
      </c>
      <c r="AD1" s="1" t="s">
        <v>11</v>
      </c>
    </row>
    <row r="2" spans="1:30" x14ac:dyDescent="0.3">
      <c r="A2" s="3">
        <v>1</v>
      </c>
      <c r="B2" s="44" t="s">
        <v>53</v>
      </c>
      <c r="C2" s="4" t="s">
        <v>23</v>
      </c>
      <c r="D2" s="43">
        <v>37011</v>
      </c>
      <c r="E2" s="43"/>
      <c r="F2" s="5" t="s">
        <v>12</v>
      </c>
      <c r="G2" s="6">
        <v>34.6447</v>
      </c>
      <c r="H2" s="6">
        <v>37.658799999999999</v>
      </c>
      <c r="I2" s="6">
        <f>(L2/J2)</f>
        <v>36.20326923076923</v>
      </c>
      <c r="J2" s="13">
        <v>1040</v>
      </c>
      <c r="K2" s="12">
        <v>46.25</v>
      </c>
      <c r="L2" s="11">
        <f>44989.19-M2-N2</f>
        <v>37651.4</v>
      </c>
      <c r="M2" s="11">
        <v>2522.17</v>
      </c>
      <c r="N2" s="11">
        <f>1385.79+3429.83</f>
        <v>4815.62</v>
      </c>
      <c r="O2" s="7">
        <f t="shared" ref="O2:O24" si="0">L2+M2+N2</f>
        <v>44989.19</v>
      </c>
      <c r="P2" s="7">
        <f>657.99+2813.52+24.98</f>
        <v>3496.4900000000002</v>
      </c>
      <c r="Q2" s="7">
        <v>10762.51</v>
      </c>
      <c r="R2" s="7">
        <v>2008.68</v>
      </c>
      <c r="S2" s="7" t="s">
        <v>15</v>
      </c>
      <c r="T2" s="8">
        <f>'2023 Ins'!D2</f>
        <v>5671.0199999999995</v>
      </c>
      <c r="U2" s="8" t="s">
        <v>14</v>
      </c>
      <c r="V2" s="8">
        <v>3875</v>
      </c>
      <c r="W2" s="7" t="s">
        <v>15</v>
      </c>
      <c r="X2" s="8">
        <f>'2023 Ins'!R2</f>
        <v>313.2</v>
      </c>
      <c r="Y2" s="7" t="s">
        <v>15</v>
      </c>
      <c r="Z2" s="8">
        <f>'2023 Ins'!AF2</f>
        <v>75.36</v>
      </c>
      <c r="AA2" s="8">
        <f>'2023 Ins'!AS2</f>
        <v>420.6</v>
      </c>
      <c r="AB2" s="8">
        <f>'2023 Ins'!BF2</f>
        <v>381.95999999999992</v>
      </c>
      <c r="AC2" s="7">
        <f t="shared" ref="AC2:AC24" si="1">N2+P2+Q2+R2+T2+V2+X2+Z2+AA2+AB2</f>
        <v>31820.440000000002</v>
      </c>
      <c r="AD2" s="7">
        <f t="shared" ref="AD2:AD24" si="2">AC2+L2+M2</f>
        <v>71994.009999999995</v>
      </c>
    </row>
    <row r="3" spans="1:30" x14ac:dyDescent="0.3">
      <c r="A3" s="3">
        <v>2</v>
      </c>
      <c r="B3" s="44" t="s">
        <v>57</v>
      </c>
      <c r="C3" s="4" t="s">
        <v>26</v>
      </c>
      <c r="D3" s="43">
        <v>37826</v>
      </c>
      <c r="E3" s="43"/>
      <c r="F3" s="5" t="s">
        <v>12</v>
      </c>
      <c r="G3" s="6">
        <v>29.797599999999999</v>
      </c>
      <c r="H3" s="6">
        <v>32.39</v>
      </c>
      <c r="I3" s="6">
        <f>(L3/J3)</f>
        <v>29.81910576923077</v>
      </c>
      <c r="J3" s="13">
        <v>1040</v>
      </c>
      <c r="K3" s="12">
        <v>20.75</v>
      </c>
      <c r="L3" s="11">
        <f>31939.31-M3</f>
        <v>31011.870000000003</v>
      </c>
      <c r="M3" s="11">
        <v>927.44</v>
      </c>
      <c r="N3" s="11">
        <v>0</v>
      </c>
      <c r="O3" s="7">
        <f t="shared" si="0"/>
        <v>31939.31</v>
      </c>
      <c r="P3" s="7">
        <f>463.14+1980.24+24.97</f>
        <v>2468.35</v>
      </c>
      <c r="Q3" s="7">
        <v>8556.5400000000009</v>
      </c>
      <c r="R3" s="7">
        <v>1596.97</v>
      </c>
      <c r="S3" s="7" t="s">
        <v>13</v>
      </c>
      <c r="T3" s="8">
        <f>'2023 Ins'!D6</f>
        <v>10019.280000000002</v>
      </c>
      <c r="U3" s="8" t="s">
        <v>14</v>
      </c>
      <c r="V3" s="8">
        <v>3875</v>
      </c>
      <c r="W3" s="7" t="s">
        <v>13</v>
      </c>
      <c r="X3" s="8">
        <f>'2023 Ins'!R6</f>
        <v>496.08000000000004</v>
      </c>
      <c r="Y3" s="7" t="s">
        <v>13</v>
      </c>
      <c r="Z3" s="8">
        <f>'2023 Ins'!AF6</f>
        <v>120.41999999999999</v>
      </c>
      <c r="AA3" s="8">
        <f>'2023 Ins'!AS6</f>
        <v>124.2</v>
      </c>
      <c r="AB3" s="8">
        <f>'2023 Ins'!BF6</f>
        <v>459.17999999999995</v>
      </c>
      <c r="AC3" s="7">
        <f t="shared" si="1"/>
        <v>27716.020000000004</v>
      </c>
      <c r="AD3" s="7">
        <f t="shared" si="2"/>
        <v>59655.330000000009</v>
      </c>
    </row>
    <row r="4" spans="1:30" x14ac:dyDescent="0.3">
      <c r="A4" s="3">
        <v>3</v>
      </c>
      <c r="B4" s="44" t="s">
        <v>63</v>
      </c>
      <c r="C4" s="4" t="s">
        <v>84</v>
      </c>
      <c r="D4" s="43">
        <v>37466</v>
      </c>
      <c r="E4" s="43"/>
      <c r="F4" s="5" t="s">
        <v>12</v>
      </c>
      <c r="G4" s="6">
        <v>29.177299999999999</v>
      </c>
      <c r="H4" s="6">
        <v>32.0075</v>
      </c>
      <c r="I4" s="6">
        <f>(L4/J4)</f>
        <v>29.177317307692306</v>
      </c>
      <c r="J4" s="13">
        <v>1040</v>
      </c>
      <c r="K4" s="12">
        <v>0.25</v>
      </c>
      <c r="L4" s="11">
        <f>30355.35-M4</f>
        <v>30344.41</v>
      </c>
      <c r="M4" s="11">
        <v>10.94</v>
      </c>
      <c r="N4" s="11">
        <v>0</v>
      </c>
      <c r="O4" s="7">
        <f t="shared" si="0"/>
        <v>30355.35</v>
      </c>
      <c r="P4" s="7">
        <f>440.2+1882.04+24.97</f>
        <v>2347.2099999999996</v>
      </c>
      <c r="Q4" s="7">
        <v>8132.22</v>
      </c>
      <c r="R4" s="7">
        <v>1517.78</v>
      </c>
      <c r="S4" s="7" t="s">
        <v>13</v>
      </c>
      <c r="T4" s="8">
        <f>'2023 Ins'!D12</f>
        <v>10019.280000000002</v>
      </c>
      <c r="U4" s="8" t="s">
        <v>14</v>
      </c>
      <c r="V4" s="8">
        <v>3875</v>
      </c>
      <c r="W4" s="7" t="s">
        <v>13</v>
      </c>
      <c r="X4" s="8">
        <f>'2023 Ins'!R12</f>
        <v>445.02000000000004</v>
      </c>
      <c r="Y4" s="7" t="s">
        <v>13</v>
      </c>
      <c r="Z4" s="8">
        <f>'2023 Ins'!AF12</f>
        <v>120.41999999999999</v>
      </c>
      <c r="AA4" s="8">
        <f>'2023 Ins'!AS12</f>
        <v>198.6</v>
      </c>
      <c r="AB4" s="8">
        <f>'2023 Ins'!BF12</f>
        <v>553.56000000000006</v>
      </c>
      <c r="AC4" s="7">
        <f t="shared" si="1"/>
        <v>27209.090000000004</v>
      </c>
      <c r="AD4" s="7">
        <f t="shared" si="2"/>
        <v>57564.44</v>
      </c>
    </row>
    <row r="5" spans="1:30" x14ac:dyDescent="0.3">
      <c r="A5" s="3">
        <v>4</v>
      </c>
      <c r="B5" s="44" t="s">
        <v>66</v>
      </c>
      <c r="C5" s="4" t="s">
        <v>33</v>
      </c>
      <c r="D5" s="43">
        <v>37935</v>
      </c>
      <c r="E5" s="43"/>
      <c r="F5" s="5" t="s">
        <v>12</v>
      </c>
      <c r="G5" s="6">
        <v>35.061</v>
      </c>
      <c r="H5" s="6"/>
      <c r="I5" s="6">
        <f>(L5/J5)</f>
        <v>35.069423076923073</v>
      </c>
      <c r="J5" s="13">
        <v>1040</v>
      </c>
      <c r="K5" s="12">
        <v>8.5</v>
      </c>
      <c r="L5" s="11">
        <f>36919.24-M5</f>
        <v>36472.199999999997</v>
      </c>
      <c r="M5" s="11">
        <v>447.04</v>
      </c>
      <c r="N5" s="11">
        <v>0</v>
      </c>
      <c r="O5" s="7">
        <f t="shared" si="0"/>
        <v>36919.24</v>
      </c>
      <c r="P5" s="7">
        <f>535.31+2288.98+24.97</f>
        <v>2849.2599999999998</v>
      </c>
      <c r="Q5" s="7">
        <v>9890.67</v>
      </c>
      <c r="R5" s="7">
        <v>1845.95</v>
      </c>
      <c r="S5" s="7" t="s">
        <v>18</v>
      </c>
      <c r="T5" s="8">
        <f>'2023 Ins'!D15</f>
        <v>10019.280000000002</v>
      </c>
      <c r="U5" s="8" t="s">
        <v>14</v>
      </c>
      <c r="V5" s="8">
        <v>3875</v>
      </c>
      <c r="W5" s="7" t="s">
        <v>18</v>
      </c>
      <c r="X5" s="8">
        <f>'2023 Ins'!R15</f>
        <v>445.02000000000004</v>
      </c>
      <c r="Y5" s="7" t="s">
        <v>18</v>
      </c>
      <c r="Z5" s="8">
        <f>'2023 Ins'!AF15</f>
        <v>120.41999999999999</v>
      </c>
      <c r="AA5" s="8">
        <f>'2023 Ins'!AS15</f>
        <v>124.2</v>
      </c>
      <c r="AB5" s="8">
        <f>'2023 Ins'!BF15</f>
        <v>255.18</v>
      </c>
      <c r="AC5" s="7">
        <f t="shared" si="1"/>
        <v>29424.980000000003</v>
      </c>
      <c r="AD5" s="7">
        <f t="shared" si="2"/>
        <v>66344.219999999987</v>
      </c>
    </row>
    <row r="6" spans="1:30" x14ac:dyDescent="0.3">
      <c r="A6" s="3">
        <v>5</v>
      </c>
      <c r="B6" s="44" t="s">
        <v>69</v>
      </c>
      <c r="C6" s="4" t="s">
        <v>35</v>
      </c>
      <c r="D6" s="43">
        <v>36055</v>
      </c>
      <c r="E6" s="43"/>
      <c r="F6" s="5" t="s">
        <v>12</v>
      </c>
      <c r="G6" s="6">
        <v>44.514400000000002</v>
      </c>
      <c r="H6" s="6">
        <v>48.3872</v>
      </c>
      <c r="I6" s="6">
        <f>(L6/J6)</f>
        <v>44.514420673076927</v>
      </c>
      <c r="J6" s="13">
        <v>1040</v>
      </c>
      <c r="K6" s="12">
        <v>33</v>
      </c>
      <c r="L6" s="11">
        <f>48620.86-M6-N6</f>
        <v>46294.997500000005</v>
      </c>
      <c r="M6" s="11">
        <v>2203.46</v>
      </c>
      <c r="N6" s="11">
        <f>2.75*44.51</f>
        <v>122.40249999999999</v>
      </c>
      <c r="O6" s="7">
        <f t="shared" si="0"/>
        <v>48620.86</v>
      </c>
      <c r="P6" s="7">
        <f>705.02+3014.48+24.97</f>
        <v>3744.47</v>
      </c>
      <c r="Q6" s="7">
        <v>13025.52</v>
      </c>
      <c r="R6" s="7">
        <v>2431.04</v>
      </c>
      <c r="S6" s="7" t="s">
        <v>13</v>
      </c>
      <c r="T6" s="8">
        <f>'2023 Ins'!D18</f>
        <v>0</v>
      </c>
      <c r="U6" s="8" t="s">
        <v>14</v>
      </c>
      <c r="V6" s="8">
        <v>3875</v>
      </c>
      <c r="W6" s="7" t="s">
        <v>13</v>
      </c>
      <c r="X6" s="8">
        <f>'2023 Ins'!R18</f>
        <v>0</v>
      </c>
      <c r="Y6" s="7" t="s">
        <v>13</v>
      </c>
      <c r="Z6" s="8">
        <f>'2023 Ins'!AF18</f>
        <v>0</v>
      </c>
      <c r="AA6" s="8">
        <f>'2023 Ins'!AS18</f>
        <v>0</v>
      </c>
      <c r="AB6" s="8">
        <f>'2023 Ins'!BF18</f>
        <v>0</v>
      </c>
      <c r="AC6" s="7">
        <f t="shared" si="1"/>
        <v>23198.432500000003</v>
      </c>
      <c r="AD6" s="7">
        <f t="shared" si="2"/>
        <v>71696.890000000014</v>
      </c>
    </row>
    <row r="7" spans="1:30" x14ac:dyDescent="0.3">
      <c r="A7" s="3">
        <v>6</v>
      </c>
      <c r="B7" s="44" t="s">
        <v>72</v>
      </c>
      <c r="C7" s="4" t="s">
        <v>37</v>
      </c>
      <c r="D7" s="43">
        <v>39027</v>
      </c>
      <c r="E7" s="43"/>
      <c r="F7" s="5" t="s">
        <v>19</v>
      </c>
      <c r="G7" s="11">
        <v>169440</v>
      </c>
      <c r="H7" s="11"/>
      <c r="I7" s="6"/>
      <c r="J7" s="13">
        <v>1040</v>
      </c>
      <c r="K7" s="12">
        <v>0</v>
      </c>
      <c r="L7" s="11">
        <v>84719.96</v>
      </c>
      <c r="M7" s="11">
        <v>0</v>
      </c>
      <c r="N7" s="11">
        <v>0</v>
      </c>
      <c r="O7" s="7">
        <f t="shared" si="0"/>
        <v>84719.96</v>
      </c>
      <c r="P7" s="7">
        <f>1234.09+5276.83+24.97</f>
        <v>6535.89</v>
      </c>
      <c r="Q7" s="7">
        <v>22696.44</v>
      </c>
      <c r="R7" s="7">
        <v>4236.05</v>
      </c>
      <c r="S7" s="7" t="s">
        <v>15</v>
      </c>
      <c r="T7" s="8">
        <f>'2023 Ins'!D21</f>
        <v>10019.280000000002</v>
      </c>
      <c r="U7" s="8" t="s">
        <v>14</v>
      </c>
      <c r="V7" s="8">
        <v>3875</v>
      </c>
      <c r="W7" s="7" t="s">
        <v>13</v>
      </c>
      <c r="X7" s="8">
        <f>'2023 Ins'!R21</f>
        <v>445.02000000000004</v>
      </c>
      <c r="Y7" s="7" t="s">
        <v>13</v>
      </c>
      <c r="Z7" s="8">
        <f>'2023 Ins'!AF21</f>
        <v>120.41999999999999</v>
      </c>
      <c r="AA7" s="8">
        <f>'2023 Ins'!AS21</f>
        <v>61.2</v>
      </c>
      <c r="AB7" s="8">
        <f>'2023 Ins'!BF21</f>
        <v>285.89999999999998</v>
      </c>
      <c r="AC7" s="7">
        <f t="shared" si="1"/>
        <v>48275.199999999997</v>
      </c>
      <c r="AD7" s="7">
        <f t="shared" si="2"/>
        <v>132995.16</v>
      </c>
    </row>
    <row r="8" spans="1:30" x14ac:dyDescent="0.3">
      <c r="A8" s="3">
        <v>7</v>
      </c>
      <c r="B8" s="44" t="s">
        <v>58</v>
      </c>
      <c r="C8" s="4" t="s">
        <v>27</v>
      </c>
      <c r="D8" s="43">
        <v>40990</v>
      </c>
      <c r="E8" s="43"/>
      <c r="F8" s="5" t="s">
        <v>12</v>
      </c>
      <c r="G8" s="6">
        <v>39.661200000000001</v>
      </c>
      <c r="H8" s="6">
        <v>43.508299999999998</v>
      </c>
      <c r="I8" s="6">
        <f>(L8/J8)</f>
        <v>41.040057692307691</v>
      </c>
      <c r="J8" s="13">
        <v>1040</v>
      </c>
      <c r="K8" s="12">
        <v>55.75</v>
      </c>
      <c r="L8" s="11">
        <f>47579.02-M8-N8</f>
        <v>42681.659999999996</v>
      </c>
      <c r="M8" s="11">
        <v>3469.58</v>
      </c>
      <c r="N8" s="11">
        <f>674.24+(19*39.66)</f>
        <v>1427.78</v>
      </c>
      <c r="O8" s="7">
        <f t="shared" si="0"/>
        <v>47579.02</v>
      </c>
      <c r="P8" s="7">
        <f>689.89+2949.89+24.98</f>
        <v>3664.7599999999998</v>
      </c>
      <c r="Q8" s="7">
        <v>12565.8</v>
      </c>
      <c r="R8" s="7">
        <v>2345.2399999999998</v>
      </c>
      <c r="S8" s="7" t="s">
        <v>13</v>
      </c>
      <c r="T8" s="8">
        <f>'2023 Ins'!D7</f>
        <v>5671.0199999999995</v>
      </c>
      <c r="U8" s="8" t="s">
        <v>14</v>
      </c>
      <c r="V8" s="8">
        <v>3875</v>
      </c>
      <c r="W8" s="7" t="s">
        <v>13</v>
      </c>
      <c r="X8" s="8">
        <f>'2023 Ins'!R7</f>
        <v>445.02000000000004</v>
      </c>
      <c r="Y8" s="7" t="s">
        <v>13</v>
      </c>
      <c r="Z8" s="8">
        <f>'2023 Ins'!AF7</f>
        <v>120.41999999999999</v>
      </c>
      <c r="AA8" s="8">
        <f>'2023 Ins'!AS7</f>
        <v>198.6</v>
      </c>
      <c r="AB8" s="8">
        <f>'2023 Ins'!BF7</f>
        <v>848.1</v>
      </c>
      <c r="AC8" s="7">
        <f t="shared" si="1"/>
        <v>31161.739999999998</v>
      </c>
      <c r="AD8" s="7">
        <f t="shared" si="2"/>
        <v>77312.98</v>
      </c>
    </row>
    <row r="9" spans="1:30" x14ac:dyDescent="0.3">
      <c r="A9" s="3">
        <v>8</v>
      </c>
      <c r="B9" s="44" t="s">
        <v>73</v>
      </c>
      <c r="C9" s="4" t="s">
        <v>84</v>
      </c>
      <c r="D9" s="43">
        <v>41211</v>
      </c>
      <c r="E9" s="43"/>
      <c r="F9" s="5" t="s">
        <v>12</v>
      </c>
      <c r="G9" s="6">
        <v>25.823499999999999</v>
      </c>
      <c r="H9" s="6"/>
      <c r="I9" s="6">
        <f>(L9/J9)</f>
        <v>25.823499999999999</v>
      </c>
      <c r="J9" s="13">
        <v>1040</v>
      </c>
      <c r="K9" s="12">
        <v>2.25</v>
      </c>
      <c r="L9" s="11">
        <f>26943.6-M9</f>
        <v>26856.44</v>
      </c>
      <c r="M9" s="11">
        <v>87.16</v>
      </c>
      <c r="N9" s="11">
        <v>0</v>
      </c>
      <c r="O9" s="7">
        <f t="shared" si="0"/>
        <v>26943.599999999999</v>
      </c>
      <c r="P9" s="7">
        <f>390.74+1670.46+24.98</f>
        <v>2086.1799999999998</v>
      </c>
      <c r="Q9" s="7">
        <v>7218.2</v>
      </c>
      <c r="R9" s="7">
        <v>1347.13</v>
      </c>
      <c r="S9" s="7" t="s">
        <v>15</v>
      </c>
      <c r="T9" s="8">
        <f>'2023 Ins'!D23</f>
        <v>3186.24</v>
      </c>
      <c r="U9" s="8" t="s">
        <v>14</v>
      </c>
      <c r="V9" s="8">
        <v>3875</v>
      </c>
      <c r="W9" s="7" t="s">
        <v>15</v>
      </c>
      <c r="X9" s="8">
        <f>'2023 Ins'!R23</f>
        <v>139.80000000000001</v>
      </c>
      <c r="Y9" s="7" t="s">
        <v>15</v>
      </c>
      <c r="Z9" s="8">
        <f>'2023 Ins'!AF23</f>
        <v>35.22</v>
      </c>
      <c r="AA9" s="8">
        <f>'2023 Ins'!AS23</f>
        <v>91.8</v>
      </c>
      <c r="AB9" s="8">
        <f>'2023 Ins'!BF23</f>
        <v>198.42</v>
      </c>
      <c r="AC9" s="7">
        <f t="shared" si="1"/>
        <v>18177.989999999998</v>
      </c>
      <c r="AD9" s="7">
        <f t="shared" si="2"/>
        <v>45121.59</v>
      </c>
    </row>
    <row r="10" spans="1:30" x14ac:dyDescent="0.3">
      <c r="A10" s="3">
        <v>9</v>
      </c>
      <c r="B10" s="44" t="s">
        <v>70</v>
      </c>
      <c r="C10" s="4" t="s">
        <v>30</v>
      </c>
      <c r="D10" s="43">
        <v>42562</v>
      </c>
      <c r="E10" s="43"/>
      <c r="F10" s="5" t="s">
        <v>12</v>
      </c>
      <c r="G10" s="6">
        <v>31.689299999999999</v>
      </c>
      <c r="H10" s="6">
        <v>34.763199999999998</v>
      </c>
      <c r="I10" s="6">
        <f>(L10/J10)</f>
        <v>31.689254807692311</v>
      </c>
      <c r="J10" s="13">
        <v>1040</v>
      </c>
      <c r="K10" s="12">
        <v>39</v>
      </c>
      <c r="L10" s="11">
        <f>35080.01-M10-N10</f>
        <v>32956.825000000004</v>
      </c>
      <c r="M10" s="11">
        <v>1853.82</v>
      </c>
      <c r="N10" s="11">
        <f>8.5*31.69</f>
        <v>269.36500000000001</v>
      </c>
      <c r="O10" s="7">
        <f t="shared" si="0"/>
        <v>35080.01</v>
      </c>
      <c r="P10" s="7">
        <f>508.67+2174.95+24.99</f>
        <v>2708.6099999999997</v>
      </c>
      <c r="Q10" s="7">
        <v>9397.94</v>
      </c>
      <c r="R10" s="7">
        <v>1754.02</v>
      </c>
      <c r="S10" s="7" t="s">
        <v>16</v>
      </c>
      <c r="T10" s="8">
        <f>'2023 Ins'!D19</f>
        <v>3186.24</v>
      </c>
      <c r="U10" s="8" t="s">
        <v>17</v>
      </c>
      <c r="V10" s="8">
        <v>1925</v>
      </c>
      <c r="W10" s="7" t="s">
        <v>16</v>
      </c>
      <c r="X10" s="8">
        <f>'2023 Ins'!R19</f>
        <v>139.80000000000001</v>
      </c>
      <c r="Y10" s="7" t="s">
        <v>16</v>
      </c>
      <c r="Z10" s="8">
        <f>'2023 Ins'!AF19</f>
        <v>35.22</v>
      </c>
      <c r="AA10" s="8">
        <f>'2023 Ins'!AS19</f>
        <v>60</v>
      </c>
      <c r="AB10" s="8">
        <f>'2023 Ins'!BF19</f>
        <v>233.45999999999998</v>
      </c>
      <c r="AC10" s="7">
        <f t="shared" si="1"/>
        <v>19709.655000000002</v>
      </c>
      <c r="AD10" s="7">
        <f t="shared" si="2"/>
        <v>54520.30000000001</v>
      </c>
    </row>
    <row r="11" spans="1:30" x14ac:dyDescent="0.3">
      <c r="A11" s="3">
        <v>10</v>
      </c>
      <c r="B11" s="44" t="s">
        <v>71</v>
      </c>
      <c r="C11" s="4" t="s">
        <v>36</v>
      </c>
      <c r="D11" s="43">
        <v>42564</v>
      </c>
      <c r="E11" s="43"/>
      <c r="F11" s="5" t="s">
        <v>12</v>
      </c>
      <c r="G11" s="6">
        <v>38.9833</v>
      </c>
      <c r="H11" s="6">
        <v>42.764699999999998</v>
      </c>
      <c r="I11" s="6">
        <f>(L11/J11)</f>
        <v>38.98331730769231</v>
      </c>
      <c r="J11" s="13">
        <v>1040</v>
      </c>
      <c r="K11" s="12">
        <v>26.5</v>
      </c>
      <c r="L11" s="11">
        <f>42150.68-M11-N11</f>
        <v>40542.65</v>
      </c>
      <c r="M11" s="11">
        <v>1549.56</v>
      </c>
      <c r="N11" s="11">
        <f>1.5*38.98</f>
        <v>58.47</v>
      </c>
      <c r="O11" s="7">
        <f t="shared" si="0"/>
        <v>42150.68</v>
      </c>
      <c r="P11" s="7">
        <f>611.18+2613.34+24.98</f>
        <v>3249.5</v>
      </c>
      <c r="Q11" s="7">
        <v>11292.19</v>
      </c>
      <c r="R11" s="7">
        <v>2107.56</v>
      </c>
      <c r="S11" s="9" t="s">
        <v>18</v>
      </c>
      <c r="T11" s="8">
        <f>'2023 Ins'!D20</f>
        <v>3186.24</v>
      </c>
      <c r="U11" s="8" t="s">
        <v>14</v>
      </c>
      <c r="V11" s="8">
        <v>3875</v>
      </c>
      <c r="W11" s="7" t="s">
        <v>13</v>
      </c>
      <c r="X11" s="8">
        <f>'2023 Ins'!R20</f>
        <v>139.80000000000001</v>
      </c>
      <c r="Y11" s="7" t="s">
        <v>13</v>
      </c>
      <c r="Z11" s="8">
        <f>'2023 Ins'!AF20</f>
        <v>35.22</v>
      </c>
      <c r="AA11" s="8">
        <f>'2023 Ins'!AS20</f>
        <v>60</v>
      </c>
      <c r="AB11" s="8">
        <f>'2023 Ins'!BF20</f>
        <v>250.44000000000003</v>
      </c>
      <c r="AC11" s="7">
        <f t="shared" si="1"/>
        <v>24254.42</v>
      </c>
      <c r="AD11" s="7">
        <f t="shared" si="2"/>
        <v>66346.63</v>
      </c>
    </row>
    <row r="12" spans="1:30" x14ac:dyDescent="0.3">
      <c r="A12" s="3">
        <v>11</v>
      </c>
      <c r="B12" s="44" t="s">
        <v>65</v>
      </c>
      <c r="C12" s="4" t="s">
        <v>32</v>
      </c>
      <c r="D12" s="43">
        <v>42604</v>
      </c>
      <c r="E12" s="43"/>
      <c r="F12" s="5" t="s">
        <v>19</v>
      </c>
      <c r="G12" s="11">
        <v>112675.23</v>
      </c>
      <c r="H12" s="11">
        <v>124731.48</v>
      </c>
      <c r="I12" s="6"/>
      <c r="J12" s="13">
        <v>1040</v>
      </c>
      <c r="K12" s="12">
        <v>0</v>
      </c>
      <c r="L12" s="11">
        <v>56337.58</v>
      </c>
      <c r="M12" s="11">
        <v>0</v>
      </c>
      <c r="N12" s="11">
        <v>0</v>
      </c>
      <c r="O12" s="7">
        <f t="shared" si="0"/>
        <v>56337.58</v>
      </c>
      <c r="P12" s="7">
        <f>822.51+3517.15+24.98</f>
        <v>4364.6399999999994</v>
      </c>
      <c r="Q12" s="7">
        <v>15092.87</v>
      </c>
      <c r="R12" s="7">
        <v>2816.84</v>
      </c>
      <c r="S12" s="7" t="s">
        <v>13</v>
      </c>
      <c r="T12" s="8">
        <f>'2023 Ins'!D14</f>
        <v>4878.12</v>
      </c>
      <c r="U12" s="8" t="s">
        <v>14</v>
      </c>
      <c r="V12" s="8">
        <v>3875</v>
      </c>
      <c r="W12" s="7" t="s">
        <v>13</v>
      </c>
      <c r="X12" s="8">
        <f>'2023 Ins'!R14</f>
        <v>276.89999999999998</v>
      </c>
      <c r="Y12" s="7" t="s">
        <v>13</v>
      </c>
      <c r="Z12" s="8">
        <f>'2023 Ins'!AF14</f>
        <v>70.44</v>
      </c>
      <c r="AA12" s="8">
        <f>'2023 Ins'!AS14</f>
        <v>314.39999999999998</v>
      </c>
      <c r="AB12" s="8">
        <f>'2023 Ins'!BF14</f>
        <v>218.4</v>
      </c>
      <c r="AC12" s="7">
        <f t="shared" si="1"/>
        <v>31907.610000000004</v>
      </c>
      <c r="AD12" s="7">
        <f t="shared" si="2"/>
        <v>88245.19</v>
      </c>
    </row>
    <row r="13" spans="1:30" x14ac:dyDescent="0.3">
      <c r="A13" s="3">
        <v>12</v>
      </c>
      <c r="B13" s="44" t="s">
        <v>64</v>
      </c>
      <c r="C13" s="4" t="s">
        <v>31</v>
      </c>
      <c r="D13" s="43">
        <v>42793</v>
      </c>
      <c r="E13" s="43"/>
      <c r="F13" s="5" t="s">
        <v>19</v>
      </c>
      <c r="G13" s="11">
        <v>112675.23</v>
      </c>
      <c r="H13" s="11">
        <v>124731.48</v>
      </c>
      <c r="I13" s="6"/>
      <c r="J13" s="13">
        <v>1040</v>
      </c>
      <c r="K13" s="12">
        <v>0</v>
      </c>
      <c r="L13" s="11">
        <f>62401.38-N13</f>
        <v>57119.729999999996</v>
      </c>
      <c r="M13" s="11">
        <v>0</v>
      </c>
      <c r="N13" s="11">
        <v>5281.65</v>
      </c>
      <c r="O13" s="7">
        <f t="shared" si="0"/>
        <v>62401.38</v>
      </c>
      <c r="P13" s="7">
        <f>904.84+3868.92+24.97</f>
        <v>4798.7300000000005</v>
      </c>
      <c r="Q13" s="7">
        <v>15302.4</v>
      </c>
      <c r="R13" s="7">
        <v>2855.96</v>
      </c>
      <c r="S13" s="7" t="s">
        <v>13</v>
      </c>
      <c r="T13" s="8">
        <f>'2023 Ins'!D13</f>
        <v>10019.280000000002</v>
      </c>
      <c r="U13" s="8" t="s">
        <v>14</v>
      </c>
      <c r="V13" s="8">
        <v>3875</v>
      </c>
      <c r="W13" s="7" t="s">
        <v>13</v>
      </c>
      <c r="X13" s="8">
        <f>'2023 Ins'!R13</f>
        <v>496.08000000000004</v>
      </c>
      <c r="Y13" s="7" t="s">
        <v>13</v>
      </c>
      <c r="Z13" s="8">
        <f>'2023 Ins'!AF13</f>
        <v>120.41999999999999</v>
      </c>
      <c r="AA13" s="8">
        <f>'2023 Ins'!AS13</f>
        <v>91.8</v>
      </c>
      <c r="AB13" s="8">
        <f>'2023 Ins'!BF13</f>
        <v>597.24</v>
      </c>
      <c r="AC13" s="7">
        <f t="shared" si="1"/>
        <v>43438.560000000005</v>
      </c>
      <c r="AD13" s="7">
        <f t="shared" si="2"/>
        <v>100558.29000000001</v>
      </c>
    </row>
    <row r="14" spans="1:30" x14ac:dyDescent="0.3">
      <c r="A14" s="3">
        <v>13</v>
      </c>
      <c r="B14" s="44" t="s">
        <v>67</v>
      </c>
      <c r="C14" s="4" t="s">
        <v>84</v>
      </c>
      <c r="D14" s="43">
        <v>43164</v>
      </c>
      <c r="E14" s="43"/>
      <c r="F14" s="5" t="s">
        <v>12</v>
      </c>
      <c r="G14" s="6">
        <v>19.804099999999998</v>
      </c>
      <c r="H14" s="6">
        <v>21.725100000000001</v>
      </c>
      <c r="I14" s="6">
        <f t="shared" ref="I14:I23" si="3">(L14/J14)</f>
        <v>20.986278846153848</v>
      </c>
      <c r="J14" s="13">
        <v>1040</v>
      </c>
      <c r="K14" s="12">
        <v>2</v>
      </c>
      <c r="L14" s="11">
        <f>21890.9-M14</f>
        <v>21825.730000000003</v>
      </c>
      <c r="M14" s="11">
        <v>65.17</v>
      </c>
      <c r="N14" s="11">
        <v>0</v>
      </c>
      <c r="O14" s="7">
        <f t="shared" si="0"/>
        <v>21890.9</v>
      </c>
      <c r="P14" s="7">
        <f>317.41+1357.25+24.95</f>
        <v>1699.6100000000001</v>
      </c>
      <c r="Q14" s="7">
        <v>5864.56</v>
      </c>
      <c r="R14" s="7">
        <v>1094.57</v>
      </c>
      <c r="S14" s="9" t="s">
        <v>20</v>
      </c>
      <c r="T14" s="8">
        <f>'2023 Ins'!D16</f>
        <v>6602.76</v>
      </c>
      <c r="U14" s="10" t="s">
        <v>21</v>
      </c>
      <c r="V14" s="8">
        <v>0</v>
      </c>
      <c r="W14" s="7" t="s">
        <v>18</v>
      </c>
      <c r="X14" s="8">
        <f>'2023 Ins'!R16</f>
        <v>276.89999999999998</v>
      </c>
      <c r="Y14" s="7" t="s">
        <v>18</v>
      </c>
      <c r="Z14" s="8">
        <f>'2023 Ins'!AF16</f>
        <v>70.44</v>
      </c>
      <c r="AA14" s="8">
        <f>'2023 Ins'!AS16</f>
        <v>314.39999999999998</v>
      </c>
      <c r="AB14" s="8">
        <f>'2023 Ins'!BF16</f>
        <v>381.17999999999995</v>
      </c>
      <c r="AC14" s="7">
        <f t="shared" si="1"/>
        <v>16304.42</v>
      </c>
      <c r="AD14" s="7">
        <f t="shared" si="2"/>
        <v>38195.32</v>
      </c>
    </row>
    <row r="15" spans="1:30" x14ac:dyDescent="0.3">
      <c r="A15" s="3">
        <v>14</v>
      </c>
      <c r="B15" s="44" t="s">
        <v>55</v>
      </c>
      <c r="C15" s="4" t="s">
        <v>25</v>
      </c>
      <c r="D15" s="43">
        <v>43397</v>
      </c>
      <c r="E15" s="43"/>
      <c r="F15" s="5" t="s">
        <v>12</v>
      </c>
      <c r="G15" s="6">
        <v>24.855</v>
      </c>
      <c r="H15" s="6"/>
      <c r="I15" s="6">
        <f t="shared" si="3"/>
        <v>24.854937499999998</v>
      </c>
      <c r="J15" s="37">
        <v>1040</v>
      </c>
      <c r="K15" s="12">
        <v>110.5</v>
      </c>
      <c r="L15" s="11">
        <f>30310.68-M15-N15</f>
        <v>25849.134999999998</v>
      </c>
      <c r="M15" s="11">
        <v>4119.72</v>
      </c>
      <c r="N15" s="11">
        <f>13.75*24.86</f>
        <v>341.82499999999999</v>
      </c>
      <c r="O15" s="7">
        <f t="shared" si="0"/>
        <v>30310.68</v>
      </c>
      <c r="P15" s="7">
        <f>439.49+1879.28+24.98</f>
        <v>2343.75</v>
      </c>
      <c r="Q15" s="7">
        <v>8120.23</v>
      </c>
      <c r="R15" s="7">
        <v>1515.56</v>
      </c>
      <c r="S15" s="7" t="s">
        <v>13</v>
      </c>
      <c r="T15" s="8">
        <f>'2023 Ins'!D4</f>
        <v>10019.280000000002</v>
      </c>
      <c r="U15" s="8" t="s">
        <v>14</v>
      </c>
      <c r="V15" s="8">
        <v>3875</v>
      </c>
      <c r="W15" s="7" t="s">
        <v>13</v>
      </c>
      <c r="X15" s="8">
        <f>'2023 Ins'!R4</f>
        <v>445.02000000000004</v>
      </c>
      <c r="Y15" s="7" t="s">
        <v>13</v>
      </c>
      <c r="Z15" s="8">
        <f>'2023 Ins'!AF4</f>
        <v>120.41999999999999</v>
      </c>
      <c r="AA15" s="8">
        <f>'2023 Ins'!AS4</f>
        <v>124.2</v>
      </c>
      <c r="AB15" s="8">
        <f>'2023 Ins'!BF4</f>
        <v>300.83999999999997</v>
      </c>
      <c r="AC15" s="7">
        <f t="shared" si="1"/>
        <v>27206.125000000004</v>
      </c>
      <c r="AD15" s="7">
        <f t="shared" si="2"/>
        <v>57174.98</v>
      </c>
    </row>
    <row r="16" spans="1:30" x14ac:dyDescent="0.3">
      <c r="A16" s="3">
        <v>15</v>
      </c>
      <c r="B16" s="44" t="s">
        <v>60</v>
      </c>
      <c r="C16" s="4" t="s">
        <v>29</v>
      </c>
      <c r="D16" s="43">
        <v>43465</v>
      </c>
      <c r="E16" s="43"/>
      <c r="F16" s="5" t="s">
        <v>12</v>
      </c>
      <c r="G16" s="6">
        <v>34.584200000000003</v>
      </c>
      <c r="H16" s="6">
        <v>36.970500000000001</v>
      </c>
      <c r="I16" s="6">
        <f t="shared" si="3"/>
        <v>36.885596153846151</v>
      </c>
      <c r="J16" s="13">
        <v>1040</v>
      </c>
      <c r="K16" s="12">
        <v>12</v>
      </c>
      <c r="L16" s="11">
        <f>39019.32-M16</f>
        <v>38361.019999999997</v>
      </c>
      <c r="M16" s="11">
        <v>658.3</v>
      </c>
      <c r="N16" s="11">
        <v>0</v>
      </c>
      <c r="O16" s="7">
        <f t="shared" si="0"/>
        <v>39019.32</v>
      </c>
      <c r="P16" s="7">
        <f>565.81+2419.16+24.97</f>
        <v>3009.9399999999996</v>
      </c>
      <c r="Q16" s="7">
        <v>10453.25</v>
      </c>
      <c r="R16" s="7">
        <v>1950.96</v>
      </c>
      <c r="S16" s="9" t="s">
        <v>18</v>
      </c>
      <c r="T16" s="8">
        <f>'2023 Ins'!D9</f>
        <v>5671.0199999999995</v>
      </c>
      <c r="U16" s="10" t="s">
        <v>14</v>
      </c>
      <c r="V16" s="8">
        <v>3875</v>
      </c>
      <c r="W16" s="9" t="s">
        <v>18</v>
      </c>
      <c r="X16" s="8">
        <f>'2023 Ins'!R9</f>
        <v>286.62</v>
      </c>
      <c r="Y16" s="9" t="s">
        <v>18</v>
      </c>
      <c r="Z16" s="8">
        <f>'2023 Ins'!AF9</f>
        <v>75.36</v>
      </c>
      <c r="AA16" s="8">
        <f>'2023 Ins'!AS9</f>
        <v>198.6</v>
      </c>
      <c r="AB16" s="8">
        <f>'2023 Ins'!BF9</f>
        <v>266.33999999999997</v>
      </c>
      <c r="AC16" s="7">
        <f t="shared" si="1"/>
        <v>25787.089999999997</v>
      </c>
      <c r="AD16" s="7">
        <f t="shared" si="2"/>
        <v>64806.409999999996</v>
      </c>
    </row>
    <row r="17" spans="1:31" x14ac:dyDescent="0.3">
      <c r="A17" s="3">
        <v>16</v>
      </c>
      <c r="B17" s="44" t="s">
        <v>54</v>
      </c>
      <c r="C17" s="4" t="s">
        <v>24</v>
      </c>
      <c r="D17" s="43">
        <v>43682</v>
      </c>
      <c r="E17" s="43"/>
      <c r="F17" s="5" t="s">
        <v>12</v>
      </c>
      <c r="G17" s="6">
        <v>22.917200000000001</v>
      </c>
      <c r="H17" s="6">
        <v>24.911000000000001</v>
      </c>
      <c r="I17" s="6">
        <f t="shared" si="3"/>
        <v>22.917240384615386</v>
      </c>
      <c r="J17" s="37">
        <v>1040</v>
      </c>
      <c r="K17" s="12">
        <v>55.25</v>
      </c>
      <c r="L17" s="11">
        <f>25801.96-M17-N17</f>
        <v>23833.93</v>
      </c>
      <c r="M17" s="11">
        <v>1899.27</v>
      </c>
      <c r="N17" s="11">
        <f>3*22.92</f>
        <v>68.760000000000005</v>
      </c>
      <c r="O17" s="7">
        <f t="shared" si="0"/>
        <v>25801.96</v>
      </c>
      <c r="P17" s="7">
        <f>374.13+1599.7+24.98</f>
        <v>1998.81</v>
      </c>
      <c r="Q17" s="7">
        <v>6912.33</v>
      </c>
      <c r="R17" s="7">
        <v>0</v>
      </c>
      <c r="S17" s="7" t="s">
        <v>15</v>
      </c>
      <c r="T17" s="8">
        <f>'2023 Ins'!D3</f>
        <v>10019.280000000002</v>
      </c>
      <c r="U17" s="10" t="s">
        <v>14</v>
      </c>
      <c r="V17" s="8">
        <v>3875</v>
      </c>
      <c r="W17" s="7" t="s">
        <v>15</v>
      </c>
      <c r="X17" s="8">
        <f>'2023 Ins'!R3</f>
        <v>496.08000000000004</v>
      </c>
      <c r="Y17" s="7" t="s">
        <v>15</v>
      </c>
      <c r="Z17" s="8">
        <f>'2023 Ins'!AF3</f>
        <v>120.41999999999999</v>
      </c>
      <c r="AA17" s="8">
        <f>'2023 Ins'!AS3</f>
        <v>124.2</v>
      </c>
      <c r="AB17" s="8">
        <f>'2023 Ins'!BF3</f>
        <v>307.32000000000005</v>
      </c>
      <c r="AC17" s="7">
        <f t="shared" si="1"/>
        <v>23922.2</v>
      </c>
      <c r="AD17" s="7">
        <f t="shared" si="2"/>
        <v>49655.4</v>
      </c>
    </row>
    <row r="18" spans="1:31" x14ac:dyDescent="0.3">
      <c r="A18" s="3">
        <v>17</v>
      </c>
      <c r="B18" s="44" t="s">
        <v>68</v>
      </c>
      <c r="C18" s="4" t="s">
        <v>34</v>
      </c>
      <c r="D18" s="43">
        <v>43788</v>
      </c>
      <c r="E18" s="43"/>
      <c r="F18" s="5" t="s">
        <v>12</v>
      </c>
      <c r="G18" s="6">
        <v>25.431999999999999</v>
      </c>
      <c r="H18" s="6"/>
      <c r="I18" s="6">
        <f t="shared" si="3"/>
        <v>25.432034334763948</v>
      </c>
      <c r="J18" s="13">
        <v>291.25</v>
      </c>
      <c r="K18" s="12">
        <v>0</v>
      </c>
      <c r="L18" s="11">
        <v>7407.08</v>
      </c>
      <c r="M18" s="11">
        <v>0</v>
      </c>
      <c r="N18" s="11">
        <v>0</v>
      </c>
      <c r="O18" s="7">
        <f t="shared" si="0"/>
        <v>7407.08</v>
      </c>
      <c r="P18" s="7">
        <f>107.41+459.21+18.67</f>
        <v>585.29</v>
      </c>
      <c r="Q18" s="7">
        <v>0</v>
      </c>
      <c r="R18" s="7">
        <v>0</v>
      </c>
      <c r="S18" s="9" t="s">
        <v>21</v>
      </c>
      <c r="T18" s="8">
        <f>'2023 Ins'!D17</f>
        <v>5671.0199999999995</v>
      </c>
      <c r="U18" s="10" t="s">
        <v>21</v>
      </c>
      <c r="V18" s="8">
        <v>0</v>
      </c>
      <c r="W18" s="9" t="s">
        <v>21</v>
      </c>
      <c r="X18" s="8">
        <f>'2023 Ins'!R17</f>
        <v>286.62</v>
      </c>
      <c r="Y18" s="9" t="s">
        <v>21</v>
      </c>
      <c r="Z18" s="8">
        <f>'2023 Ins'!AF17</f>
        <v>75.36</v>
      </c>
      <c r="AA18" s="8">
        <f>'2023 Ins'!AS17</f>
        <v>67.2</v>
      </c>
      <c r="AB18" s="8">
        <f>'2023 Ins'!BF17</f>
        <v>236.33999999999997</v>
      </c>
      <c r="AC18" s="7">
        <f t="shared" si="1"/>
        <v>6921.829999999999</v>
      </c>
      <c r="AD18" s="7">
        <f t="shared" si="2"/>
        <v>14328.91</v>
      </c>
    </row>
    <row r="19" spans="1:31" x14ac:dyDescent="0.3">
      <c r="A19" s="3">
        <v>18</v>
      </c>
      <c r="B19" s="44" t="s">
        <v>62</v>
      </c>
      <c r="C19" s="4" t="s">
        <v>24</v>
      </c>
      <c r="D19" s="43">
        <v>44270</v>
      </c>
      <c r="E19" s="43"/>
      <c r="F19" s="5" t="s">
        <v>12</v>
      </c>
      <c r="G19" s="6">
        <v>21.181000000000001</v>
      </c>
      <c r="H19" s="6">
        <v>23.023700000000002</v>
      </c>
      <c r="I19" s="6">
        <f t="shared" si="3"/>
        <v>21.91918269230769</v>
      </c>
      <c r="J19" s="13">
        <v>1040</v>
      </c>
      <c r="K19" s="12">
        <v>103</v>
      </c>
      <c r="L19" s="11">
        <f>26138.21-M19</f>
        <v>22795.949999999997</v>
      </c>
      <c r="M19" s="11">
        <v>3342.26</v>
      </c>
      <c r="N19" s="11">
        <v>0</v>
      </c>
      <c r="O19" s="7">
        <f t="shared" si="0"/>
        <v>26138.21</v>
      </c>
      <c r="P19" s="7">
        <f>378.99+1620.57+24.99</f>
        <v>2024.55</v>
      </c>
      <c r="Q19" s="7">
        <v>7002.45</v>
      </c>
      <c r="R19" s="7">
        <v>1306.92</v>
      </c>
      <c r="S19" s="9" t="s">
        <v>16</v>
      </c>
      <c r="T19" s="8">
        <f>'2023 Ins'!D11</f>
        <v>6602.76</v>
      </c>
      <c r="U19" s="10" t="s">
        <v>17</v>
      </c>
      <c r="V19" s="8">
        <v>1925</v>
      </c>
      <c r="W19" s="9" t="s">
        <v>16</v>
      </c>
      <c r="X19" s="8">
        <f>'2023 Ins'!R11</f>
        <v>445.02000000000004</v>
      </c>
      <c r="Y19" s="9" t="s">
        <v>16</v>
      </c>
      <c r="Z19" s="8">
        <f>'2023 Ins'!AF11</f>
        <v>120.41999999999999</v>
      </c>
      <c r="AA19" s="8">
        <f>'2023 Ins'!AS11</f>
        <v>198.6</v>
      </c>
      <c r="AB19" s="8">
        <f>'2023 Ins'!BF11</f>
        <v>401.94</v>
      </c>
      <c r="AC19" s="7">
        <f t="shared" si="1"/>
        <v>20027.659999999996</v>
      </c>
      <c r="AD19" s="7">
        <f t="shared" si="2"/>
        <v>46165.869999999995</v>
      </c>
    </row>
    <row r="20" spans="1:31" x14ac:dyDescent="0.3">
      <c r="A20" s="3">
        <v>19</v>
      </c>
      <c r="B20" s="44" t="s">
        <v>59</v>
      </c>
      <c r="C20" s="4" t="s">
        <v>28</v>
      </c>
      <c r="D20" s="43">
        <v>44651</v>
      </c>
      <c r="E20" s="43"/>
      <c r="F20" s="5" t="s">
        <v>12</v>
      </c>
      <c r="G20" s="6">
        <v>22.72</v>
      </c>
      <c r="H20" s="6">
        <v>24.6966</v>
      </c>
      <c r="I20" s="6">
        <f t="shared" si="3"/>
        <v>23.670759615384615</v>
      </c>
      <c r="J20" s="13">
        <v>1040</v>
      </c>
      <c r="K20" s="12">
        <v>12.25</v>
      </c>
      <c r="L20" s="11">
        <f>25043.22-M20</f>
        <v>24617.59</v>
      </c>
      <c r="M20" s="11">
        <v>425.63</v>
      </c>
      <c r="N20" s="11">
        <v>0</v>
      </c>
      <c r="O20" s="7">
        <f t="shared" si="0"/>
        <v>25043.22</v>
      </c>
      <c r="P20" s="7">
        <f>363.16+1552.69+24.98</f>
        <v>1940.8300000000002</v>
      </c>
      <c r="Q20" s="7">
        <v>6709.12</v>
      </c>
      <c r="R20" s="7">
        <v>1252.18</v>
      </c>
      <c r="S20" s="9" t="s">
        <v>16</v>
      </c>
      <c r="T20" s="8">
        <f>'2023 Ins'!D8</f>
        <v>10019.280000000002</v>
      </c>
      <c r="U20" s="10" t="s">
        <v>17</v>
      </c>
      <c r="V20" s="8">
        <v>1925</v>
      </c>
      <c r="W20" s="9" t="s">
        <v>16</v>
      </c>
      <c r="X20" s="8">
        <f>'2023 Ins'!R8</f>
        <v>445.02000000000004</v>
      </c>
      <c r="Y20" s="9" t="s">
        <v>16</v>
      </c>
      <c r="Z20" s="8">
        <f>'2023 Ins'!AF8</f>
        <v>120.41999999999999</v>
      </c>
      <c r="AA20" s="8">
        <f>'2023 Ins'!AS8</f>
        <v>124.2</v>
      </c>
      <c r="AB20" s="8">
        <f>'2023 Ins'!BF8</f>
        <v>439.91999999999996</v>
      </c>
      <c r="AC20" s="7">
        <f t="shared" si="1"/>
        <v>22975.97</v>
      </c>
      <c r="AD20" s="7">
        <f t="shared" si="2"/>
        <v>48019.189999999995</v>
      </c>
    </row>
    <row r="21" spans="1:31" x14ac:dyDescent="0.3">
      <c r="A21" s="3">
        <v>20</v>
      </c>
      <c r="B21" s="44" t="s">
        <v>61</v>
      </c>
      <c r="C21" s="4" t="s">
        <v>30</v>
      </c>
      <c r="D21" s="43">
        <v>44680</v>
      </c>
      <c r="E21" s="43"/>
      <c r="F21" s="5" t="s">
        <v>12</v>
      </c>
      <c r="G21" s="6">
        <v>25.93</v>
      </c>
      <c r="H21" s="6">
        <v>28.4452</v>
      </c>
      <c r="I21" s="6">
        <f t="shared" si="3"/>
        <v>26.722615384615384</v>
      </c>
      <c r="J21" s="13">
        <v>1040</v>
      </c>
      <c r="K21" s="12">
        <v>38.25</v>
      </c>
      <c r="L21" s="11">
        <f>29327.36-M21</f>
        <v>27791.52</v>
      </c>
      <c r="M21" s="11">
        <v>1535.84</v>
      </c>
      <c r="N21" s="11">
        <v>0</v>
      </c>
      <c r="O21" s="7">
        <f t="shared" si="0"/>
        <v>29327.360000000001</v>
      </c>
      <c r="P21" s="7">
        <f>425.26+1818.29+24.97</f>
        <v>2268.52</v>
      </c>
      <c r="Q21" s="7">
        <v>7856.8</v>
      </c>
      <c r="R21" s="7">
        <v>0</v>
      </c>
      <c r="S21" s="9" t="s">
        <v>13</v>
      </c>
      <c r="T21" s="8">
        <f>'2023 Ins'!D10</f>
        <v>3186.24</v>
      </c>
      <c r="U21" s="10" t="s">
        <v>14</v>
      </c>
      <c r="V21" s="8">
        <v>3875</v>
      </c>
      <c r="W21" s="9" t="s">
        <v>13</v>
      </c>
      <c r="X21" s="8">
        <f>'2023 Ins'!R10</f>
        <v>139.80000000000001</v>
      </c>
      <c r="Y21" s="9" t="s">
        <v>13</v>
      </c>
      <c r="Z21" s="8">
        <f>'2023 Ins'!AF10</f>
        <v>35.22</v>
      </c>
      <c r="AA21" s="8">
        <f>'2023 Ins'!AS10</f>
        <v>61.2</v>
      </c>
      <c r="AB21" s="8">
        <f>'2023 Ins'!BF10</f>
        <v>323.7</v>
      </c>
      <c r="AC21" s="7">
        <f t="shared" si="1"/>
        <v>17746.48</v>
      </c>
      <c r="AD21" s="7">
        <f t="shared" si="2"/>
        <v>47073.84</v>
      </c>
    </row>
    <row r="22" spans="1:31" x14ac:dyDescent="0.3">
      <c r="A22" s="3">
        <v>21</v>
      </c>
      <c r="B22" s="44" t="s">
        <v>56</v>
      </c>
      <c r="C22" s="4" t="s">
        <v>24</v>
      </c>
      <c r="D22" s="43">
        <v>44704</v>
      </c>
      <c r="E22" s="43"/>
      <c r="F22" s="5" t="s">
        <v>12</v>
      </c>
      <c r="G22" s="6">
        <v>20</v>
      </c>
      <c r="H22" s="6">
        <v>21.94</v>
      </c>
      <c r="I22" s="6">
        <f t="shared" si="3"/>
        <v>20.405019230769231</v>
      </c>
      <c r="J22" s="13">
        <v>1040</v>
      </c>
      <c r="K22" s="12">
        <v>140.75</v>
      </c>
      <c r="L22" s="11">
        <f>25527.38-M22</f>
        <v>21221.22</v>
      </c>
      <c r="M22" s="11">
        <v>4306.16</v>
      </c>
      <c r="N22" s="11">
        <v>0</v>
      </c>
      <c r="O22" s="7">
        <f t="shared" si="0"/>
        <v>25527.38</v>
      </c>
      <c r="P22" s="7">
        <f>370.16+1582.7+24.97</f>
        <v>1977.8300000000002</v>
      </c>
      <c r="Q22" s="7">
        <v>6838.8</v>
      </c>
      <c r="R22" s="7">
        <v>1276.3699999999999</v>
      </c>
      <c r="S22" s="9" t="s">
        <v>16</v>
      </c>
      <c r="T22" s="8">
        <f>'2023 Ins'!D5</f>
        <v>6602.76</v>
      </c>
      <c r="U22" s="10" t="s">
        <v>17</v>
      </c>
      <c r="V22" s="8">
        <v>1925</v>
      </c>
      <c r="W22" s="9" t="s">
        <v>16</v>
      </c>
      <c r="X22" s="8">
        <f>'2023 Ins'!R5</f>
        <v>276.89999999999998</v>
      </c>
      <c r="Y22" s="9" t="s">
        <v>16</v>
      </c>
      <c r="Z22" s="8">
        <f>'2023 Ins'!AF5</f>
        <v>70.44</v>
      </c>
      <c r="AA22" s="8">
        <f>'2023 Ins'!AS5</f>
        <v>314.39999999999998</v>
      </c>
      <c r="AB22" s="8">
        <f>'2023 Ins'!BF5</f>
        <v>361.67999999999995</v>
      </c>
      <c r="AC22" s="7">
        <f t="shared" si="1"/>
        <v>19644.180000000004</v>
      </c>
      <c r="AD22" s="7">
        <f t="shared" si="2"/>
        <v>45171.560000000012</v>
      </c>
    </row>
    <row r="23" spans="1:31" x14ac:dyDescent="0.3">
      <c r="A23" s="3">
        <v>22</v>
      </c>
      <c r="B23" s="44" t="s">
        <v>74</v>
      </c>
      <c r="C23" s="4" t="s">
        <v>24</v>
      </c>
      <c r="D23" s="43">
        <v>44830</v>
      </c>
      <c r="E23" s="43"/>
      <c r="F23" s="5" t="s">
        <v>12</v>
      </c>
      <c r="G23" s="6">
        <v>18</v>
      </c>
      <c r="H23" s="6">
        <v>21.74</v>
      </c>
      <c r="I23" s="6">
        <f t="shared" si="3"/>
        <v>18</v>
      </c>
      <c r="J23" s="13">
        <v>1027</v>
      </c>
      <c r="K23" s="12">
        <v>11</v>
      </c>
      <c r="L23" s="11">
        <f>18783-M23</f>
        <v>18486</v>
      </c>
      <c r="M23" s="11">
        <v>297</v>
      </c>
      <c r="N23" s="11">
        <v>0</v>
      </c>
      <c r="O23" s="7">
        <f t="shared" si="0"/>
        <v>18783</v>
      </c>
      <c r="P23" s="7">
        <f>272.35+1164.55+24.98</f>
        <v>1461.88</v>
      </c>
      <c r="Q23" s="7">
        <v>5031.9799999999996</v>
      </c>
      <c r="R23" s="7">
        <v>0</v>
      </c>
      <c r="S23" s="9" t="s">
        <v>16</v>
      </c>
      <c r="T23" s="8">
        <f>'2023 Ins'!D24</f>
        <v>4725.8499999999995</v>
      </c>
      <c r="U23" s="10" t="s">
        <v>17</v>
      </c>
      <c r="V23" s="8">
        <v>1925</v>
      </c>
      <c r="W23" s="9" t="s">
        <v>16</v>
      </c>
      <c r="X23" s="8">
        <f>'2023 Ins'!R24</f>
        <v>238.85000000000002</v>
      </c>
      <c r="Y23" s="9" t="s">
        <v>16</v>
      </c>
      <c r="Z23" s="8">
        <f>'2023 Ins'!AF24</f>
        <v>62.800000000000004</v>
      </c>
      <c r="AA23" s="8">
        <f>'2023 Ins'!AS24</f>
        <v>45.900000000000006</v>
      </c>
      <c r="AB23" s="8">
        <f>'2023 Ins'!BF24</f>
        <v>264.99</v>
      </c>
      <c r="AC23" s="7">
        <f t="shared" si="1"/>
        <v>13757.249999999998</v>
      </c>
      <c r="AD23" s="7">
        <f t="shared" si="2"/>
        <v>32540.25</v>
      </c>
    </row>
    <row r="24" spans="1:31" x14ac:dyDescent="0.3">
      <c r="A24" s="3">
        <v>23</v>
      </c>
      <c r="B24" s="44" t="s">
        <v>77</v>
      </c>
      <c r="C24" s="4" t="s">
        <v>38</v>
      </c>
      <c r="D24" s="43">
        <v>44957</v>
      </c>
      <c r="E24" s="43"/>
      <c r="F24" s="5" t="s">
        <v>19</v>
      </c>
      <c r="G24" s="11"/>
      <c r="H24" s="11">
        <v>100000</v>
      </c>
      <c r="I24" s="6"/>
      <c r="J24" s="13">
        <v>909.75</v>
      </c>
      <c r="K24" s="12">
        <v>0</v>
      </c>
      <c r="L24" s="11">
        <v>40384.58</v>
      </c>
      <c r="M24" s="11">
        <v>0</v>
      </c>
      <c r="N24" s="11">
        <v>0</v>
      </c>
      <c r="O24" s="7">
        <f t="shared" si="0"/>
        <v>40384.58</v>
      </c>
      <c r="P24" s="7">
        <f>585.58+2503.83+24.97</f>
        <v>3114.3799999999997</v>
      </c>
      <c r="Q24" s="7">
        <v>10818.99</v>
      </c>
      <c r="R24" s="7">
        <v>1923.1</v>
      </c>
      <c r="S24" s="7" t="s">
        <v>15</v>
      </c>
      <c r="T24" s="8">
        <f>'2023 Ins'!D22</f>
        <v>3186.24</v>
      </c>
      <c r="U24" s="8" t="s">
        <v>14</v>
      </c>
      <c r="V24" s="8">
        <v>3229</v>
      </c>
      <c r="W24" s="7" t="s">
        <v>15</v>
      </c>
      <c r="X24" s="8">
        <f>'2023 Ins'!R22</f>
        <v>139.80000000000001</v>
      </c>
      <c r="Y24" s="7" t="s">
        <v>15</v>
      </c>
      <c r="Z24" s="8">
        <f>'2023 Ins'!AF22</f>
        <v>35.22</v>
      </c>
      <c r="AA24" s="8">
        <f>'2023 Ins'!AS22</f>
        <v>60</v>
      </c>
      <c r="AB24" s="8">
        <f>'2023 Ins'!BF22</f>
        <v>198.42</v>
      </c>
      <c r="AC24" s="7">
        <f t="shared" si="1"/>
        <v>22705.149999999998</v>
      </c>
      <c r="AD24" s="7">
        <f t="shared" si="2"/>
        <v>63089.729999999996</v>
      </c>
    </row>
    <row r="25" spans="1:31" ht="5.4" customHeight="1" x14ac:dyDescent="0.3">
      <c r="B25" s="45"/>
      <c r="C25" s="4"/>
    </row>
    <row r="26" spans="1:31" x14ac:dyDescent="0.3">
      <c r="C26" s="25" t="s">
        <v>81</v>
      </c>
      <c r="J26" s="35">
        <f>SUM(J2:J25)</f>
        <v>23028</v>
      </c>
      <c r="K26" s="35">
        <f>SUM(K2:K25)</f>
        <v>717.25</v>
      </c>
      <c r="L26" s="34">
        <f t="shared" ref="L26:AB26" si="4">SUM(L2:L25)</f>
        <v>795563.47749999992</v>
      </c>
      <c r="M26" s="34">
        <f t="shared" si="4"/>
        <v>29720.52</v>
      </c>
      <c r="N26" s="34">
        <f t="shared" si="4"/>
        <v>12385.872499999999</v>
      </c>
      <c r="O26" s="34">
        <f t="shared" si="4"/>
        <v>837669.86999999988</v>
      </c>
      <c r="P26" s="34">
        <f t="shared" si="4"/>
        <v>64739.48</v>
      </c>
      <c r="Q26" s="34">
        <f t="shared" si="4"/>
        <v>219541.81</v>
      </c>
      <c r="R26" s="34">
        <f t="shared" si="4"/>
        <v>37182.880000000005</v>
      </c>
      <c r="S26" s="34"/>
      <c r="T26" s="34">
        <f t="shared" si="4"/>
        <v>148181.76999999999</v>
      </c>
      <c r="U26" s="34"/>
      <c r="V26" s="33">
        <f>SUM(V2:V25)</f>
        <v>70979</v>
      </c>
      <c r="W26" s="34"/>
      <c r="X26" s="34">
        <f t="shared" si="4"/>
        <v>7258.3700000000017</v>
      </c>
      <c r="Y26" s="34"/>
      <c r="Z26" s="34">
        <f t="shared" si="4"/>
        <v>1880.5</v>
      </c>
      <c r="AA26" s="34">
        <f t="shared" si="4"/>
        <v>3378.2999999999988</v>
      </c>
      <c r="AB26" s="34">
        <f t="shared" si="4"/>
        <v>7764.51</v>
      </c>
      <c r="AC26" s="34">
        <f>SUM(AC2:AC25)</f>
        <v>573292.49250000005</v>
      </c>
      <c r="AD26" s="34">
        <f>SUM(AD2:AD25)</f>
        <v>1398576.49</v>
      </c>
      <c r="AE26" s="34"/>
    </row>
  </sheetData>
  <sortState xmlns:xlrd2="http://schemas.microsoft.com/office/spreadsheetml/2017/richdata2" ref="B2:AD24">
    <sortCondition ref="B2:B24"/>
  </sortState>
  <pageMargins left="0.45" right="0.45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756F-9A64-4831-8247-B09A47BA5BE7}">
  <dimension ref="A1:BR32"/>
  <sheetViews>
    <sheetView workbookViewId="0">
      <pane xSplit="1" ySplit="1" topLeftCell="B2" activePane="bottomRight" state="frozen"/>
      <selection activeCell="H13" sqref="H13"/>
      <selection pane="topRight" activeCell="H13" sqref="H13"/>
      <selection pane="bottomLeft" activeCell="H13" sqref="H13"/>
      <selection pane="bottomRight" activeCell="B2" sqref="B2"/>
    </sheetView>
  </sheetViews>
  <sheetFormatPr defaultColWidth="9.109375" defaultRowHeight="14.4" x14ac:dyDescent="0.3"/>
  <cols>
    <col min="1" max="1" width="3" style="3" bestFit="1" customWidth="1"/>
    <col min="2" max="2" width="10" style="47" bestFit="1" customWidth="1"/>
    <col min="3" max="3" width="15.44140625" style="3" customWidth="1"/>
    <col min="4" max="4" width="12.5546875" style="3" bestFit="1" customWidth="1"/>
    <col min="5" max="16" width="11.5546875" style="3" bestFit="1" customWidth="1"/>
    <col min="17" max="17" width="15.109375" style="3" bestFit="1" customWidth="1"/>
    <col min="18" max="18" width="11.5546875" style="3" bestFit="1" customWidth="1"/>
    <col min="19" max="30" width="10.44140625" style="3" customWidth="1"/>
    <col min="31" max="31" width="15.109375" style="3" bestFit="1" customWidth="1"/>
    <col min="32" max="32" width="10.5546875" style="3" bestFit="1" customWidth="1"/>
    <col min="33" max="44" width="9" style="3" bestFit="1" customWidth="1"/>
    <col min="45" max="45" width="11.109375" style="3" bestFit="1" customWidth="1"/>
    <col min="46" max="46" width="9" style="3" bestFit="1" customWidth="1"/>
    <col min="47" max="57" width="9.109375" style="3"/>
    <col min="58" max="58" width="11.5546875" style="3" bestFit="1" customWidth="1"/>
    <col min="59" max="62" width="9" style="3" bestFit="1" customWidth="1"/>
    <col min="63" max="63" width="10.5546875" style="3" bestFit="1" customWidth="1"/>
    <col min="64" max="64" width="9" style="3" bestFit="1" customWidth="1"/>
    <col min="65" max="70" width="10.5546875" style="3" bestFit="1" customWidth="1"/>
    <col min="71" max="16384" width="9.109375" style="3"/>
  </cols>
  <sheetData>
    <row r="1" spans="1:70" ht="39.6" x14ac:dyDescent="0.3">
      <c r="B1" s="1" t="s">
        <v>52</v>
      </c>
      <c r="C1" s="1" t="s">
        <v>1</v>
      </c>
      <c r="D1" s="14" t="s">
        <v>2</v>
      </c>
      <c r="E1" s="23">
        <v>44583</v>
      </c>
      <c r="F1" s="23">
        <v>44614</v>
      </c>
      <c r="G1" s="23">
        <v>44642</v>
      </c>
      <c r="H1" s="23">
        <v>44673</v>
      </c>
      <c r="I1" s="23">
        <v>44703</v>
      </c>
      <c r="J1" s="23">
        <v>44734</v>
      </c>
      <c r="K1" s="23">
        <v>44764</v>
      </c>
      <c r="L1" s="23">
        <v>44795</v>
      </c>
      <c r="M1" s="23">
        <v>44826</v>
      </c>
      <c r="N1" s="23">
        <v>44856</v>
      </c>
      <c r="O1" s="23">
        <v>44887</v>
      </c>
      <c r="P1" s="23">
        <v>44917</v>
      </c>
      <c r="Q1" s="1" t="s">
        <v>5</v>
      </c>
      <c r="R1" s="14" t="s">
        <v>6</v>
      </c>
      <c r="S1" s="23">
        <v>44583</v>
      </c>
      <c r="T1" s="23">
        <v>44614</v>
      </c>
      <c r="U1" s="23">
        <v>44642</v>
      </c>
      <c r="V1" s="23">
        <v>44673</v>
      </c>
      <c r="W1" s="23">
        <v>44703</v>
      </c>
      <c r="X1" s="23">
        <v>44734</v>
      </c>
      <c r="Y1" s="23">
        <v>44764</v>
      </c>
      <c r="Z1" s="23">
        <v>44795</v>
      </c>
      <c r="AA1" s="23">
        <v>44826</v>
      </c>
      <c r="AB1" s="23">
        <v>44856</v>
      </c>
      <c r="AC1" s="23">
        <v>44887</v>
      </c>
      <c r="AD1" s="23">
        <v>44917</v>
      </c>
      <c r="AE1" s="1" t="s">
        <v>7</v>
      </c>
      <c r="AF1" s="14" t="s">
        <v>8</v>
      </c>
      <c r="AG1" s="23">
        <v>44583</v>
      </c>
      <c r="AH1" s="23">
        <v>44614</v>
      </c>
      <c r="AI1" s="23">
        <v>44642</v>
      </c>
      <c r="AJ1" s="23">
        <v>44673</v>
      </c>
      <c r="AK1" s="23">
        <v>44703</v>
      </c>
      <c r="AL1" s="23">
        <v>44734</v>
      </c>
      <c r="AM1" s="23">
        <v>44764</v>
      </c>
      <c r="AN1" s="23">
        <v>44795</v>
      </c>
      <c r="AO1" s="23">
        <v>44826</v>
      </c>
      <c r="AP1" s="23">
        <v>44856</v>
      </c>
      <c r="AQ1" s="23">
        <v>44887</v>
      </c>
      <c r="AR1" s="23">
        <v>44917</v>
      </c>
      <c r="AS1" s="14" t="s">
        <v>9</v>
      </c>
      <c r="AT1" s="23">
        <v>44583</v>
      </c>
      <c r="AU1" s="23">
        <v>44614</v>
      </c>
      <c r="AV1" s="23">
        <v>44642</v>
      </c>
      <c r="AW1" s="23">
        <v>44673</v>
      </c>
      <c r="AX1" s="23">
        <v>44703</v>
      </c>
      <c r="AY1" s="23">
        <v>44734</v>
      </c>
      <c r="AZ1" s="23">
        <v>44764</v>
      </c>
      <c r="BA1" s="23">
        <v>44795</v>
      </c>
      <c r="BB1" s="23">
        <v>44826</v>
      </c>
      <c r="BC1" s="23">
        <v>44856</v>
      </c>
      <c r="BD1" s="23">
        <v>44887</v>
      </c>
      <c r="BE1" s="23">
        <v>44917</v>
      </c>
      <c r="BF1" s="14" t="s">
        <v>10</v>
      </c>
      <c r="BG1" s="23">
        <v>44583</v>
      </c>
      <c r="BH1" s="23">
        <v>44614</v>
      </c>
      <c r="BI1" s="23">
        <v>44642</v>
      </c>
      <c r="BJ1" s="23">
        <v>44673</v>
      </c>
      <c r="BK1" s="23">
        <v>44703</v>
      </c>
      <c r="BL1" s="23">
        <v>44734</v>
      </c>
      <c r="BM1" s="23">
        <v>44764</v>
      </c>
      <c r="BN1" s="23">
        <v>44795</v>
      </c>
      <c r="BO1" s="23">
        <v>44826</v>
      </c>
      <c r="BP1" s="23">
        <v>44856</v>
      </c>
      <c r="BQ1" s="23">
        <v>44887</v>
      </c>
      <c r="BR1" s="23">
        <v>44917</v>
      </c>
    </row>
    <row r="2" spans="1:70" x14ac:dyDescent="0.3">
      <c r="A2" s="3">
        <v>1</v>
      </c>
      <c r="B2" s="44" t="s">
        <v>53</v>
      </c>
      <c r="C2" s="7" t="s">
        <v>15</v>
      </c>
      <c r="D2" s="38">
        <f t="shared" ref="D2:D25" si="0">SUM(E2:P2)</f>
        <v>11059.86</v>
      </c>
      <c r="E2" s="8">
        <v>898.14</v>
      </c>
      <c r="F2" s="8">
        <v>898.14</v>
      </c>
      <c r="G2" s="8">
        <v>898.14</v>
      </c>
      <c r="H2" s="8">
        <v>898.14</v>
      </c>
      <c r="I2" s="8">
        <v>898.14</v>
      </c>
      <c r="J2" s="8">
        <v>898.14</v>
      </c>
      <c r="K2" s="8">
        <v>945.17</v>
      </c>
      <c r="L2" s="8">
        <v>945.17</v>
      </c>
      <c r="M2" s="8">
        <v>945.17</v>
      </c>
      <c r="N2" s="8">
        <v>945.17</v>
      </c>
      <c r="O2" s="8">
        <v>945.17</v>
      </c>
      <c r="P2" s="8">
        <v>945.17</v>
      </c>
      <c r="Q2" s="7" t="s">
        <v>15</v>
      </c>
      <c r="R2" s="38">
        <f t="shared" ref="R2:R25" si="1">SUM(S2:AD2)</f>
        <v>626.40000000000009</v>
      </c>
      <c r="S2" s="8">
        <v>52.2</v>
      </c>
      <c r="T2" s="8">
        <v>52.2</v>
      </c>
      <c r="U2" s="8">
        <v>52.2</v>
      </c>
      <c r="V2" s="8">
        <v>52.2</v>
      </c>
      <c r="W2" s="8">
        <v>52.2</v>
      </c>
      <c r="X2" s="8">
        <v>52.2</v>
      </c>
      <c r="Y2" s="8">
        <v>52.2</v>
      </c>
      <c r="Z2" s="8">
        <v>52.2</v>
      </c>
      <c r="AA2" s="8">
        <v>52.2</v>
      </c>
      <c r="AB2" s="8">
        <v>52.2</v>
      </c>
      <c r="AC2" s="8">
        <v>52.2</v>
      </c>
      <c r="AD2" s="8">
        <v>52.2</v>
      </c>
      <c r="AE2" s="7" t="s">
        <v>15</v>
      </c>
      <c r="AF2" s="38">
        <f t="shared" ref="AF2:AF25" si="2">SUM(AG2:AR2)</f>
        <v>145.26000000000002</v>
      </c>
      <c r="AG2" s="8">
        <v>11.65</v>
      </c>
      <c r="AH2" s="8">
        <v>11.65</v>
      </c>
      <c r="AI2" s="8">
        <v>11.65</v>
      </c>
      <c r="AJ2" s="8">
        <v>11.65</v>
      </c>
      <c r="AK2" s="8">
        <v>11.65</v>
      </c>
      <c r="AL2" s="8">
        <v>11.65</v>
      </c>
      <c r="AM2" s="8">
        <v>12.56</v>
      </c>
      <c r="AN2" s="8">
        <v>12.56</v>
      </c>
      <c r="AO2" s="8">
        <v>12.56</v>
      </c>
      <c r="AP2" s="8">
        <v>12.56</v>
      </c>
      <c r="AQ2" s="8">
        <v>12.56</v>
      </c>
      <c r="AR2" s="8">
        <v>12.56</v>
      </c>
      <c r="AS2" s="38">
        <f t="shared" ref="AS2:AS25" si="3">SUM(AT2:BE2)</f>
        <v>841.20000000000016</v>
      </c>
      <c r="AT2" s="17">
        <v>70.099999999999994</v>
      </c>
      <c r="AU2" s="6">
        <v>70.099999999999994</v>
      </c>
      <c r="AV2" s="6">
        <v>70.099999999999994</v>
      </c>
      <c r="AW2" s="6">
        <v>70.099999999999994</v>
      </c>
      <c r="AX2" s="6">
        <v>70.099999999999994</v>
      </c>
      <c r="AY2" s="6">
        <v>70.099999999999994</v>
      </c>
      <c r="AZ2" s="6">
        <v>70.099999999999994</v>
      </c>
      <c r="BA2" s="6">
        <v>70.099999999999994</v>
      </c>
      <c r="BB2" s="6">
        <v>70.099999999999994</v>
      </c>
      <c r="BC2" s="6">
        <v>70.099999999999994</v>
      </c>
      <c r="BD2" s="6">
        <v>70.099999999999994</v>
      </c>
      <c r="BE2" s="6">
        <v>70.099999999999994</v>
      </c>
      <c r="BF2" s="38">
        <f t="shared" ref="BF2:BF25" si="4">SUM(BG2:BR2)</f>
        <v>685.13999999999987</v>
      </c>
      <c r="BG2" s="17">
        <v>50.53</v>
      </c>
      <c r="BH2" s="6">
        <v>50.53</v>
      </c>
      <c r="BI2" s="6">
        <v>50.53</v>
      </c>
      <c r="BJ2" s="6">
        <v>50.53</v>
      </c>
      <c r="BK2" s="6">
        <v>50.53</v>
      </c>
      <c r="BL2" s="6">
        <v>50.53</v>
      </c>
      <c r="BM2" s="6">
        <v>63.66</v>
      </c>
      <c r="BN2" s="6">
        <v>63.66</v>
      </c>
      <c r="BO2" s="6">
        <v>63.66</v>
      </c>
      <c r="BP2" s="6">
        <v>63.66</v>
      </c>
      <c r="BQ2" s="6">
        <v>63.66</v>
      </c>
      <c r="BR2" s="6">
        <v>63.66</v>
      </c>
    </row>
    <row r="3" spans="1:70" x14ac:dyDescent="0.3">
      <c r="A3" s="3">
        <v>2</v>
      </c>
      <c r="B3" s="44" t="s">
        <v>57</v>
      </c>
      <c r="C3" s="7" t="s">
        <v>13</v>
      </c>
      <c r="D3" s="38">
        <f t="shared" si="0"/>
        <v>19537.020000000004</v>
      </c>
      <c r="E3" s="8">
        <v>1586.29</v>
      </c>
      <c r="F3" s="8">
        <v>1586.29</v>
      </c>
      <c r="G3" s="8">
        <v>1586.29</v>
      </c>
      <c r="H3" s="8">
        <v>1586.29</v>
      </c>
      <c r="I3" s="8">
        <v>1586.29</v>
      </c>
      <c r="J3" s="8">
        <v>1586.29</v>
      </c>
      <c r="K3" s="8">
        <v>1669.88</v>
      </c>
      <c r="L3" s="8">
        <v>1669.88</v>
      </c>
      <c r="M3" s="8">
        <v>1669.88</v>
      </c>
      <c r="N3" s="8">
        <v>1669.88</v>
      </c>
      <c r="O3" s="8">
        <v>1669.88</v>
      </c>
      <c r="P3" s="8">
        <v>1669.88</v>
      </c>
      <c r="Q3" s="7" t="s">
        <v>13</v>
      </c>
      <c r="R3" s="38">
        <f t="shared" si="1"/>
        <v>992.16000000000031</v>
      </c>
      <c r="S3" s="8">
        <v>82.68</v>
      </c>
      <c r="T3" s="8">
        <v>82.68</v>
      </c>
      <c r="U3" s="8">
        <v>82.68</v>
      </c>
      <c r="V3" s="8">
        <v>82.68</v>
      </c>
      <c r="W3" s="8">
        <v>82.68</v>
      </c>
      <c r="X3" s="8">
        <v>82.68</v>
      </c>
      <c r="Y3" s="8">
        <v>82.68</v>
      </c>
      <c r="Z3" s="8">
        <v>82.68</v>
      </c>
      <c r="AA3" s="8">
        <v>82.68</v>
      </c>
      <c r="AB3" s="8">
        <v>82.68</v>
      </c>
      <c r="AC3" s="8">
        <v>82.68</v>
      </c>
      <c r="AD3" s="8">
        <v>82.68</v>
      </c>
      <c r="AE3" s="7" t="s">
        <v>13</v>
      </c>
      <c r="AF3" s="38">
        <f t="shared" si="2"/>
        <v>217.91999999999996</v>
      </c>
      <c r="AG3" s="8">
        <v>16.25</v>
      </c>
      <c r="AH3" s="8">
        <v>16.25</v>
      </c>
      <c r="AI3" s="8">
        <v>16.25</v>
      </c>
      <c r="AJ3" s="8">
        <v>16.25</v>
      </c>
      <c r="AK3" s="8">
        <v>16.25</v>
      </c>
      <c r="AL3" s="8">
        <v>16.25</v>
      </c>
      <c r="AM3" s="8">
        <v>20.07</v>
      </c>
      <c r="AN3" s="8">
        <v>20.07</v>
      </c>
      <c r="AO3" s="8">
        <v>20.07</v>
      </c>
      <c r="AP3" s="8">
        <v>20.07</v>
      </c>
      <c r="AQ3" s="8">
        <v>20.07</v>
      </c>
      <c r="AR3" s="8">
        <v>20.07</v>
      </c>
      <c r="AS3" s="38">
        <f t="shared" si="3"/>
        <v>248.39999999999995</v>
      </c>
      <c r="AT3" s="17">
        <v>20.7</v>
      </c>
      <c r="AU3" s="6">
        <v>20.7</v>
      </c>
      <c r="AV3" s="6">
        <v>20.7</v>
      </c>
      <c r="AW3" s="6">
        <v>20.7</v>
      </c>
      <c r="AX3" s="6">
        <v>20.7</v>
      </c>
      <c r="AY3" s="6">
        <v>20.7</v>
      </c>
      <c r="AZ3" s="6">
        <v>20.7</v>
      </c>
      <c r="BA3" s="6">
        <v>20.7</v>
      </c>
      <c r="BB3" s="6">
        <v>20.7</v>
      </c>
      <c r="BC3" s="6">
        <v>20.7</v>
      </c>
      <c r="BD3" s="6">
        <v>20.7</v>
      </c>
      <c r="BE3" s="6">
        <v>20.7</v>
      </c>
      <c r="BF3" s="38">
        <f t="shared" si="4"/>
        <v>556.1400000000001</v>
      </c>
      <c r="BG3" s="18">
        <v>41.47</v>
      </c>
      <c r="BH3" s="19">
        <v>41.47</v>
      </c>
      <c r="BI3" s="19">
        <v>41.47</v>
      </c>
      <c r="BJ3" s="19">
        <v>41.47</v>
      </c>
      <c r="BK3" s="19">
        <v>41.47</v>
      </c>
      <c r="BL3" s="19">
        <v>41.47</v>
      </c>
      <c r="BM3" s="19">
        <v>51.22</v>
      </c>
      <c r="BN3" s="19">
        <v>51.22</v>
      </c>
      <c r="BO3" s="19">
        <v>51.22</v>
      </c>
      <c r="BP3" s="19">
        <v>51.22</v>
      </c>
      <c r="BQ3" s="19">
        <v>51.22</v>
      </c>
      <c r="BR3" s="19">
        <v>51.22</v>
      </c>
    </row>
    <row r="4" spans="1:70" x14ac:dyDescent="0.3">
      <c r="A4" s="3">
        <v>3</v>
      </c>
      <c r="B4" s="44" t="s">
        <v>63</v>
      </c>
      <c r="C4" s="7" t="s">
        <v>13</v>
      </c>
      <c r="D4" s="38">
        <f t="shared" si="0"/>
        <v>19537.020000000004</v>
      </c>
      <c r="E4" s="8">
        <v>1586.29</v>
      </c>
      <c r="F4" s="8">
        <v>1586.29</v>
      </c>
      <c r="G4" s="8">
        <v>1586.29</v>
      </c>
      <c r="H4" s="8">
        <v>1586.29</v>
      </c>
      <c r="I4" s="8">
        <v>1586.29</v>
      </c>
      <c r="J4" s="8">
        <v>1586.29</v>
      </c>
      <c r="K4" s="8">
        <v>1669.88</v>
      </c>
      <c r="L4" s="8">
        <v>1669.88</v>
      </c>
      <c r="M4" s="8">
        <v>1669.88</v>
      </c>
      <c r="N4" s="8">
        <v>1669.88</v>
      </c>
      <c r="O4" s="8">
        <v>1669.88</v>
      </c>
      <c r="P4" s="8">
        <v>1669.88</v>
      </c>
      <c r="Q4" s="7" t="s">
        <v>13</v>
      </c>
      <c r="R4" s="38">
        <f t="shared" si="1"/>
        <v>890.03999999999985</v>
      </c>
      <c r="S4" s="8">
        <v>74.17</v>
      </c>
      <c r="T4" s="8">
        <v>74.17</v>
      </c>
      <c r="U4" s="8">
        <v>74.17</v>
      </c>
      <c r="V4" s="8">
        <v>74.17</v>
      </c>
      <c r="W4" s="8">
        <v>74.17</v>
      </c>
      <c r="X4" s="8">
        <v>74.17</v>
      </c>
      <c r="Y4" s="8">
        <v>74.17</v>
      </c>
      <c r="Z4" s="8">
        <v>74.17</v>
      </c>
      <c r="AA4" s="8">
        <v>74.17</v>
      </c>
      <c r="AB4" s="8">
        <v>74.17</v>
      </c>
      <c r="AC4" s="8">
        <v>74.17</v>
      </c>
      <c r="AD4" s="8">
        <v>74.17</v>
      </c>
      <c r="AE4" s="7" t="s">
        <v>13</v>
      </c>
      <c r="AF4" s="38">
        <f t="shared" si="2"/>
        <v>217.91999999999996</v>
      </c>
      <c r="AG4" s="8">
        <v>16.25</v>
      </c>
      <c r="AH4" s="8">
        <v>16.25</v>
      </c>
      <c r="AI4" s="8">
        <v>16.25</v>
      </c>
      <c r="AJ4" s="8">
        <v>16.25</v>
      </c>
      <c r="AK4" s="8">
        <v>16.25</v>
      </c>
      <c r="AL4" s="8">
        <v>16.25</v>
      </c>
      <c r="AM4" s="8">
        <v>20.07</v>
      </c>
      <c r="AN4" s="8">
        <v>20.07</v>
      </c>
      <c r="AO4" s="8">
        <v>20.07</v>
      </c>
      <c r="AP4" s="8">
        <v>20.07</v>
      </c>
      <c r="AQ4" s="8">
        <v>20.07</v>
      </c>
      <c r="AR4" s="8">
        <v>20.07</v>
      </c>
      <c r="AS4" s="38">
        <f t="shared" si="3"/>
        <v>248.39999999999995</v>
      </c>
      <c r="AT4" s="17">
        <v>20.7</v>
      </c>
      <c r="AU4" s="6">
        <v>20.7</v>
      </c>
      <c r="AV4" s="6">
        <v>20.7</v>
      </c>
      <c r="AW4" s="6">
        <v>20.7</v>
      </c>
      <c r="AX4" s="6">
        <v>20.7</v>
      </c>
      <c r="AY4" s="6">
        <v>20.7</v>
      </c>
      <c r="AZ4" s="6">
        <v>20.7</v>
      </c>
      <c r="BA4" s="6">
        <v>20.7</v>
      </c>
      <c r="BB4" s="6">
        <v>20.7</v>
      </c>
      <c r="BC4" s="6">
        <v>20.7</v>
      </c>
      <c r="BD4" s="6">
        <v>20.7</v>
      </c>
      <c r="BE4" s="6">
        <v>20.7</v>
      </c>
      <c r="BF4" s="38">
        <f t="shared" si="4"/>
        <v>539.64</v>
      </c>
      <c r="BG4" s="18">
        <v>39.799999999999997</v>
      </c>
      <c r="BH4" s="19">
        <v>39.799999999999997</v>
      </c>
      <c r="BI4" s="19">
        <v>39.799999999999997</v>
      </c>
      <c r="BJ4" s="19">
        <v>39.799999999999997</v>
      </c>
      <c r="BK4" s="19">
        <v>39.799999999999997</v>
      </c>
      <c r="BL4" s="19">
        <v>39.799999999999997</v>
      </c>
      <c r="BM4" s="19">
        <v>50.14</v>
      </c>
      <c r="BN4" s="19">
        <v>50.14</v>
      </c>
      <c r="BO4" s="19">
        <v>50.14</v>
      </c>
      <c r="BP4" s="19">
        <v>50.14</v>
      </c>
      <c r="BQ4" s="19">
        <v>50.14</v>
      </c>
      <c r="BR4" s="19">
        <v>50.14</v>
      </c>
    </row>
    <row r="5" spans="1:70" x14ac:dyDescent="0.3">
      <c r="A5">
        <v>4</v>
      </c>
      <c r="B5" s="44" t="s">
        <v>66</v>
      </c>
      <c r="C5" s="7" t="s">
        <v>18</v>
      </c>
      <c r="D5" s="38">
        <f t="shared" si="0"/>
        <v>12876.359999999997</v>
      </c>
      <c r="E5" s="8">
        <v>1045.5999999999999</v>
      </c>
      <c r="F5" s="8">
        <v>1045.5999999999999</v>
      </c>
      <c r="G5" s="8">
        <v>1045.5999999999999</v>
      </c>
      <c r="H5" s="8">
        <v>1045.5999999999999</v>
      </c>
      <c r="I5" s="8">
        <v>1045.5999999999999</v>
      </c>
      <c r="J5" s="8">
        <v>1045.5999999999999</v>
      </c>
      <c r="K5" s="8">
        <v>1100.46</v>
      </c>
      <c r="L5" s="8">
        <v>1100.46</v>
      </c>
      <c r="M5" s="8">
        <v>1100.46</v>
      </c>
      <c r="N5" s="8">
        <v>1100.46</v>
      </c>
      <c r="O5" s="8">
        <v>1100.46</v>
      </c>
      <c r="P5" s="8">
        <v>1100.46</v>
      </c>
      <c r="Q5" s="7" t="s">
        <v>18</v>
      </c>
      <c r="R5" s="38">
        <f t="shared" si="1"/>
        <v>553.79999999999984</v>
      </c>
      <c r="S5" s="8">
        <v>46.15</v>
      </c>
      <c r="T5" s="8">
        <v>46.15</v>
      </c>
      <c r="U5" s="8">
        <v>46.15</v>
      </c>
      <c r="V5" s="8">
        <v>46.15</v>
      </c>
      <c r="W5" s="8">
        <v>46.15</v>
      </c>
      <c r="X5" s="8">
        <v>46.15</v>
      </c>
      <c r="Y5" s="8">
        <v>46.15</v>
      </c>
      <c r="Z5" s="8">
        <v>46.15</v>
      </c>
      <c r="AA5" s="8">
        <v>46.15</v>
      </c>
      <c r="AB5" s="8">
        <v>46.15</v>
      </c>
      <c r="AC5" s="8">
        <v>46.15</v>
      </c>
      <c r="AD5" s="8">
        <v>46.15</v>
      </c>
      <c r="AE5" s="7" t="s">
        <v>18</v>
      </c>
      <c r="AF5" s="38">
        <f t="shared" si="2"/>
        <v>137.03999999999996</v>
      </c>
      <c r="AG5" s="8">
        <v>11.1</v>
      </c>
      <c r="AH5" s="8">
        <v>11.1</v>
      </c>
      <c r="AI5" s="8">
        <v>11.1</v>
      </c>
      <c r="AJ5" s="8">
        <v>11.1</v>
      </c>
      <c r="AK5" s="8">
        <v>11.1</v>
      </c>
      <c r="AL5" s="8">
        <v>11.1</v>
      </c>
      <c r="AM5" s="8">
        <v>11.74</v>
      </c>
      <c r="AN5" s="8">
        <v>11.74</v>
      </c>
      <c r="AO5" s="8">
        <v>11.74</v>
      </c>
      <c r="AP5" s="8">
        <v>11.74</v>
      </c>
      <c r="AQ5" s="8">
        <v>11.74</v>
      </c>
      <c r="AR5" s="8">
        <v>11.74</v>
      </c>
      <c r="AS5" s="38">
        <f t="shared" si="3"/>
        <v>628.79999999999984</v>
      </c>
      <c r="AT5" s="17">
        <v>52.4</v>
      </c>
      <c r="AU5" s="6">
        <v>52.4</v>
      </c>
      <c r="AV5" s="6">
        <v>52.4</v>
      </c>
      <c r="AW5" s="6">
        <v>52.4</v>
      </c>
      <c r="AX5" s="6">
        <v>52.4</v>
      </c>
      <c r="AY5" s="6">
        <v>52.4</v>
      </c>
      <c r="AZ5" s="6">
        <v>52.4</v>
      </c>
      <c r="BA5" s="6">
        <v>52.4</v>
      </c>
      <c r="BB5" s="6">
        <v>52.4</v>
      </c>
      <c r="BC5" s="6">
        <v>52.4</v>
      </c>
      <c r="BD5" s="6">
        <v>52.4</v>
      </c>
      <c r="BE5" s="6">
        <v>52.4</v>
      </c>
      <c r="BF5" s="38">
        <f t="shared" si="4"/>
        <v>648.77999999999986</v>
      </c>
      <c r="BG5" s="18">
        <v>47.85</v>
      </c>
      <c r="BH5" s="19">
        <v>47.85</v>
      </c>
      <c r="BI5" s="19">
        <v>47.85</v>
      </c>
      <c r="BJ5" s="19">
        <v>47.85</v>
      </c>
      <c r="BK5" s="19">
        <v>47.85</v>
      </c>
      <c r="BL5" s="19">
        <v>47.85</v>
      </c>
      <c r="BM5" s="19">
        <v>60.28</v>
      </c>
      <c r="BN5" s="19">
        <v>60.28</v>
      </c>
      <c r="BO5" s="19">
        <v>60.28</v>
      </c>
      <c r="BP5" s="19">
        <v>60.28</v>
      </c>
      <c r="BQ5" s="19">
        <v>60.28</v>
      </c>
      <c r="BR5" s="19">
        <v>60.28</v>
      </c>
    </row>
    <row r="6" spans="1:70" x14ac:dyDescent="0.3">
      <c r="A6" s="3">
        <v>5</v>
      </c>
      <c r="B6" s="44" t="s">
        <v>69</v>
      </c>
      <c r="C6" s="7" t="s">
        <v>13</v>
      </c>
      <c r="D6" s="38">
        <f t="shared" si="0"/>
        <v>19537.020000000004</v>
      </c>
      <c r="E6" s="8">
        <v>1586.29</v>
      </c>
      <c r="F6" s="8">
        <v>1586.29</v>
      </c>
      <c r="G6" s="8">
        <v>1586.29</v>
      </c>
      <c r="H6" s="8">
        <v>1586.29</v>
      </c>
      <c r="I6" s="8">
        <v>1586.29</v>
      </c>
      <c r="J6" s="8">
        <v>1586.29</v>
      </c>
      <c r="K6" s="8">
        <v>1669.88</v>
      </c>
      <c r="L6" s="8">
        <v>1669.88</v>
      </c>
      <c r="M6" s="8">
        <v>1669.88</v>
      </c>
      <c r="N6" s="8">
        <v>1669.88</v>
      </c>
      <c r="O6" s="8">
        <v>1669.88</v>
      </c>
      <c r="P6" s="8">
        <v>1669.88</v>
      </c>
      <c r="Q6" s="7" t="s">
        <v>13</v>
      </c>
      <c r="R6" s="38">
        <f t="shared" si="1"/>
        <v>992.16000000000031</v>
      </c>
      <c r="S6" s="8">
        <v>82.68</v>
      </c>
      <c r="T6" s="8">
        <v>82.68</v>
      </c>
      <c r="U6" s="8">
        <v>82.68</v>
      </c>
      <c r="V6" s="8">
        <v>82.68</v>
      </c>
      <c r="W6" s="8">
        <v>82.68</v>
      </c>
      <c r="X6" s="8">
        <v>82.68</v>
      </c>
      <c r="Y6" s="8">
        <v>82.68</v>
      </c>
      <c r="Z6" s="8">
        <v>82.68</v>
      </c>
      <c r="AA6" s="8">
        <v>82.68</v>
      </c>
      <c r="AB6" s="8">
        <v>82.68</v>
      </c>
      <c r="AC6" s="8">
        <v>82.68</v>
      </c>
      <c r="AD6" s="8">
        <v>82.68</v>
      </c>
      <c r="AE6" s="7" t="s">
        <v>13</v>
      </c>
      <c r="AF6" s="38">
        <f t="shared" si="2"/>
        <v>217.91999999999996</v>
      </c>
      <c r="AG6" s="8">
        <v>16.25</v>
      </c>
      <c r="AH6" s="8">
        <v>16.25</v>
      </c>
      <c r="AI6" s="8">
        <v>16.25</v>
      </c>
      <c r="AJ6" s="8">
        <v>16.25</v>
      </c>
      <c r="AK6" s="8">
        <v>16.25</v>
      </c>
      <c r="AL6" s="8">
        <v>16.25</v>
      </c>
      <c r="AM6" s="8">
        <v>20.07</v>
      </c>
      <c r="AN6" s="8">
        <v>20.07</v>
      </c>
      <c r="AO6" s="8">
        <v>20.07</v>
      </c>
      <c r="AP6" s="8">
        <v>20.07</v>
      </c>
      <c r="AQ6" s="8">
        <v>20.07</v>
      </c>
      <c r="AR6" s="8">
        <v>20.07</v>
      </c>
      <c r="AS6" s="38">
        <f t="shared" si="3"/>
        <v>248.39999999999995</v>
      </c>
      <c r="AT6" s="17">
        <v>20.7</v>
      </c>
      <c r="AU6" s="6">
        <v>20.7</v>
      </c>
      <c r="AV6" s="6">
        <v>20.7</v>
      </c>
      <c r="AW6" s="6">
        <v>20.7</v>
      </c>
      <c r="AX6" s="6">
        <v>20.7</v>
      </c>
      <c r="AY6" s="6">
        <v>20.7</v>
      </c>
      <c r="AZ6" s="6">
        <v>20.7</v>
      </c>
      <c r="BA6" s="6">
        <v>20.7</v>
      </c>
      <c r="BB6" s="6">
        <v>20.7</v>
      </c>
      <c r="BC6" s="6">
        <v>20.7</v>
      </c>
      <c r="BD6" s="6">
        <v>20.7</v>
      </c>
      <c r="BE6" s="6">
        <v>20.7</v>
      </c>
      <c r="BF6" s="38">
        <f t="shared" si="4"/>
        <v>827.15999999999985</v>
      </c>
      <c r="BG6" s="18">
        <v>61.33</v>
      </c>
      <c r="BH6" s="19">
        <v>61.33</v>
      </c>
      <c r="BI6" s="19">
        <v>61.33</v>
      </c>
      <c r="BJ6" s="19">
        <v>61.33</v>
      </c>
      <c r="BK6" s="19">
        <v>61.33</v>
      </c>
      <c r="BL6" s="19">
        <v>61.33</v>
      </c>
      <c r="BM6" s="19">
        <v>76.53</v>
      </c>
      <c r="BN6" s="19">
        <v>76.53</v>
      </c>
      <c r="BO6" s="19">
        <v>76.53</v>
      </c>
      <c r="BP6" s="19">
        <v>76.53</v>
      </c>
      <c r="BQ6" s="19">
        <v>76.53</v>
      </c>
      <c r="BR6" s="19">
        <v>76.53</v>
      </c>
    </row>
    <row r="7" spans="1:70" x14ac:dyDescent="0.3">
      <c r="A7" s="3">
        <v>6</v>
      </c>
      <c r="B7" s="44" t="s">
        <v>72</v>
      </c>
      <c r="C7" s="7" t="s">
        <v>15</v>
      </c>
      <c r="D7" s="38">
        <f t="shared" si="0"/>
        <v>11059.86</v>
      </c>
      <c r="E7" s="8">
        <v>898.14</v>
      </c>
      <c r="F7" s="8">
        <v>898.14</v>
      </c>
      <c r="G7" s="8">
        <v>898.14</v>
      </c>
      <c r="H7" s="8">
        <v>898.14</v>
      </c>
      <c r="I7" s="8">
        <v>898.14</v>
      </c>
      <c r="J7" s="8">
        <v>898.14</v>
      </c>
      <c r="K7" s="8">
        <v>945.17</v>
      </c>
      <c r="L7" s="8">
        <v>945.17</v>
      </c>
      <c r="M7" s="8">
        <v>945.17</v>
      </c>
      <c r="N7" s="8">
        <v>945.17</v>
      </c>
      <c r="O7" s="8">
        <v>945.17</v>
      </c>
      <c r="P7" s="8">
        <v>945.17</v>
      </c>
      <c r="Q7" s="7" t="s">
        <v>13</v>
      </c>
      <c r="R7" s="38">
        <f t="shared" si="1"/>
        <v>890.03999999999985</v>
      </c>
      <c r="S7" s="8">
        <v>74.17</v>
      </c>
      <c r="T7" s="8">
        <v>74.17</v>
      </c>
      <c r="U7" s="8">
        <v>74.17</v>
      </c>
      <c r="V7" s="8">
        <v>74.17</v>
      </c>
      <c r="W7" s="8">
        <v>74.17</v>
      </c>
      <c r="X7" s="8">
        <v>74.17</v>
      </c>
      <c r="Y7" s="8">
        <v>74.17</v>
      </c>
      <c r="Z7" s="8">
        <v>74.17</v>
      </c>
      <c r="AA7" s="8">
        <v>74.17</v>
      </c>
      <c r="AB7" s="8">
        <v>74.17</v>
      </c>
      <c r="AC7" s="8">
        <v>74.17</v>
      </c>
      <c r="AD7" s="8">
        <v>74.17</v>
      </c>
      <c r="AE7" s="7" t="s">
        <v>13</v>
      </c>
      <c r="AF7" s="38">
        <f t="shared" si="2"/>
        <v>217.91999999999996</v>
      </c>
      <c r="AG7" s="8">
        <v>16.25</v>
      </c>
      <c r="AH7" s="8">
        <v>16.25</v>
      </c>
      <c r="AI7" s="8">
        <v>16.25</v>
      </c>
      <c r="AJ7" s="8">
        <v>16.25</v>
      </c>
      <c r="AK7" s="8">
        <v>16.25</v>
      </c>
      <c r="AL7" s="8">
        <v>16.25</v>
      </c>
      <c r="AM7" s="8">
        <v>20.07</v>
      </c>
      <c r="AN7" s="8">
        <v>20.07</v>
      </c>
      <c r="AO7" s="8">
        <v>20.07</v>
      </c>
      <c r="AP7" s="8">
        <v>20.07</v>
      </c>
      <c r="AQ7" s="8">
        <v>20.07</v>
      </c>
      <c r="AR7" s="8">
        <v>20.07</v>
      </c>
      <c r="AS7" s="38">
        <f t="shared" si="3"/>
        <v>397.2000000000001</v>
      </c>
      <c r="AT7" s="17">
        <v>33.1</v>
      </c>
      <c r="AU7" s="6">
        <v>33.1</v>
      </c>
      <c r="AV7" s="6">
        <v>33.1</v>
      </c>
      <c r="AW7" s="6">
        <v>33.1</v>
      </c>
      <c r="AX7" s="6">
        <v>33.1</v>
      </c>
      <c r="AY7" s="6">
        <v>33.1</v>
      </c>
      <c r="AZ7" s="6">
        <v>33.1</v>
      </c>
      <c r="BA7" s="6">
        <v>33.1</v>
      </c>
      <c r="BB7" s="6">
        <v>33.1</v>
      </c>
      <c r="BC7" s="6">
        <v>33.1</v>
      </c>
      <c r="BD7" s="6">
        <v>33.1</v>
      </c>
      <c r="BE7" s="6">
        <v>33.1</v>
      </c>
      <c r="BF7" s="38">
        <f t="shared" si="4"/>
        <v>1430.9999999999998</v>
      </c>
      <c r="BG7" s="17">
        <v>97.15</v>
      </c>
      <c r="BH7" s="6">
        <v>97.15</v>
      </c>
      <c r="BI7" s="6">
        <v>97.15</v>
      </c>
      <c r="BJ7" s="6">
        <v>97.15</v>
      </c>
      <c r="BK7" s="6">
        <v>97.15</v>
      </c>
      <c r="BL7" s="6">
        <v>97.15</v>
      </c>
      <c r="BM7" s="6">
        <v>141.35</v>
      </c>
      <c r="BN7" s="6">
        <v>141.35</v>
      </c>
      <c r="BO7" s="6">
        <v>141.35</v>
      </c>
      <c r="BP7" s="6">
        <v>141.35</v>
      </c>
      <c r="BQ7" s="6">
        <v>141.35</v>
      </c>
      <c r="BR7" s="6">
        <v>141.35</v>
      </c>
    </row>
    <row r="8" spans="1:70" x14ac:dyDescent="0.3">
      <c r="A8" s="3">
        <v>7</v>
      </c>
      <c r="B8" s="44" t="s">
        <v>58</v>
      </c>
      <c r="C8" s="7" t="s">
        <v>13</v>
      </c>
      <c r="D8" s="38">
        <f t="shared" si="0"/>
        <v>19537.020000000004</v>
      </c>
      <c r="E8" s="8">
        <v>1586.29</v>
      </c>
      <c r="F8" s="8">
        <v>1586.29</v>
      </c>
      <c r="G8" s="8">
        <v>1586.29</v>
      </c>
      <c r="H8" s="8">
        <v>1586.29</v>
      </c>
      <c r="I8" s="8">
        <v>1586.29</v>
      </c>
      <c r="J8" s="8">
        <v>1586.29</v>
      </c>
      <c r="K8" s="8">
        <v>1669.88</v>
      </c>
      <c r="L8" s="8">
        <v>1669.88</v>
      </c>
      <c r="M8" s="8">
        <v>1669.88</v>
      </c>
      <c r="N8" s="8">
        <v>1669.88</v>
      </c>
      <c r="O8" s="8">
        <v>1669.88</v>
      </c>
      <c r="P8" s="8">
        <v>1669.88</v>
      </c>
      <c r="Q8" s="7" t="s">
        <v>13</v>
      </c>
      <c r="R8" s="38">
        <f t="shared" si="1"/>
        <v>890.03999999999985</v>
      </c>
      <c r="S8" s="8">
        <v>74.17</v>
      </c>
      <c r="T8" s="8">
        <v>74.17</v>
      </c>
      <c r="U8" s="8">
        <v>74.17</v>
      </c>
      <c r="V8" s="8">
        <v>74.17</v>
      </c>
      <c r="W8" s="8">
        <v>74.17</v>
      </c>
      <c r="X8" s="8">
        <v>74.17</v>
      </c>
      <c r="Y8" s="8">
        <v>74.17</v>
      </c>
      <c r="Z8" s="8">
        <v>74.17</v>
      </c>
      <c r="AA8" s="8">
        <v>74.17</v>
      </c>
      <c r="AB8" s="8">
        <v>74.17</v>
      </c>
      <c r="AC8" s="8">
        <v>74.17</v>
      </c>
      <c r="AD8" s="8">
        <v>74.17</v>
      </c>
      <c r="AE8" s="7" t="s">
        <v>13</v>
      </c>
      <c r="AF8" s="38">
        <f t="shared" si="2"/>
        <v>217.91999999999996</v>
      </c>
      <c r="AG8" s="8">
        <v>16.25</v>
      </c>
      <c r="AH8" s="8">
        <v>16.25</v>
      </c>
      <c r="AI8" s="8">
        <v>16.25</v>
      </c>
      <c r="AJ8" s="8">
        <v>16.25</v>
      </c>
      <c r="AK8" s="8">
        <v>16.25</v>
      </c>
      <c r="AL8" s="8">
        <v>16.25</v>
      </c>
      <c r="AM8" s="8">
        <v>20.07</v>
      </c>
      <c r="AN8" s="8">
        <v>20.07</v>
      </c>
      <c r="AO8" s="8">
        <v>20.07</v>
      </c>
      <c r="AP8" s="8">
        <v>20.07</v>
      </c>
      <c r="AQ8" s="8">
        <v>20.07</v>
      </c>
      <c r="AR8" s="8">
        <v>20.07</v>
      </c>
      <c r="AS8" s="38">
        <f t="shared" si="3"/>
        <v>248.39999999999995</v>
      </c>
      <c r="AT8" s="17">
        <v>20.7</v>
      </c>
      <c r="AU8" s="6">
        <v>20.7</v>
      </c>
      <c r="AV8" s="6">
        <v>20.7</v>
      </c>
      <c r="AW8" s="6">
        <v>20.7</v>
      </c>
      <c r="AX8" s="6">
        <v>20.7</v>
      </c>
      <c r="AY8" s="6">
        <v>20.7</v>
      </c>
      <c r="AZ8" s="6">
        <v>20.7</v>
      </c>
      <c r="BA8" s="6">
        <v>20.7</v>
      </c>
      <c r="BB8" s="6">
        <v>20.7</v>
      </c>
      <c r="BC8" s="6">
        <v>20.7</v>
      </c>
      <c r="BD8" s="6">
        <v>20.7</v>
      </c>
      <c r="BE8" s="6">
        <v>20.7</v>
      </c>
      <c r="BF8" s="38">
        <f t="shared" si="4"/>
        <v>781.55999999999972</v>
      </c>
      <c r="BG8" s="18">
        <v>56.94</v>
      </c>
      <c r="BH8" s="19">
        <v>56.94</v>
      </c>
      <c r="BI8" s="19">
        <v>56.94</v>
      </c>
      <c r="BJ8" s="19">
        <v>56.94</v>
      </c>
      <c r="BK8" s="19">
        <v>56.94</v>
      </c>
      <c r="BL8" s="19">
        <v>56.94</v>
      </c>
      <c r="BM8" s="19">
        <v>73.319999999999993</v>
      </c>
      <c r="BN8" s="19">
        <v>73.319999999999993</v>
      </c>
      <c r="BO8" s="19">
        <v>73.319999999999993</v>
      </c>
      <c r="BP8" s="19">
        <v>73.319999999999993</v>
      </c>
      <c r="BQ8" s="19">
        <v>73.319999999999993</v>
      </c>
      <c r="BR8" s="19">
        <v>73.319999999999993</v>
      </c>
    </row>
    <row r="9" spans="1:70" x14ac:dyDescent="0.3">
      <c r="A9">
        <v>8</v>
      </c>
      <c r="B9" s="44" t="s">
        <v>73</v>
      </c>
      <c r="C9" s="7" t="s">
        <v>15</v>
      </c>
      <c r="D9" s="38">
        <f t="shared" si="0"/>
        <v>11059.86</v>
      </c>
      <c r="E9" s="8">
        <v>898.14</v>
      </c>
      <c r="F9" s="8">
        <v>898.14</v>
      </c>
      <c r="G9" s="8">
        <v>898.14</v>
      </c>
      <c r="H9" s="8">
        <v>898.14</v>
      </c>
      <c r="I9" s="8">
        <v>898.14</v>
      </c>
      <c r="J9" s="8">
        <v>898.14</v>
      </c>
      <c r="K9" s="8">
        <v>945.17</v>
      </c>
      <c r="L9" s="8">
        <v>945.17</v>
      </c>
      <c r="M9" s="8">
        <v>945.17</v>
      </c>
      <c r="N9" s="8">
        <v>945.17</v>
      </c>
      <c r="O9" s="8">
        <v>945.17</v>
      </c>
      <c r="P9" s="8">
        <v>945.17</v>
      </c>
      <c r="Q9" s="7" t="s">
        <v>15</v>
      </c>
      <c r="R9" s="38">
        <f t="shared" si="1"/>
        <v>573.2399999999999</v>
      </c>
      <c r="S9" s="8">
        <v>47.77</v>
      </c>
      <c r="T9" s="8">
        <v>47.77</v>
      </c>
      <c r="U9" s="8">
        <v>47.77</v>
      </c>
      <c r="V9" s="8">
        <v>47.77</v>
      </c>
      <c r="W9" s="8">
        <v>47.77</v>
      </c>
      <c r="X9" s="8">
        <v>47.77</v>
      </c>
      <c r="Y9" s="8">
        <v>47.77</v>
      </c>
      <c r="Z9" s="8">
        <v>47.77</v>
      </c>
      <c r="AA9" s="8">
        <v>47.77</v>
      </c>
      <c r="AB9" s="8">
        <v>47.77</v>
      </c>
      <c r="AC9" s="8">
        <v>47.77</v>
      </c>
      <c r="AD9" s="8">
        <v>47.77</v>
      </c>
      <c r="AE9" s="7" t="s">
        <v>15</v>
      </c>
      <c r="AF9" s="38">
        <f t="shared" si="2"/>
        <v>145.26000000000002</v>
      </c>
      <c r="AG9" s="8">
        <v>11.65</v>
      </c>
      <c r="AH9" s="8">
        <v>11.65</v>
      </c>
      <c r="AI9" s="8">
        <v>11.65</v>
      </c>
      <c r="AJ9" s="8">
        <v>11.65</v>
      </c>
      <c r="AK9" s="8">
        <v>11.65</v>
      </c>
      <c r="AL9" s="8">
        <v>11.65</v>
      </c>
      <c r="AM9" s="8">
        <v>12.56</v>
      </c>
      <c r="AN9" s="8">
        <v>12.56</v>
      </c>
      <c r="AO9" s="8">
        <v>12.56</v>
      </c>
      <c r="AP9" s="8">
        <v>12.56</v>
      </c>
      <c r="AQ9" s="8">
        <v>12.56</v>
      </c>
      <c r="AR9" s="8">
        <v>12.56</v>
      </c>
      <c r="AS9" s="38">
        <f t="shared" si="3"/>
        <v>397.2000000000001</v>
      </c>
      <c r="AT9" s="17">
        <v>33.1</v>
      </c>
      <c r="AU9" s="6">
        <v>33.1</v>
      </c>
      <c r="AV9" s="6">
        <v>33.1</v>
      </c>
      <c r="AW9" s="6">
        <v>33.1</v>
      </c>
      <c r="AX9" s="6">
        <v>33.1</v>
      </c>
      <c r="AY9" s="6">
        <v>33.1</v>
      </c>
      <c r="AZ9" s="6">
        <v>33.1</v>
      </c>
      <c r="BA9" s="6">
        <v>33.1</v>
      </c>
      <c r="BB9" s="6">
        <v>33.1</v>
      </c>
      <c r="BC9" s="6">
        <v>33.1</v>
      </c>
      <c r="BD9" s="6">
        <v>33.1</v>
      </c>
      <c r="BE9" s="6">
        <v>33.1</v>
      </c>
      <c r="BF9" s="38">
        <f t="shared" si="4"/>
        <v>477.17999999999989</v>
      </c>
      <c r="BG9" s="17">
        <v>35.14</v>
      </c>
      <c r="BH9" s="6">
        <v>35.14</v>
      </c>
      <c r="BI9" s="6">
        <v>35.14</v>
      </c>
      <c r="BJ9" s="6">
        <v>35.14</v>
      </c>
      <c r="BK9" s="6">
        <v>35.14</v>
      </c>
      <c r="BL9" s="6">
        <v>35.14</v>
      </c>
      <c r="BM9" s="6">
        <v>44.39</v>
      </c>
      <c r="BN9" s="6">
        <v>44.39</v>
      </c>
      <c r="BO9" s="6">
        <v>44.39</v>
      </c>
      <c r="BP9" s="6">
        <v>44.39</v>
      </c>
      <c r="BQ9" s="6">
        <v>44.39</v>
      </c>
      <c r="BR9" s="6">
        <v>44.39</v>
      </c>
    </row>
    <row r="10" spans="1:70" x14ac:dyDescent="0.3">
      <c r="A10" s="3">
        <v>9</v>
      </c>
      <c r="B10" s="44" t="s">
        <v>75</v>
      </c>
      <c r="C10" s="9" t="s">
        <v>16</v>
      </c>
      <c r="D10" s="38">
        <f t="shared" si="0"/>
        <v>2019.68</v>
      </c>
      <c r="E10" s="8">
        <v>504.92</v>
      </c>
      <c r="F10" s="8">
        <v>504.92</v>
      </c>
      <c r="G10" s="8">
        <v>504.92</v>
      </c>
      <c r="H10" s="8">
        <v>504.92</v>
      </c>
      <c r="I10" s="20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7" t="s">
        <v>16</v>
      </c>
      <c r="R10" s="38">
        <f t="shared" si="1"/>
        <v>93.2</v>
      </c>
      <c r="S10" s="8">
        <v>23.3</v>
      </c>
      <c r="T10" s="8">
        <v>23.3</v>
      </c>
      <c r="U10" s="8">
        <v>23.3</v>
      </c>
      <c r="V10" s="8">
        <v>23.3</v>
      </c>
      <c r="W10" s="20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9" t="s">
        <v>16</v>
      </c>
      <c r="AF10" s="38">
        <f t="shared" si="2"/>
        <v>22.24</v>
      </c>
      <c r="AG10" s="8">
        <v>5.56</v>
      </c>
      <c r="AH10" s="8">
        <v>5.56</v>
      </c>
      <c r="AI10" s="8">
        <v>5.56</v>
      </c>
      <c r="AJ10" s="8">
        <v>5.56</v>
      </c>
      <c r="AK10" s="20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38">
        <f t="shared" si="3"/>
        <v>40.799999999999997</v>
      </c>
      <c r="AT10" s="17">
        <v>10.199999999999999</v>
      </c>
      <c r="AU10" s="6">
        <v>10.199999999999999</v>
      </c>
      <c r="AV10" s="6">
        <v>10.199999999999999</v>
      </c>
      <c r="AW10" s="6">
        <v>10.199999999999999</v>
      </c>
      <c r="AX10" s="21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38">
        <f t="shared" si="4"/>
        <v>169.6</v>
      </c>
      <c r="BG10" s="18">
        <v>42.4</v>
      </c>
      <c r="BH10" s="19">
        <v>42.4</v>
      </c>
      <c r="BI10" s="19">
        <v>42.4</v>
      </c>
      <c r="BJ10" s="19">
        <v>42.4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</row>
    <row r="11" spans="1:70" x14ac:dyDescent="0.3">
      <c r="A11" s="3">
        <v>10</v>
      </c>
      <c r="B11" s="44" t="s">
        <v>70</v>
      </c>
      <c r="C11" s="7" t="s">
        <v>16</v>
      </c>
      <c r="D11" s="38">
        <f t="shared" si="0"/>
        <v>6215.7599999999993</v>
      </c>
      <c r="E11" s="8">
        <v>504.92</v>
      </c>
      <c r="F11" s="8">
        <v>504.92</v>
      </c>
      <c r="G11" s="8">
        <v>504.92</v>
      </c>
      <c r="H11" s="8">
        <v>504.92</v>
      </c>
      <c r="I11" s="8">
        <v>504.92</v>
      </c>
      <c r="J11" s="8">
        <v>504.92</v>
      </c>
      <c r="K11" s="8">
        <v>531.04</v>
      </c>
      <c r="L11" s="8">
        <v>531.04</v>
      </c>
      <c r="M11" s="8">
        <v>531.04</v>
      </c>
      <c r="N11" s="8">
        <v>531.04</v>
      </c>
      <c r="O11" s="8">
        <v>531.04</v>
      </c>
      <c r="P11" s="8">
        <v>531.04</v>
      </c>
      <c r="Q11" s="7" t="s">
        <v>16</v>
      </c>
      <c r="R11" s="38">
        <f t="shared" si="1"/>
        <v>279.60000000000008</v>
      </c>
      <c r="S11" s="8">
        <v>23.3</v>
      </c>
      <c r="T11" s="8">
        <v>23.3</v>
      </c>
      <c r="U11" s="8">
        <v>23.3</v>
      </c>
      <c r="V11" s="8">
        <v>23.3</v>
      </c>
      <c r="W11" s="8">
        <v>23.3</v>
      </c>
      <c r="X11" s="8">
        <v>23.3</v>
      </c>
      <c r="Y11" s="8">
        <v>23.3</v>
      </c>
      <c r="Z11" s="8">
        <v>23.3</v>
      </c>
      <c r="AA11" s="8">
        <v>23.3</v>
      </c>
      <c r="AB11" s="8">
        <v>23.3</v>
      </c>
      <c r="AC11" s="8">
        <v>23.3</v>
      </c>
      <c r="AD11" s="8">
        <v>23.3</v>
      </c>
      <c r="AE11" s="7" t="s">
        <v>16</v>
      </c>
      <c r="AF11" s="38">
        <f t="shared" si="2"/>
        <v>68.579999999999984</v>
      </c>
      <c r="AG11" s="8">
        <v>5.56</v>
      </c>
      <c r="AH11" s="8">
        <v>5.56</v>
      </c>
      <c r="AI11" s="8">
        <v>5.56</v>
      </c>
      <c r="AJ11" s="8">
        <v>5.56</v>
      </c>
      <c r="AK11" s="8">
        <v>5.56</v>
      </c>
      <c r="AL11" s="8">
        <v>5.56</v>
      </c>
      <c r="AM11" s="8">
        <v>5.87</v>
      </c>
      <c r="AN11" s="8">
        <v>5.87</v>
      </c>
      <c r="AO11" s="8">
        <v>5.87</v>
      </c>
      <c r="AP11" s="8">
        <v>5.87</v>
      </c>
      <c r="AQ11" s="8">
        <v>5.87</v>
      </c>
      <c r="AR11" s="8">
        <v>5.87</v>
      </c>
      <c r="AS11" s="38">
        <f t="shared" si="3"/>
        <v>121.20000000000002</v>
      </c>
      <c r="AT11" s="17">
        <v>10</v>
      </c>
      <c r="AU11" s="6">
        <v>10</v>
      </c>
      <c r="AV11" s="6">
        <v>10</v>
      </c>
      <c r="AW11" s="6">
        <v>10</v>
      </c>
      <c r="AX11" s="6">
        <v>10</v>
      </c>
      <c r="AY11" s="6">
        <v>10</v>
      </c>
      <c r="AZ11" s="6">
        <v>10.199999999999999</v>
      </c>
      <c r="BA11" s="6">
        <v>10.199999999999999</v>
      </c>
      <c r="BB11" s="6">
        <v>10.199999999999999</v>
      </c>
      <c r="BC11" s="6">
        <v>10.199999999999999</v>
      </c>
      <c r="BD11" s="6">
        <v>10.199999999999999</v>
      </c>
      <c r="BE11" s="6">
        <v>10.199999999999999</v>
      </c>
      <c r="BF11" s="38">
        <f t="shared" si="4"/>
        <v>590.46</v>
      </c>
      <c r="BG11" s="18">
        <v>44.46</v>
      </c>
      <c r="BH11" s="19">
        <v>44.46</v>
      </c>
      <c r="BI11" s="19">
        <v>44.46</v>
      </c>
      <c r="BJ11" s="19">
        <v>44.46</v>
      </c>
      <c r="BK11" s="19">
        <v>44.46</v>
      </c>
      <c r="BL11" s="19">
        <v>44.46</v>
      </c>
      <c r="BM11" s="19">
        <v>53.95</v>
      </c>
      <c r="BN11" s="19">
        <v>53.95</v>
      </c>
      <c r="BO11" s="19">
        <v>53.95</v>
      </c>
      <c r="BP11" s="19">
        <v>53.95</v>
      </c>
      <c r="BQ11" s="19">
        <v>53.95</v>
      </c>
      <c r="BR11" s="19">
        <v>53.95</v>
      </c>
    </row>
    <row r="12" spans="1:70" x14ac:dyDescent="0.3">
      <c r="A12" s="3">
        <v>11</v>
      </c>
      <c r="B12" s="44" t="s">
        <v>71</v>
      </c>
      <c r="C12" s="9" t="s">
        <v>18</v>
      </c>
      <c r="D12" s="38">
        <f t="shared" si="0"/>
        <v>12876.359999999997</v>
      </c>
      <c r="E12" s="8">
        <v>1045.5999999999999</v>
      </c>
      <c r="F12" s="8">
        <v>1045.5999999999999</v>
      </c>
      <c r="G12" s="8">
        <v>1045.5999999999999</v>
      </c>
      <c r="H12" s="8">
        <v>1045.5999999999999</v>
      </c>
      <c r="I12" s="8">
        <v>1045.5999999999999</v>
      </c>
      <c r="J12" s="8">
        <v>1045.5999999999999</v>
      </c>
      <c r="K12" s="8">
        <v>1100.46</v>
      </c>
      <c r="L12" s="8">
        <v>1100.46</v>
      </c>
      <c r="M12" s="8">
        <v>1100.46</v>
      </c>
      <c r="N12" s="8">
        <v>1100.46</v>
      </c>
      <c r="O12" s="8">
        <v>1100.46</v>
      </c>
      <c r="P12" s="8">
        <v>1100.46</v>
      </c>
      <c r="Q12" s="7" t="s">
        <v>13</v>
      </c>
      <c r="R12" s="38">
        <f t="shared" si="1"/>
        <v>890.03999999999985</v>
      </c>
      <c r="S12" s="8">
        <v>74.17</v>
      </c>
      <c r="T12" s="8">
        <v>74.17</v>
      </c>
      <c r="U12" s="8">
        <v>74.17</v>
      </c>
      <c r="V12" s="8">
        <v>74.17</v>
      </c>
      <c r="W12" s="8">
        <v>74.17</v>
      </c>
      <c r="X12" s="8">
        <v>74.17</v>
      </c>
      <c r="Y12" s="8">
        <v>74.17</v>
      </c>
      <c r="Z12" s="8">
        <v>74.17</v>
      </c>
      <c r="AA12" s="8">
        <v>74.17</v>
      </c>
      <c r="AB12" s="8">
        <v>74.17</v>
      </c>
      <c r="AC12" s="8">
        <v>74.17</v>
      </c>
      <c r="AD12" s="8">
        <v>74.17</v>
      </c>
      <c r="AE12" s="7" t="s">
        <v>13</v>
      </c>
      <c r="AF12" s="38">
        <f t="shared" si="2"/>
        <v>217.91999999999996</v>
      </c>
      <c r="AG12" s="8">
        <v>16.25</v>
      </c>
      <c r="AH12" s="8">
        <v>16.25</v>
      </c>
      <c r="AI12" s="8">
        <v>16.25</v>
      </c>
      <c r="AJ12" s="8">
        <v>16.25</v>
      </c>
      <c r="AK12" s="8">
        <v>16.25</v>
      </c>
      <c r="AL12" s="8">
        <v>16.25</v>
      </c>
      <c r="AM12" s="8">
        <v>20.07</v>
      </c>
      <c r="AN12" s="8">
        <v>20.07</v>
      </c>
      <c r="AO12" s="8">
        <v>20.07</v>
      </c>
      <c r="AP12" s="8">
        <v>20.07</v>
      </c>
      <c r="AQ12" s="8">
        <v>20.07</v>
      </c>
      <c r="AR12" s="8">
        <v>20.07</v>
      </c>
      <c r="AS12" s="38">
        <f t="shared" si="3"/>
        <v>397.2000000000001</v>
      </c>
      <c r="AT12" s="17">
        <v>33.1</v>
      </c>
      <c r="AU12" s="6">
        <v>33.1</v>
      </c>
      <c r="AV12" s="6">
        <v>33.1</v>
      </c>
      <c r="AW12" s="6">
        <v>33.1</v>
      </c>
      <c r="AX12" s="6">
        <v>33.1</v>
      </c>
      <c r="AY12" s="6">
        <v>33.1</v>
      </c>
      <c r="AZ12" s="6">
        <v>33.1</v>
      </c>
      <c r="BA12" s="6">
        <v>33.1</v>
      </c>
      <c r="BB12" s="6">
        <v>33.1</v>
      </c>
      <c r="BC12" s="6">
        <v>33.1</v>
      </c>
      <c r="BD12" s="6">
        <v>33.1</v>
      </c>
      <c r="BE12" s="6">
        <v>33.1</v>
      </c>
      <c r="BF12" s="38">
        <f t="shared" si="4"/>
        <v>686.1</v>
      </c>
      <c r="BG12" s="17">
        <v>47.36</v>
      </c>
      <c r="BH12" s="6">
        <v>47.36</v>
      </c>
      <c r="BI12" s="6">
        <v>47.36</v>
      </c>
      <c r="BJ12" s="6">
        <v>47.36</v>
      </c>
      <c r="BK12" s="6">
        <v>47.36</v>
      </c>
      <c r="BL12" s="6">
        <v>47.36</v>
      </c>
      <c r="BM12" s="6">
        <v>66.989999999999995</v>
      </c>
      <c r="BN12" s="6">
        <v>66.989999999999995</v>
      </c>
      <c r="BO12" s="6">
        <v>66.989999999999995</v>
      </c>
      <c r="BP12" s="6">
        <v>66.989999999999995</v>
      </c>
      <c r="BQ12" s="6">
        <v>66.989999999999995</v>
      </c>
      <c r="BR12" s="6">
        <v>66.989999999999995</v>
      </c>
    </row>
    <row r="13" spans="1:70" x14ac:dyDescent="0.3">
      <c r="A13">
        <v>12</v>
      </c>
      <c r="B13" s="44" t="s">
        <v>65</v>
      </c>
      <c r="C13" s="7" t="s">
        <v>13</v>
      </c>
      <c r="D13" s="38">
        <f t="shared" si="0"/>
        <v>19537.020000000004</v>
      </c>
      <c r="E13" s="8">
        <v>1586.29</v>
      </c>
      <c r="F13" s="8">
        <v>1586.29</v>
      </c>
      <c r="G13" s="8">
        <v>1586.29</v>
      </c>
      <c r="H13" s="8">
        <v>1586.29</v>
      </c>
      <c r="I13" s="8">
        <v>1586.29</v>
      </c>
      <c r="J13" s="8">
        <v>1586.29</v>
      </c>
      <c r="K13" s="8">
        <v>1669.88</v>
      </c>
      <c r="L13" s="8">
        <v>1669.88</v>
      </c>
      <c r="M13" s="8">
        <v>1669.88</v>
      </c>
      <c r="N13" s="8">
        <v>1669.88</v>
      </c>
      <c r="O13" s="8">
        <v>1669.88</v>
      </c>
      <c r="P13" s="8">
        <v>1669.88</v>
      </c>
      <c r="Q13" s="7" t="s">
        <v>13</v>
      </c>
      <c r="R13" s="38">
        <f t="shared" si="1"/>
        <v>890.03999999999985</v>
      </c>
      <c r="S13" s="8">
        <v>74.17</v>
      </c>
      <c r="T13" s="8">
        <v>74.17</v>
      </c>
      <c r="U13" s="8">
        <v>74.17</v>
      </c>
      <c r="V13" s="8">
        <v>74.17</v>
      </c>
      <c r="W13" s="8">
        <v>74.17</v>
      </c>
      <c r="X13" s="8">
        <v>74.17</v>
      </c>
      <c r="Y13" s="8">
        <v>74.17</v>
      </c>
      <c r="Z13" s="8">
        <v>74.17</v>
      </c>
      <c r="AA13" s="8">
        <v>74.17</v>
      </c>
      <c r="AB13" s="8">
        <v>74.17</v>
      </c>
      <c r="AC13" s="8">
        <v>74.17</v>
      </c>
      <c r="AD13" s="8">
        <v>74.17</v>
      </c>
      <c r="AE13" s="7" t="s">
        <v>13</v>
      </c>
      <c r="AF13" s="38">
        <f t="shared" si="2"/>
        <v>217.91999999999996</v>
      </c>
      <c r="AG13" s="8">
        <v>16.25</v>
      </c>
      <c r="AH13" s="8">
        <v>16.25</v>
      </c>
      <c r="AI13" s="8">
        <v>16.25</v>
      </c>
      <c r="AJ13" s="8">
        <v>16.25</v>
      </c>
      <c r="AK13" s="8">
        <v>16.25</v>
      </c>
      <c r="AL13" s="8">
        <v>16.25</v>
      </c>
      <c r="AM13" s="8">
        <v>20.07</v>
      </c>
      <c r="AN13" s="8">
        <v>20.07</v>
      </c>
      <c r="AO13" s="8">
        <v>20.07</v>
      </c>
      <c r="AP13" s="8">
        <v>20.07</v>
      </c>
      <c r="AQ13" s="8">
        <v>20.07</v>
      </c>
      <c r="AR13" s="8">
        <v>20.07</v>
      </c>
      <c r="AS13" s="38">
        <f t="shared" si="3"/>
        <v>397.2000000000001</v>
      </c>
      <c r="AT13" s="17">
        <v>33.1</v>
      </c>
      <c r="AU13" s="6">
        <v>33.1</v>
      </c>
      <c r="AV13" s="6">
        <v>33.1</v>
      </c>
      <c r="AW13" s="6">
        <v>33.1</v>
      </c>
      <c r="AX13" s="6">
        <v>33.1</v>
      </c>
      <c r="AY13" s="6">
        <v>33.1</v>
      </c>
      <c r="AZ13" s="6">
        <v>33.1</v>
      </c>
      <c r="BA13" s="6">
        <v>33.1</v>
      </c>
      <c r="BB13" s="6">
        <v>33.1</v>
      </c>
      <c r="BC13" s="6">
        <v>33.1</v>
      </c>
      <c r="BD13" s="6">
        <v>33.1</v>
      </c>
      <c r="BE13" s="6">
        <v>33.1</v>
      </c>
      <c r="BF13" s="38">
        <f t="shared" si="4"/>
        <v>980.33999999999992</v>
      </c>
      <c r="BG13" s="18">
        <v>71.13</v>
      </c>
      <c r="BH13" s="19">
        <v>71.13</v>
      </c>
      <c r="BI13" s="19">
        <v>71.13</v>
      </c>
      <c r="BJ13" s="19">
        <v>71.13</v>
      </c>
      <c r="BK13" s="19">
        <v>71.13</v>
      </c>
      <c r="BL13" s="19">
        <v>71.13</v>
      </c>
      <c r="BM13" s="19">
        <v>92.26</v>
      </c>
      <c r="BN13" s="19">
        <v>92.26</v>
      </c>
      <c r="BO13" s="19">
        <v>92.26</v>
      </c>
      <c r="BP13" s="19">
        <v>92.26</v>
      </c>
      <c r="BQ13" s="19">
        <v>92.26</v>
      </c>
      <c r="BR13" s="19">
        <v>92.26</v>
      </c>
    </row>
    <row r="14" spans="1:70" x14ac:dyDescent="0.3">
      <c r="A14" s="3">
        <v>13</v>
      </c>
      <c r="B14" s="44" t="s">
        <v>64</v>
      </c>
      <c r="C14" s="7" t="s">
        <v>13</v>
      </c>
      <c r="D14" s="38">
        <f t="shared" si="0"/>
        <v>19537.020000000004</v>
      </c>
      <c r="E14" s="8">
        <v>1586.29</v>
      </c>
      <c r="F14" s="8">
        <v>1586.29</v>
      </c>
      <c r="G14" s="8">
        <v>1586.29</v>
      </c>
      <c r="H14" s="8">
        <v>1586.29</v>
      </c>
      <c r="I14" s="8">
        <v>1586.29</v>
      </c>
      <c r="J14" s="8">
        <v>1586.29</v>
      </c>
      <c r="K14" s="8">
        <v>1669.88</v>
      </c>
      <c r="L14" s="8">
        <v>1669.88</v>
      </c>
      <c r="M14" s="8">
        <v>1669.88</v>
      </c>
      <c r="N14" s="8">
        <v>1669.88</v>
      </c>
      <c r="O14" s="8">
        <v>1669.88</v>
      </c>
      <c r="P14" s="8">
        <v>1669.88</v>
      </c>
      <c r="Q14" s="7" t="s">
        <v>13</v>
      </c>
      <c r="R14" s="38">
        <f t="shared" si="1"/>
        <v>992.16000000000031</v>
      </c>
      <c r="S14" s="8">
        <v>82.68</v>
      </c>
      <c r="T14" s="8">
        <v>82.68</v>
      </c>
      <c r="U14" s="8">
        <v>82.68</v>
      </c>
      <c r="V14" s="8">
        <v>82.68</v>
      </c>
      <c r="W14" s="8">
        <v>82.68</v>
      </c>
      <c r="X14" s="8">
        <v>82.68</v>
      </c>
      <c r="Y14" s="8">
        <v>82.68</v>
      </c>
      <c r="Z14" s="8">
        <v>82.68</v>
      </c>
      <c r="AA14" s="8">
        <v>82.68</v>
      </c>
      <c r="AB14" s="8">
        <v>82.68</v>
      </c>
      <c r="AC14" s="8">
        <v>82.68</v>
      </c>
      <c r="AD14" s="8">
        <v>82.68</v>
      </c>
      <c r="AE14" s="7" t="s">
        <v>13</v>
      </c>
      <c r="AF14" s="38">
        <f t="shared" si="2"/>
        <v>217.91999999999996</v>
      </c>
      <c r="AG14" s="8">
        <v>16.25</v>
      </c>
      <c r="AH14" s="8">
        <v>16.25</v>
      </c>
      <c r="AI14" s="8">
        <v>16.25</v>
      </c>
      <c r="AJ14" s="8">
        <v>16.25</v>
      </c>
      <c r="AK14" s="8">
        <v>16.25</v>
      </c>
      <c r="AL14" s="8">
        <v>16.25</v>
      </c>
      <c r="AM14" s="8">
        <v>20.07</v>
      </c>
      <c r="AN14" s="8">
        <v>20.07</v>
      </c>
      <c r="AO14" s="8">
        <v>20.07</v>
      </c>
      <c r="AP14" s="8">
        <v>20.07</v>
      </c>
      <c r="AQ14" s="8">
        <v>20.07</v>
      </c>
      <c r="AR14" s="8">
        <v>20.07</v>
      </c>
      <c r="AS14" s="38">
        <f t="shared" si="3"/>
        <v>159.00000000000003</v>
      </c>
      <c r="AT14" s="17">
        <v>11.2</v>
      </c>
      <c r="AU14" s="6">
        <v>11.2</v>
      </c>
      <c r="AV14" s="6">
        <v>11.2</v>
      </c>
      <c r="AW14" s="6">
        <v>11.2</v>
      </c>
      <c r="AX14" s="6">
        <v>11.2</v>
      </c>
      <c r="AY14" s="6">
        <v>11.2</v>
      </c>
      <c r="AZ14" s="6">
        <v>15.3</v>
      </c>
      <c r="BA14" s="6">
        <v>15.3</v>
      </c>
      <c r="BB14" s="6">
        <v>15.3</v>
      </c>
      <c r="BC14" s="6">
        <v>15.3</v>
      </c>
      <c r="BD14" s="6">
        <v>15.3</v>
      </c>
      <c r="BE14" s="6">
        <v>15.3</v>
      </c>
      <c r="BF14" s="38">
        <f t="shared" si="4"/>
        <v>1024.1399999999999</v>
      </c>
      <c r="BG14" s="18">
        <v>71.150000000000006</v>
      </c>
      <c r="BH14" s="19">
        <v>71.150000000000006</v>
      </c>
      <c r="BI14" s="19">
        <v>71.150000000000006</v>
      </c>
      <c r="BJ14" s="19">
        <v>71.150000000000006</v>
      </c>
      <c r="BK14" s="19">
        <v>71.150000000000006</v>
      </c>
      <c r="BL14" s="19">
        <v>71.150000000000006</v>
      </c>
      <c r="BM14" s="19">
        <v>99.54</v>
      </c>
      <c r="BN14" s="19">
        <v>99.54</v>
      </c>
      <c r="BO14" s="19">
        <v>99.54</v>
      </c>
      <c r="BP14" s="19">
        <v>99.54</v>
      </c>
      <c r="BQ14" s="19">
        <v>99.54</v>
      </c>
      <c r="BR14" s="19">
        <v>99.54</v>
      </c>
    </row>
    <row r="15" spans="1:70" x14ac:dyDescent="0.3">
      <c r="A15" s="3">
        <v>14</v>
      </c>
      <c r="B15" s="44" t="s">
        <v>67</v>
      </c>
      <c r="C15" s="9" t="s">
        <v>20</v>
      </c>
      <c r="D15" s="38">
        <f t="shared" si="0"/>
        <v>9003.6</v>
      </c>
      <c r="E15" s="8">
        <v>750.3</v>
      </c>
      <c r="F15" s="8">
        <v>750.3</v>
      </c>
      <c r="G15" s="8">
        <v>750.3</v>
      </c>
      <c r="H15" s="8">
        <v>750.3</v>
      </c>
      <c r="I15" s="8">
        <v>750.3</v>
      </c>
      <c r="J15" s="8">
        <v>750.3</v>
      </c>
      <c r="K15" s="8">
        <v>750.3</v>
      </c>
      <c r="L15" s="8">
        <v>750.3</v>
      </c>
      <c r="M15" s="8">
        <v>750.3</v>
      </c>
      <c r="N15" s="8">
        <v>750.3</v>
      </c>
      <c r="O15" s="8">
        <v>750.3</v>
      </c>
      <c r="P15" s="8">
        <v>750.3</v>
      </c>
      <c r="Q15" s="7" t="s">
        <v>18</v>
      </c>
      <c r="R15" s="38">
        <f t="shared" si="1"/>
        <v>553.79999999999984</v>
      </c>
      <c r="S15" s="8">
        <v>46.15</v>
      </c>
      <c r="T15" s="8">
        <v>46.15</v>
      </c>
      <c r="U15" s="8">
        <v>46.15</v>
      </c>
      <c r="V15" s="8">
        <v>46.15</v>
      </c>
      <c r="W15" s="8">
        <v>46.15</v>
      </c>
      <c r="X15" s="8">
        <v>46.15</v>
      </c>
      <c r="Y15" s="8">
        <v>46.15</v>
      </c>
      <c r="Z15" s="8">
        <v>46.15</v>
      </c>
      <c r="AA15" s="8">
        <v>46.15</v>
      </c>
      <c r="AB15" s="8">
        <v>46.15</v>
      </c>
      <c r="AC15" s="8">
        <v>46.15</v>
      </c>
      <c r="AD15" s="8">
        <v>46.15</v>
      </c>
      <c r="AE15" s="7" t="s">
        <v>18</v>
      </c>
      <c r="AF15" s="38">
        <f t="shared" si="2"/>
        <v>137.03999999999996</v>
      </c>
      <c r="AG15" s="8">
        <v>11.1</v>
      </c>
      <c r="AH15" s="8">
        <v>11.1</v>
      </c>
      <c r="AI15" s="8">
        <v>11.1</v>
      </c>
      <c r="AJ15" s="8">
        <v>11.1</v>
      </c>
      <c r="AK15" s="8">
        <v>11.1</v>
      </c>
      <c r="AL15" s="8">
        <v>11.1</v>
      </c>
      <c r="AM15" s="8">
        <v>11.74</v>
      </c>
      <c r="AN15" s="8">
        <v>11.74</v>
      </c>
      <c r="AO15" s="8">
        <v>11.74</v>
      </c>
      <c r="AP15" s="8">
        <v>11.74</v>
      </c>
      <c r="AQ15" s="8">
        <v>11.74</v>
      </c>
      <c r="AR15" s="8">
        <v>11.74</v>
      </c>
      <c r="AS15" s="38">
        <f t="shared" si="3"/>
        <v>512.99999999999989</v>
      </c>
      <c r="AT15" s="17">
        <v>33.1</v>
      </c>
      <c r="AU15" s="6">
        <v>33.1</v>
      </c>
      <c r="AV15" s="6">
        <v>33.1</v>
      </c>
      <c r="AW15" s="6">
        <v>33.1</v>
      </c>
      <c r="AX15" s="6">
        <v>33.1</v>
      </c>
      <c r="AY15" s="6">
        <v>33.1</v>
      </c>
      <c r="AZ15" s="6">
        <v>52.4</v>
      </c>
      <c r="BA15" s="6">
        <v>52.4</v>
      </c>
      <c r="BB15" s="6">
        <v>52.4</v>
      </c>
      <c r="BC15" s="6">
        <v>52.4</v>
      </c>
      <c r="BD15" s="6">
        <v>52.4</v>
      </c>
      <c r="BE15" s="6">
        <v>52.4</v>
      </c>
      <c r="BF15" s="38">
        <f t="shared" si="4"/>
        <v>391.67999999999995</v>
      </c>
      <c r="BG15" s="18">
        <v>28.88</v>
      </c>
      <c r="BH15" s="19">
        <v>28.88</v>
      </c>
      <c r="BI15" s="19">
        <v>28.88</v>
      </c>
      <c r="BJ15" s="19">
        <v>28.88</v>
      </c>
      <c r="BK15" s="19">
        <v>28.88</v>
      </c>
      <c r="BL15" s="19">
        <v>28.88</v>
      </c>
      <c r="BM15" s="19">
        <v>36.4</v>
      </c>
      <c r="BN15" s="19">
        <v>36.4</v>
      </c>
      <c r="BO15" s="19">
        <v>36.4</v>
      </c>
      <c r="BP15" s="19">
        <v>36.4</v>
      </c>
      <c r="BQ15" s="19">
        <v>36.4</v>
      </c>
      <c r="BR15" s="19">
        <v>36.4</v>
      </c>
    </row>
    <row r="16" spans="1:70" x14ac:dyDescent="0.3">
      <c r="A16" s="3">
        <v>15</v>
      </c>
      <c r="B16" s="44" t="s">
        <v>76</v>
      </c>
      <c r="C16" s="9" t="s">
        <v>16</v>
      </c>
      <c r="D16" s="38">
        <f t="shared" si="0"/>
        <v>3560.56</v>
      </c>
      <c r="E16" s="8">
        <v>504.92</v>
      </c>
      <c r="F16" s="8">
        <v>504.92</v>
      </c>
      <c r="G16" s="8">
        <v>504.92</v>
      </c>
      <c r="H16" s="8">
        <v>504.92</v>
      </c>
      <c r="I16" s="8">
        <v>504.92</v>
      </c>
      <c r="J16" s="8">
        <v>504.92</v>
      </c>
      <c r="K16" s="8">
        <v>531.04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" t="s">
        <v>16</v>
      </c>
      <c r="R16" s="38">
        <f t="shared" si="1"/>
        <v>163.10000000000002</v>
      </c>
      <c r="S16" s="8">
        <v>23.3</v>
      </c>
      <c r="T16" s="8">
        <v>23.3</v>
      </c>
      <c r="U16" s="8">
        <v>23.3</v>
      </c>
      <c r="V16" s="8">
        <v>23.3</v>
      </c>
      <c r="W16" s="8">
        <v>23.3</v>
      </c>
      <c r="X16" s="8">
        <v>23.3</v>
      </c>
      <c r="Y16" s="8">
        <v>23.3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9" t="s">
        <v>16</v>
      </c>
      <c r="AF16" s="38">
        <f t="shared" si="2"/>
        <v>39.229999999999997</v>
      </c>
      <c r="AG16" s="8">
        <v>5.56</v>
      </c>
      <c r="AH16" s="8">
        <v>5.56</v>
      </c>
      <c r="AI16" s="8">
        <v>5.56</v>
      </c>
      <c r="AJ16" s="8">
        <v>5.56</v>
      </c>
      <c r="AK16" s="8">
        <v>5.56</v>
      </c>
      <c r="AL16" s="8">
        <v>5.56</v>
      </c>
      <c r="AM16" s="8">
        <v>5.87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38">
        <f t="shared" si="3"/>
        <v>70</v>
      </c>
      <c r="AT16" s="17">
        <v>10</v>
      </c>
      <c r="AU16" s="6">
        <v>10</v>
      </c>
      <c r="AV16" s="6">
        <v>10</v>
      </c>
      <c r="AW16" s="6">
        <v>10</v>
      </c>
      <c r="AX16" s="6">
        <v>10</v>
      </c>
      <c r="AY16" s="6">
        <v>10</v>
      </c>
      <c r="AZ16" s="6">
        <v>10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38">
        <f t="shared" si="4"/>
        <v>192.92</v>
      </c>
      <c r="BG16" s="17">
        <v>27.56</v>
      </c>
      <c r="BH16" s="6">
        <v>27.56</v>
      </c>
      <c r="BI16" s="6">
        <v>27.56</v>
      </c>
      <c r="BJ16" s="6">
        <v>27.56</v>
      </c>
      <c r="BK16" s="6">
        <v>27.56</v>
      </c>
      <c r="BL16" s="6">
        <v>27.56</v>
      </c>
      <c r="BM16" s="6">
        <v>27.56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</row>
    <row r="17" spans="1:70" x14ac:dyDescent="0.3">
      <c r="A17">
        <v>16</v>
      </c>
      <c r="B17" s="44" t="s">
        <v>55</v>
      </c>
      <c r="C17" s="7" t="s">
        <v>13</v>
      </c>
      <c r="D17" s="38">
        <f t="shared" si="0"/>
        <v>19537.020000000004</v>
      </c>
      <c r="E17" s="8">
        <v>1586.29</v>
      </c>
      <c r="F17" s="8">
        <v>1586.29</v>
      </c>
      <c r="G17" s="8">
        <v>1586.29</v>
      </c>
      <c r="H17" s="8">
        <v>1586.29</v>
      </c>
      <c r="I17" s="8">
        <v>1586.29</v>
      </c>
      <c r="J17" s="8">
        <v>1586.29</v>
      </c>
      <c r="K17" s="8">
        <v>1669.88</v>
      </c>
      <c r="L17" s="8">
        <v>1669.88</v>
      </c>
      <c r="M17" s="8">
        <v>1669.88</v>
      </c>
      <c r="N17" s="8">
        <v>1669.88</v>
      </c>
      <c r="O17" s="8">
        <v>1669.88</v>
      </c>
      <c r="P17" s="8">
        <v>1669.88</v>
      </c>
      <c r="Q17" s="7" t="s">
        <v>13</v>
      </c>
      <c r="R17" s="38">
        <f t="shared" si="1"/>
        <v>890.03999999999985</v>
      </c>
      <c r="S17" s="8">
        <v>74.17</v>
      </c>
      <c r="T17" s="8">
        <v>74.17</v>
      </c>
      <c r="U17" s="8">
        <v>74.17</v>
      </c>
      <c r="V17" s="8">
        <v>74.17</v>
      </c>
      <c r="W17" s="8">
        <v>74.17</v>
      </c>
      <c r="X17" s="8">
        <v>74.17</v>
      </c>
      <c r="Y17" s="8">
        <v>74.17</v>
      </c>
      <c r="Z17" s="8">
        <v>74.17</v>
      </c>
      <c r="AA17" s="8">
        <v>74.17</v>
      </c>
      <c r="AB17" s="8">
        <v>74.17</v>
      </c>
      <c r="AC17" s="8">
        <v>74.17</v>
      </c>
      <c r="AD17" s="8">
        <v>74.17</v>
      </c>
      <c r="AE17" s="7" t="s">
        <v>13</v>
      </c>
      <c r="AF17" s="38">
        <f t="shared" si="2"/>
        <v>217.91999999999996</v>
      </c>
      <c r="AG17" s="8">
        <v>16.25</v>
      </c>
      <c r="AH17" s="8">
        <v>16.25</v>
      </c>
      <c r="AI17" s="8">
        <v>16.25</v>
      </c>
      <c r="AJ17" s="8">
        <v>16.25</v>
      </c>
      <c r="AK17" s="8">
        <v>16.25</v>
      </c>
      <c r="AL17" s="8">
        <v>16.25</v>
      </c>
      <c r="AM17" s="8">
        <v>20.07</v>
      </c>
      <c r="AN17" s="8">
        <v>20.07</v>
      </c>
      <c r="AO17" s="8">
        <v>20.07</v>
      </c>
      <c r="AP17" s="8">
        <v>20.07</v>
      </c>
      <c r="AQ17" s="8">
        <v>20.07</v>
      </c>
      <c r="AR17" s="8">
        <v>20.07</v>
      </c>
      <c r="AS17" s="38">
        <f t="shared" si="3"/>
        <v>248.39999999999995</v>
      </c>
      <c r="AT17" s="17">
        <v>20.7</v>
      </c>
      <c r="AU17" s="6">
        <v>20.7</v>
      </c>
      <c r="AV17" s="6">
        <v>20.7</v>
      </c>
      <c r="AW17" s="6">
        <v>20.7</v>
      </c>
      <c r="AX17" s="6">
        <v>20.7</v>
      </c>
      <c r="AY17" s="6">
        <v>20.7</v>
      </c>
      <c r="AZ17" s="6">
        <v>20.7</v>
      </c>
      <c r="BA17" s="6">
        <v>20.7</v>
      </c>
      <c r="BB17" s="6">
        <v>20.7</v>
      </c>
      <c r="BC17" s="6">
        <v>20.7</v>
      </c>
      <c r="BD17" s="6">
        <v>20.7</v>
      </c>
      <c r="BE17" s="6">
        <v>20.7</v>
      </c>
      <c r="BF17" s="38">
        <f t="shared" si="4"/>
        <v>470.39999999999986</v>
      </c>
      <c r="BG17" s="17">
        <v>35.869999999999997</v>
      </c>
      <c r="BH17" s="6">
        <v>35.869999999999997</v>
      </c>
      <c r="BI17" s="6">
        <v>35.869999999999997</v>
      </c>
      <c r="BJ17" s="6">
        <v>35.869999999999997</v>
      </c>
      <c r="BK17" s="6">
        <v>35.869999999999997</v>
      </c>
      <c r="BL17" s="6">
        <v>35.869999999999997</v>
      </c>
      <c r="BM17" s="6">
        <v>42.53</v>
      </c>
      <c r="BN17" s="6">
        <v>42.53</v>
      </c>
      <c r="BO17" s="6">
        <v>42.53</v>
      </c>
      <c r="BP17" s="6">
        <v>42.53</v>
      </c>
      <c r="BQ17" s="6">
        <v>42.53</v>
      </c>
      <c r="BR17" s="6">
        <v>42.53</v>
      </c>
    </row>
    <row r="18" spans="1:70" x14ac:dyDescent="0.3">
      <c r="A18" s="3">
        <v>17</v>
      </c>
      <c r="B18" s="44" t="s">
        <v>60</v>
      </c>
      <c r="C18" s="9" t="s">
        <v>18</v>
      </c>
      <c r="D18" s="38">
        <f t="shared" si="0"/>
        <v>12876.359999999997</v>
      </c>
      <c r="E18" s="8">
        <v>1045.5999999999999</v>
      </c>
      <c r="F18" s="8">
        <v>1045.5999999999999</v>
      </c>
      <c r="G18" s="8">
        <v>1045.5999999999999</v>
      </c>
      <c r="H18" s="8">
        <v>1045.5999999999999</v>
      </c>
      <c r="I18" s="8">
        <v>1045.5999999999999</v>
      </c>
      <c r="J18" s="8">
        <v>1045.5999999999999</v>
      </c>
      <c r="K18" s="8">
        <v>1100.46</v>
      </c>
      <c r="L18" s="8">
        <v>1100.46</v>
      </c>
      <c r="M18" s="8">
        <v>1100.46</v>
      </c>
      <c r="N18" s="8">
        <v>1100.46</v>
      </c>
      <c r="O18" s="8">
        <v>1100.46</v>
      </c>
      <c r="P18" s="8">
        <v>1100.46</v>
      </c>
      <c r="Q18" s="9" t="s">
        <v>18</v>
      </c>
      <c r="R18" s="38">
        <f t="shared" si="1"/>
        <v>553.79999999999984</v>
      </c>
      <c r="S18" s="8">
        <v>46.15</v>
      </c>
      <c r="T18" s="8">
        <v>46.15</v>
      </c>
      <c r="U18" s="8">
        <v>46.15</v>
      </c>
      <c r="V18" s="8">
        <v>46.15</v>
      </c>
      <c r="W18" s="8">
        <v>46.15</v>
      </c>
      <c r="X18" s="8">
        <v>46.15</v>
      </c>
      <c r="Y18" s="8">
        <v>46.15</v>
      </c>
      <c r="Z18" s="8">
        <v>46.15</v>
      </c>
      <c r="AA18" s="8">
        <v>46.15</v>
      </c>
      <c r="AB18" s="8">
        <v>46.15</v>
      </c>
      <c r="AC18" s="8">
        <v>46.15</v>
      </c>
      <c r="AD18" s="8">
        <v>46.15</v>
      </c>
      <c r="AE18" s="9" t="s">
        <v>18</v>
      </c>
      <c r="AF18" s="38">
        <f t="shared" si="2"/>
        <v>137.03999999999996</v>
      </c>
      <c r="AG18" s="8">
        <v>11.1</v>
      </c>
      <c r="AH18" s="8">
        <v>11.1</v>
      </c>
      <c r="AI18" s="8">
        <v>11.1</v>
      </c>
      <c r="AJ18" s="8">
        <v>11.1</v>
      </c>
      <c r="AK18" s="8">
        <v>11.1</v>
      </c>
      <c r="AL18" s="8">
        <v>11.1</v>
      </c>
      <c r="AM18" s="8">
        <v>11.74</v>
      </c>
      <c r="AN18" s="8">
        <v>11.74</v>
      </c>
      <c r="AO18" s="8">
        <v>11.74</v>
      </c>
      <c r="AP18" s="8">
        <v>11.74</v>
      </c>
      <c r="AQ18" s="8">
        <v>11.74</v>
      </c>
      <c r="AR18" s="8">
        <v>11.74</v>
      </c>
      <c r="AS18" s="38">
        <f t="shared" si="3"/>
        <v>512.99999999999989</v>
      </c>
      <c r="AT18" s="17">
        <v>33.1</v>
      </c>
      <c r="AU18" s="6">
        <v>33.1</v>
      </c>
      <c r="AV18" s="6">
        <v>33.1</v>
      </c>
      <c r="AW18" s="6">
        <v>33.1</v>
      </c>
      <c r="AX18" s="6">
        <v>33.1</v>
      </c>
      <c r="AY18" s="6">
        <v>33.1</v>
      </c>
      <c r="AZ18" s="6">
        <v>52.4</v>
      </c>
      <c r="BA18" s="6">
        <v>52.4</v>
      </c>
      <c r="BB18" s="6">
        <v>52.4</v>
      </c>
      <c r="BC18" s="6">
        <v>52.4</v>
      </c>
      <c r="BD18" s="6">
        <v>52.4</v>
      </c>
      <c r="BE18" s="6">
        <v>52.4</v>
      </c>
      <c r="BF18" s="38">
        <f t="shared" si="4"/>
        <v>698.45999999999992</v>
      </c>
      <c r="BG18" s="18">
        <v>52.88</v>
      </c>
      <c r="BH18" s="19">
        <v>52.88</v>
      </c>
      <c r="BI18" s="19">
        <v>52.88</v>
      </c>
      <c r="BJ18" s="19">
        <v>52.88</v>
      </c>
      <c r="BK18" s="19">
        <v>52.88</v>
      </c>
      <c r="BL18" s="19">
        <v>52.88</v>
      </c>
      <c r="BM18" s="19">
        <v>63.53</v>
      </c>
      <c r="BN18" s="19">
        <v>63.53</v>
      </c>
      <c r="BO18" s="19">
        <v>63.53</v>
      </c>
      <c r="BP18" s="19">
        <v>63.53</v>
      </c>
      <c r="BQ18" s="19">
        <v>63.53</v>
      </c>
      <c r="BR18" s="19">
        <v>63.53</v>
      </c>
    </row>
    <row r="19" spans="1:70" x14ac:dyDescent="0.3">
      <c r="A19" s="3">
        <v>18</v>
      </c>
      <c r="B19" s="48" t="s">
        <v>54</v>
      </c>
      <c r="C19" s="7" t="s">
        <v>79</v>
      </c>
      <c r="D19" s="38">
        <f t="shared" si="0"/>
        <v>13124.310000000001</v>
      </c>
      <c r="E19" s="8">
        <v>1586.29</v>
      </c>
      <c r="F19" s="8">
        <v>1586.29</v>
      </c>
      <c r="G19" s="8">
        <v>1586.29</v>
      </c>
      <c r="H19" s="20">
        <f>1586.29-1586.29+898.14</f>
        <v>898.14</v>
      </c>
      <c r="I19" s="20">
        <f>1586.29-1586.29+898.14</f>
        <v>898.14</v>
      </c>
      <c r="J19" s="20">
        <f>1586.29-1586.29+898.14</f>
        <v>898.14</v>
      </c>
      <c r="K19" s="20">
        <f>1669.88-1669.88+945.17</f>
        <v>945.17</v>
      </c>
      <c r="L19" s="20">
        <f>1669.88-1669.88+945.17</f>
        <v>945.17</v>
      </c>
      <c r="M19" s="20">
        <f>1669.88-1669.88+945.17</f>
        <v>945.17</v>
      </c>
      <c r="N19" s="8">
        <v>945.17</v>
      </c>
      <c r="O19" s="8">
        <v>945.17</v>
      </c>
      <c r="P19" s="8">
        <v>945.17</v>
      </c>
      <c r="Q19" s="7" t="s">
        <v>80</v>
      </c>
      <c r="R19" s="38">
        <f t="shared" si="1"/>
        <v>652.43999999999983</v>
      </c>
      <c r="S19" s="8">
        <v>74.17</v>
      </c>
      <c r="T19" s="8">
        <v>74.17</v>
      </c>
      <c r="U19" s="8">
        <v>74.17</v>
      </c>
      <c r="V19" s="20">
        <f t="shared" ref="V19:AA19" si="5">74.17-74.17+47.77</f>
        <v>47.77</v>
      </c>
      <c r="W19" s="20">
        <f t="shared" si="5"/>
        <v>47.77</v>
      </c>
      <c r="X19" s="20">
        <f t="shared" si="5"/>
        <v>47.77</v>
      </c>
      <c r="Y19" s="20">
        <f t="shared" si="5"/>
        <v>47.77</v>
      </c>
      <c r="Z19" s="20">
        <f t="shared" si="5"/>
        <v>47.77</v>
      </c>
      <c r="AA19" s="20">
        <f t="shared" si="5"/>
        <v>47.77</v>
      </c>
      <c r="AB19" s="8">
        <v>47.77</v>
      </c>
      <c r="AC19" s="8">
        <v>47.77</v>
      </c>
      <c r="AD19" s="8">
        <v>47.77</v>
      </c>
      <c r="AE19" s="7" t="s">
        <v>80</v>
      </c>
      <c r="AF19" s="38">
        <f t="shared" si="2"/>
        <v>172.86</v>
      </c>
      <c r="AG19" s="8">
        <v>16.25</v>
      </c>
      <c r="AH19" s="8">
        <v>16.25</v>
      </c>
      <c r="AI19" s="8">
        <v>16.25</v>
      </c>
      <c r="AJ19" s="8">
        <v>16.25</v>
      </c>
      <c r="AK19" s="8">
        <v>16.25</v>
      </c>
      <c r="AL19" s="8">
        <v>16.25</v>
      </c>
      <c r="AM19" s="20">
        <f>20.07-20.07+12.56</f>
        <v>12.56</v>
      </c>
      <c r="AN19" s="20">
        <f>20.07-20.07+12.56</f>
        <v>12.56</v>
      </c>
      <c r="AO19" s="20">
        <f>20.07-20.07+12.56</f>
        <v>12.56</v>
      </c>
      <c r="AP19" s="8">
        <v>12.56</v>
      </c>
      <c r="AQ19" s="8">
        <v>12.56</v>
      </c>
      <c r="AR19" s="8">
        <v>12.56</v>
      </c>
      <c r="AS19" s="38">
        <f t="shared" si="3"/>
        <v>134.4</v>
      </c>
      <c r="AT19" s="17">
        <v>11.2</v>
      </c>
      <c r="AU19" s="6">
        <v>11.2</v>
      </c>
      <c r="AV19" s="6">
        <v>11.2</v>
      </c>
      <c r="AW19" s="6">
        <v>11.2</v>
      </c>
      <c r="AX19" s="6">
        <v>11.2</v>
      </c>
      <c r="AY19" s="6">
        <v>11.2</v>
      </c>
      <c r="AZ19" s="6">
        <v>11.2</v>
      </c>
      <c r="BA19" s="6">
        <v>11.2</v>
      </c>
      <c r="BB19" s="6">
        <v>11.2</v>
      </c>
      <c r="BC19" s="6">
        <v>11.2</v>
      </c>
      <c r="BD19" s="6">
        <v>11.2</v>
      </c>
      <c r="BE19" s="6">
        <v>11.2</v>
      </c>
      <c r="BF19" s="38">
        <f t="shared" si="4"/>
        <v>403.25999999999993</v>
      </c>
      <c r="BG19" s="17">
        <v>27.82</v>
      </c>
      <c r="BH19" s="6">
        <v>27.82</v>
      </c>
      <c r="BI19" s="6">
        <v>27.82</v>
      </c>
      <c r="BJ19" s="6">
        <v>27.82</v>
      </c>
      <c r="BK19" s="6">
        <v>27.82</v>
      </c>
      <c r="BL19" s="6">
        <v>27.82</v>
      </c>
      <c r="BM19" s="6">
        <v>39.39</v>
      </c>
      <c r="BN19" s="6">
        <v>39.39</v>
      </c>
      <c r="BO19" s="6">
        <v>39.39</v>
      </c>
      <c r="BP19" s="6">
        <v>39.39</v>
      </c>
      <c r="BQ19" s="6">
        <v>39.39</v>
      </c>
      <c r="BR19" s="6">
        <v>39.39</v>
      </c>
    </row>
    <row r="20" spans="1:70" x14ac:dyDescent="0.3">
      <c r="A20" s="3">
        <v>19</v>
      </c>
      <c r="B20" s="44" t="s">
        <v>68</v>
      </c>
      <c r="C20" s="9" t="s">
        <v>21</v>
      </c>
      <c r="D20" s="38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 t="s">
        <v>21</v>
      </c>
      <c r="R20" s="38">
        <f t="shared" si="1"/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9" t="s">
        <v>21</v>
      </c>
      <c r="AF20" s="38">
        <f t="shared" si="2"/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38">
        <f t="shared" si="3"/>
        <v>0</v>
      </c>
      <c r="AT20" s="17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38">
        <f t="shared" si="4"/>
        <v>0</v>
      </c>
      <c r="BG20" s="18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</row>
    <row r="21" spans="1:70" x14ac:dyDescent="0.3">
      <c r="A21">
        <v>20</v>
      </c>
      <c r="B21" s="44" t="s">
        <v>62</v>
      </c>
      <c r="C21" s="9" t="s">
        <v>16</v>
      </c>
      <c r="D21" s="38">
        <f t="shared" si="0"/>
        <v>6215.7599999999993</v>
      </c>
      <c r="E21" s="8">
        <v>504.92</v>
      </c>
      <c r="F21" s="8">
        <v>504.92</v>
      </c>
      <c r="G21" s="8">
        <v>504.92</v>
      </c>
      <c r="H21" s="8">
        <v>504.92</v>
      </c>
      <c r="I21" s="8">
        <v>504.92</v>
      </c>
      <c r="J21" s="8">
        <v>504.92</v>
      </c>
      <c r="K21" s="8">
        <v>531.04</v>
      </c>
      <c r="L21" s="8">
        <v>531.04</v>
      </c>
      <c r="M21" s="8">
        <v>531.04</v>
      </c>
      <c r="N21" s="8">
        <v>531.04</v>
      </c>
      <c r="O21" s="8">
        <v>531.04</v>
      </c>
      <c r="P21" s="8">
        <v>531.04</v>
      </c>
      <c r="Q21" s="9" t="s">
        <v>16</v>
      </c>
      <c r="R21" s="38">
        <f t="shared" si="1"/>
        <v>279.60000000000008</v>
      </c>
      <c r="S21" s="8">
        <v>23.3</v>
      </c>
      <c r="T21" s="8">
        <v>23.3</v>
      </c>
      <c r="U21" s="8">
        <v>23.3</v>
      </c>
      <c r="V21" s="8">
        <v>23.3</v>
      </c>
      <c r="W21" s="8">
        <v>23.3</v>
      </c>
      <c r="X21" s="8">
        <v>23.3</v>
      </c>
      <c r="Y21" s="8">
        <v>23.3</v>
      </c>
      <c r="Z21" s="8">
        <v>23.3</v>
      </c>
      <c r="AA21" s="8">
        <v>23.3</v>
      </c>
      <c r="AB21" s="8">
        <v>23.3</v>
      </c>
      <c r="AC21" s="8">
        <v>23.3</v>
      </c>
      <c r="AD21" s="8">
        <v>23.3</v>
      </c>
      <c r="AE21" s="9" t="s">
        <v>16</v>
      </c>
      <c r="AF21" s="38">
        <f t="shared" si="2"/>
        <v>68.579999999999984</v>
      </c>
      <c r="AG21" s="8">
        <v>5.56</v>
      </c>
      <c r="AH21" s="8">
        <v>5.56</v>
      </c>
      <c r="AI21" s="8">
        <v>5.56</v>
      </c>
      <c r="AJ21" s="8">
        <v>5.56</v>
      </c>
      <c r="AK21" s="8">
        <v>5.56</v>
      </c>
      <c r="AL21" s="8">
        <v>5.56</v>
      </c>
      <c r="AM21" s="8">
        <v>5.87</v>
      </c>
      <c r="AN21" s="8">
        <v>5.87</v>
      </c>
      <c r="AO21" s="8">
        <v>5.87</v>
      </c>
      <c r="AP21" s="8">
        <v>5.87</v>
      </c>
      <c r="AQ21" s="8">
        <v>5.87</v>
      </c>
      <c r="AR21" s="8">
        <v>5.87</v>
      </c>
      <c r="AS21" s="38">
        <f t="shared" si="3"/>
        <v>120</v>
      </c>
      <c r="AT21" s="17">
        <v>10</v>
      </c>
      <c r="AU21" s="6">
        <v>10</v>
      </c>
      <c r="AV21" s="6">
        <v>10</v>
      </c>
      <c r="AW21" s="6">
        <v>10</v>
      </c>
      <c r="AX21" s="6">
        <v>10</v>
      </c>
      <c r="AY21" s="6">
        <v>10</v>
      </c>
      <c r="AZ21" s="6">
        <v>10</v>
      </c>
      <c r="BA21" s="6">
        <v>10</v>
      </c>
      <c r="BB21" s="6">
        <v>10</v>
      </c>
      <c r="BC21" s="6">
        <v>10</v>
      </c>
      <c r="BD21" s="6">
        <v>10</v>
      </c>
      <c r="BE21" s="6">
        <v>10</v>
      </c>
      <c r="BF21" s="38">
        <f t="shared" si="4"/>
        <v>376.50999999999988</v>
      </c>
      <c r="BG21" s="18">
        <v>0</v>
      </c>
      <c r="BH21" s="19">
        <v>28.61</v>
      </c>
      <c r="BI21" s="19">
        <v>28.61</v>
      </c>
      <c r="BJ21" s="19">
        <v>28.61</v>
      </c>
      <c r="BK21" s="19">
        <v>28.61</v>
      </c>
      <c r="BL21" s="19">
        <v>28.61</v>
      </c>
      <c r="BM21" s="19">
        <v>38.909999999999997</v>
      </c>
      <c r="BN21" s="19">
        <v>38.909999999999997</v>
      </c>
      <c r="BO21" s="19">
        <v>38.909999999999997</v>
      </c>
      <c r="BP21" s="19">
        <v>38.909999999999997</v>
      </c>
      <c r="BQ21" s="19">
        <v>38.909999999999997</v>
      </c>
      <c r="BR21" s="19">
        <v>38.909999999999997</v>
      </c>
    </row>
    <row r="22" spans="1:70" x14ac:dyDescent="0.3">
      <c r="A22" s="3">
        <v>21</v>
      </c>
      <c r="B22" s="44" t="s">
        <v>59</v>
      </c>
      <c r="C22" s="9" t="s">
        <v>16</v>
      </c>
      <c r="D22" s="38">
        <f t="shared" si="0"/>
        <v>4701</v>
      </c>
      <c r="E22" s="8">
        <v>0</v>
      </c>
      <c r="F22" s="8">
        <v>0</v>
      </c>
      <c r="G22" s="8">
        <v>0</v>
      </c>
      <c r="H22" s="20">
        <v>504.92</v>
      </c>
      <c r="I22" s="8">
        <v>504.92</v>
      </c>
      <c r="J22" s="8">
        <v>504.92</v>
      </c>
      <c r="K22" s="8">
        <v>531.04</v>
      </c>
      <c r="L22" s="8">
        <v>531.04</v>
      </c>
      <c r="M22" s="8">
        <v>531.04</v>
      </c>
      <c r="N22" s="8">
        <v>531.04</v>
      </c>
      <c r="O22" s="8">
        <v>531.04</v>
      </c>
      <c r="P22" s="8">
        <v>531.04</v>
      </c>
      <c r="Q22" s="9" t="s">
        <v>16</v>
      </c>
      <c r="R22" s="38">
        <f t="shared" si="1"/>
        <v>209.70000000000005</v>
      </c>
      <c r="S22" s="8">
        <v>0</v>
      </c>
      <c r="T22" s="8">
        <v>0</v>
      </c>
      <c r="U22" s="8">
        <v>0</v>
      </c>
      <c r="V22" s="20">
        <v>23.3</v>
      </c>
      <c r="W22" s="8">
        <v>23.3</v>
      </c>
      <c r="X22" s="8">
        <v>23.3</v>
      </c>
      <c r="Y22" s="8">
        <v>23.3</v>
      </c>
      <c r="Z22" s="8">
        <v>23.3</v>
      </c>
      <c r="AA22" s="8">
        <v>23.3</v>
      </c>
      <c r="AB22" s="8">
        <v>23.3</v>
      </c>
      <c r="AC22" s="8">
        <v>23.3</v>
      </c>
      <c r="AD22" s="8">
        <v>23.3</v>
      </c>
      <c r="AE22" s="9" t="s">
        <v>16</v>
      </c>
      <c r="AF22" s="38">
        <f t="shared" si="2"/>
        <v>51.899999999999991</v>
      </c>
      <c r="AG22" s="8">
        <v>0</v>
      </c>
      <c r="AH22" s="8">
        <v>0</v>
      </c>
      <c r="AI22" s="8">
        <v>0</v>
      </c>
      <c r="AJ22" s="20">
        <v>5.56</v>
      </c>
      <c r="AK22" s="8">
        <v>5.56</v>
      </c>
      <c r="AL22" s="8">
        <v>5.56</v>
      </c>
      <c r="AM22" s="8">
        <v>5.87</v>
      </c>
      <c r="AN22" s="8">
        <v>5.87</v>
      </c>
      <c r="AO22" s="8">
        <v>5.87</v>
      </c>
      <c r="AP22" s="8">
        <v>5.87</v>
      </c>
      <c r="AQ22" s="8">
        <v>5.87</v>
      </c>
      <c r="AR22" s="8">
        <v>5.87</v>
      </c>
      <c r="AS22" s="38">
        <f t="shared" si="3"/>
        <v>80</v>
      </c>
      <c r="AT22" s="17">
        <v>0</v>
      </c>
      <c r="AU22" s="6">
        <v>0</v>
      </c>
      <c r="AV22" s="6">
        <v>0</v>
      </c>
      <c r="AW22" s="6">
        <v>0</v>
      </c>
      <c r="AX22" s="6">
        <v>10</v>
      </c>
      <c r="AY22" s="6">
        <v>10</v>
      </c>
      <c r="AZ22" s="6">
        <v>10</v>
      </c>
      <c r="BA22" s="6">
        <v>10</v>
      </c>
      <c r="BB22" s="6">
        <v>10</v>
      </c>
      <c r="BC22" s="6">
        <v>10</v>
      </c>
      <c r="BD22" s="6">
        <v>10</v>
      </c>
      <c r="BE22" s="6">
        <v>10</v>
      </c>
      <c r="BF22" s="38">
        <f t="shared" si="4"/>
        <v>333.92</v>
      </c>
      <c r="BG22" s="18">
        <v>0</v>
      </c>
      <c r="BH22" s="19">
        <v>0</v>
      </c>
      <c r="BI22" s="19">
        <v>0</v>
      </c>
      <c r="BJ22" s="19">
        <v>0</v>
      </c>
      <c r="BK22" s="19">
        <v>41.74</v>
      </c>
      <c r="BL22" s="19">
        <v>41.74</v>
      </c>
      <c r="BM22" s="19">
        <v>41.74</v>
      </c>
      <c r="BN22" s="19">
        <v>41.74</v>
      </c>
      <c r="BO22" s="19">
        <v>41.74</v>
      </c>
      <c r="BP22" s="19">
        <v>41.74</v>
      </c>
      <c r="BQ22" s="19">
        <v>41.74</v>
      </c>
      <c r="BR22" s="19">
        <v>41.74</v>
      </c>
    </row>
    <row r="23" spans="1:70" x14ac:dyDescent="0.3">
      <c r="A23" s="3">
        <v>22</v>
      </c>
      <c r="B23" s="44" t="s">
        <v>61</v>
      </c>
      <c r="C23" s="9" t="s">
        <v>13</v>
      </c>
      <c r="D23" s="38">
        <f t="shared" si="0"/>
        <v>13191.86</v>
      </c>
      <c r="E23" s="8">
        <v>0</v>
      </c>
      <c r="F23" s="8">
        <v>0</v>
      </c>
      <c r="G23" s="8">
        <v>0</v>
      </c>
      <c r="H23" s="8">
        <v>0</v>
      </c>
      <c r="I23" s="20">
        <v>1586.29</v>
      </c>
      <c r="J23" s="8">
        <v>1586.29</v>
      </c>
      <c r="K23" s="8">
        <v>1669.88</v>
      </c>
      <c r="L23" s="8">
        <v>1669.88</v>
      </c>
      <c r="M23" s="8">
        <v>1669.88</v>
      </c>
      <c r="N23" s="8">
        <v>1669.88</v>
      </c>
      <c r="O23" s="8">
        <v>1669.88</v>
      </c>
      <c r="P23" s="8">
        <v>1669.88</v>
      </c>
      <c r="Q23" s="9" t="s">
        <v>13</v>
      </c>
      <c r="R23" s="38">
        <f t="shared" si="1"/>
        <v>593.36</v>
      </c>
      <c r="S23" s="8">
        <v>0</v>
      </c>
      <c r="T23" s="8">
        <v>0</v>
      </c>
      <c r="U23" s="8">
        <v>0</v>
      </c>
      <c r="V23" s="8">
        <v>0</v>
      </c>
      <c r="W23" s="20">
        <v>74.17</v>
      </c>
      <c r="X23" s="8">
        <v>74.17</v>
      </c>
      <c r="Y23" s="8">
        <v>74.17</v>
      </c>
      <c r="Z23" s="8">
        <v>74.17</v>
      </c>
      <c r="AA23" s="8">
        <v>74.17</v>
      </c>
      <c r="AB23" s="8">
        <v>74.17</v>
      </c>
      <c r="AC23" s="8">
        <v>74.17</v>
      </c>
      <c r="AD23" s="8">
        <v>74.17</v>
      </c>
      <c r="AE23" s="9" t="s">
        <v>13</v>
      </c>
      <c r="AF23" s="38">
        <f t="shared" si="2"/>
        <v>152.91999999999999</v>
      </c>
      <c r="AG23" s="8">
        <v>0</v>
      </c>
      <c r="AH23" s="8">
        <v>0</v>
      </c>
      <c r="AI23" s="8">
        <v>0</v>
      </c>
      <c r="AJ23" s="8">
        <v>0</v>
      </c>
      <c r="AK23" s="20">
        <v>16.25</v>
      </c>
      <c r="AL23" s="8">
        <v>16.25</v>
      </c>
      <c r="AM23" s="8">
        <v>20.07</v>
      </c>
      <c r="AN23" s="8">
        <v>20.07</v>
      </c>
      <c r="AO23" s="8">
        <v>20.07</v>
      </c>
      <c r="AP23" s="8">
        <v>20.07</v>
      </c>
      <c r="AQ23" s="8">
        <v>20.07</v>
      </c>
      <c r="AR23" s="8">
        <v>20.07</v>
      </c>
      <c r="AS23" s="38">
        <f t="shared" si="3"/>
        <v>71.400000000000006</v>
      </c>
      <c r="AT23" s="17">
        <v>0</v>
      </c>
      <c r="AU23" s="6">
        <v>0</v>
      </c>
      <c r="AV23" s="6">
        <v>0</v>
      </c>
      <c r="AW23" s="6">
        <v>0</v>
      </c>
      <c r="AX23" s="6">
        <v>0</v>
      </c>
      <c r="AY23" s="6">
        <v>10.199999999999999</v>
      </c>
      <c r="AZ23" s="6">
        <v>10.199999999999999</v>
      </c>
      <c r="BA23" s="6">
        <v>10.199999999999999</v>
      </c>
      <c r="BB23" s="6">
        <v>10.199999999999999</v>
      </c>
      <c r="BC23" s="6">
        <v>10.199999999999999</v>
      </c>
      <c r="BD23" s="6">
        <v>10.199999999999999</v>
      </c>
      <c r="BE23" s="6">
        <v>10.199999999999999</v>
      </c>
      <c r="BF23" s="38">
        <f t="shared" si="4"/>
        <v>333.56</v>
      </c>
      <c r="BG23" s="18">
        <v>0</v>
      </c>
      <c r="BH23" s="19">
        <v>0</v>
      </c>
      <c r="BI23" s="19">
        <v>0</v>
      </c>
      <c r="BJ23" s="19">
        <v>0</v>
      </c>
      <c r="BK23" s="19">
        <v>0</v>
      </c>
      <c r="BL23" s="22">
        <v>47.65</v>
      </c>
      <c r="BM23" s="19">
        <f>0.01+47.65</f>
        <v>47.66</v>
      </c>
      <c r="BN23" s="19">
        <v>47.65</v>
      </c>
      <c r="BO23" s="19">
        <v>47.65</v>
      </c>
      <c r="BP23" s="19">
        <v>47.65</v>
      </c>
      <c r="BQ23" s="19">
        <v>47.65</v>
      </c>
      <c r="BR23" s="19">
        <v>47.65</v>
      </c>
    </row>
    <row r="24" spans="1:70" x14ac:dyDescent="0.3">
      <c r="A24" s="3">
        <v>23</v>
      </c>
      <c r="B24" s="44" t="s">
        <v>56</v>
      </c>
      <c r="C24" s="9" t="s">
        <v>16</v>
      </c>
      <c r="D24" s="38">
        <f t="shared" si="0"/>
        <v>3691.16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0">
        <v>504.92</v>
      </c>
      <c r="K24" s="8">
        <v>531.04</v>
      </c>
      <c r="L24" s="8">
        <v>531.04</v>
      </c>
      <c r="M24" s="8">
        <v>531.04</v>
      </c>
      <c r="N24" s="8">
        <v>531.04</v>
      </c>
      <c r="O24" s="8">
        <v>531.04</v>
      </c>
      <c r="P24" s="8">
        <v>531.04</v>
      </c>
      <c r="Q24" s="9" t="s">
        <v>16</v>
      </c>
      <c r="R24" s="38">
        <f t="shared" si="1"/>
        <v>163.10000000000002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0">
        <v>23.3</v>
      </c>
      <c r="Y24" s="8">
        <v>23.3</v>
      </c>
      <c r="Z24" s="8">
        <v>23.3</v>
      </c>
      <c r="AA24" s="8">
        <v>23.3</v>
      </c>
      <c r="AB24" s="8">
        <v>23.3</v>
      </c>
      <c r="AC24" s="8">
        <v>23.3</v>
      </c>
      <c r="AD24" s="8">
        <v>23.3</v>
      </c>
      <c r="AE24" s="9" t="s">
        <v>16</v>
      </c>
      <c r="AF24" s="38">
        <f t="shared" si="2"/>
        <v>40.78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20">
        <v>5.56</v>
      </c>
      <c r="AM24" s="8">
        <v>5.87</v>
      </c>
      <c r="AN24" s="8">
        <v>5.87</v>
      </c>
      <c r="AO24" s="8">
        <v>5.87</v>
      </c>
      <c r="AP24" s="8">
        <v>5.87</v>
      </c>
      <c r="AQ24" s="8">
        <v>5.87</v>
      </c>
      <c r="AR24" s="8">
        <v>5.87</v>
      </c>
      <c r="AS24" s="38">
        <f t="shared" si="3"/>
        <v>60</v>
      </c>
      <c r="AT24" s="17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10</v>
      </c>
      <c r="BA24" s="6">
        <v>10</v>
      </c>
      <c r="BB24" s="6">
        <v>10</v>
      </c>
      <c r="BC24" s="6">
        <v>10</v>
      </c>
      <c r="BD24" s="6">
        <v>10</v>
      </c>
      <c r="BE24" s="6">
        <v>10</v>
      </c>
      <c r="BF24" s="38">
        <f t="shared" si="4"/>
        <v>198.42</v>
      </c>
      <c r="BG24" s="18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33.07</v>
      </c>
      <c r="BN24" s="19">
        <v>33.07</v>
      </c>
      <c r="BO24" s="19">
        <v>33.07</v>
      </c>
      <c r="BP24" s="19">
        <v>33.07</v>
      </c>
      <c r="BQ24" s="19">
        <v>33.07</v>
      </c>
      <c r="BR24" s="19">
        <v>33.07</v>
      </c>
    </row>
    <row r="25" spans="1:70" x14ac:dyDescent="0.3">
      <c r="A25">
        <v>24</v>
      </c>
      <c r="B25" s="44" t="s">
        <v>74</v>
      </c>
      <c r="C25" s="9" t="s">
        <v>16</v>
      </c>
      <c r="D25" s="38">
        <f t="shared" si="0"/>
        <v>1593.12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0">
        <v>531.04</v>
      </c>
      <c r="O25" s="8">
        <v>531.04</v>
      </c>
      <c r="P25" s="8">
        <v>531.04</v>
      </c>
      <c r="Q25" s="9" t="s">
        <v>16</v>
      </c>
      <c r="R25" s="38">
        <f t="shared" si="1"/>
        <v>69.900000000000006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20">
        <v>23.3</v>
      </c>
      <c r="AC25" s="8">
        <v>23.3</v>
      </c>
      <c r="AD25" s="8">
        <v>23.3</v>
      </c>
      <c r="AE25" s="9" t="s">
        <v>16</v>
      </c>
      <c r="AF25" s="38">
        <f t="shared" si="2"/>
        <v>17.61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20">
        <v>5.87</v>
      </c>
      <c r="AQ25" s="8">
        <v>5.87</v>
      </c>
      <c r="AR25" s="8">
        <v>5.87</v>
      </c>
      <c r="AS25" s="38">
        <f t="shared" si="3"/>
        <v>30.6</v>
      </c>
      <c r="AT25" s="17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15.3</v>
      </c>
      <c r="BE25" s="6">
        <v>15.3</v>
      </c>
      <c r="BF25" s="38">
        <f t="shared" si="4"/>
        <v>66.14</v>
      </c>
      <c r="BG25" s="17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33.07</v>
      </c>
      <c r="BR25" s="6">
        <v>33.07</v>
      </c>
    </row>
    <row r="26" spans="1:70" x14ac:dyDescent="0.3">
      <c r="B26" s="25" t="s">
        <v>81</v>
      </c>
      <c r="D26" s="38">
        <f t="shared" ref="D26:P26" si="6">SUM(D2:D25)</f>
        <v>271884.61</v>
      </c>
      <c r="E26" s="8">
        <f t="shared" si="6"/>
        <v>21291.519999999997</v>
      </c>
      <c r="F26" s="8">
        <f t="shared" si="6"/>
        <v>21291.519999999997</v>
      </c>
      <c r="G26" s="8">
        <f t="shared" si="6"/>
        <v>21291.519999999997</v>
      </c>
      <c r="H26" s="8">
        <f t="shared" si="6"/>
        <v>21108.289999999994</v>
      </c>
      <c r="I26" s="8">
        <f t="shared" si="6"/>
        <v>22189.659999999996</v>
      </c>
      <c r="J26" s="8">
        <f t="shared" si="6"/>
        <v>22694.579999999994</v>
      </c>
      <c r="K26" s="8">
        <f t="shared" si="6"/>
        <v>23846.600000000002</v>
      </c>
      <c r="L26" s="8">
        <f t="shared" si="6"/>
        <v>23315.56</v>
      </c>
      <c r="M26" s="8">
        <f t="shared" si="6"/>
        <v>23315.56</v>
      </c>
      <c r="N26" s="8">
        <f t="shared" si="6"/>
        <v>23846.600000000002</v>
      </c>
      <c r="O26" s="8">
        <f t="shared" si="6"/>
        <v>23846.600000000002</v>
      </c>
      <c r="P26" s="8">
        <f t="shared" si="6"/>
        <v>23846.600000000002</v>
      </c>
      <c r="Q26" s="9"/>
      <c r="R26" s="38">
        <f t="shared" ref="R26:AD26" si="7">SUM(R2:R25)</f>
        <v>13681.76</v>
      </c>
      <c r="S26" s="8">
        <f t="shared" si="7"/>
        <v>1098.8499999999997</v>
      </c>
      <c r="T26" s="8">
        <f t="shared" si="7"/>
        <v>1098.8499999999997</v>
      </c>
      <c r="U26" s="8">
        <f t="shared" si="7"/>
        <v>1098.8499999999997</v>
      </c>
      <c r="V26" s="8">
        <f t="shared" si="7"/>
        <v>1095.7499999999998</v>
      </c>
      <c r="W26" s="8">
        <f t="shared" si="7"/>
        <v>1146.6199999999999</v>
      </c>
      <c r="X26" s="8">
        <f t="shared" si="7"/>
        <v>1169.9199999999998</v>
      </c>
      <c r="Y26" s="8">
        <f t="shared" si="7"/>
        <v>1169.9199999999998</v>
      </c>
      <c r="Z26" s="8">
        <f t="shared" si="7"/>
        <v>1146.6199999999999</v>
      </c>
      <c r="AA26" s="8">
        <f t="shared" si="7"/>
        <v>1146.6199999999999</v>
      </c>
      <c r="AB26" s="8">
        <f t="shared" si="7"/>
        <v>1169.9199999999998</v>
      </c>
      <c r="AC26" s="8">
        <f t="shared" si="7"/>
        <v>1169.9199999999998</v>
      </c>
      <c r="AD26" s="8">
        <f t="shared" si="7"/>
        <v>1169.9199999999998</v>
      </c>
      <c r="AE26" s="9"/>
      <c r="AF26" s="40">
        <f t="shared" ref="AF26:BR26" si="8">SUM(AF2:AF25)</f>
        <v>3297.6200000000003</v>
      </c>
      <c r="AG26" s="8">
        <f t="shared" si="8"/>
        <v>241.34</v>
      </c>
      <c r="AH26" s="8">
        <f t="shared" si="8"/>
        <v>241.34</v>
      </c>
      <c r="AI26" s="8">
        <f t="shared" si="8"/>
        <v>241.34</v>
      </c>
      <c r="AJ26" s="8">
        <f t="shared" si="8"/>
        <v>246.9</v>
      </c>
      <c r="AK26" s="8">
        <f t="shared" si="8"/>
        <v>257.59000000000003</v>
      </c>
      <c r="AL26" s="8">
        <f t="shared" si="8"/>
        <v>263.15000000000003</v>
      </c>
      <c r="AM26" s="8">
        <f t="shared" si="8"/>
        <v>302.95</v>
      </c>
      <c r="AN26" s="8">
        <f t="shared" si="8"/>
        <v>297.08</v>
      </c>
      <c r="AO26" s="8">
        <f t="shared" si="8"/>
        <v>297.08</v>
      </c>
      <c r="AP26" s="8">
        <f t="shared" si="8"/>
        <v>302.95</v>
      </c>
      <c r="AQ26" s="8">
        <f t="shared" si="8"/>
        <v>302.95</v>
      </c>
      <c r="AR26" s="8">
        <f t="shared" si="8"/>
        <v>302.95</v>
      </c>
      <c r="AS26" s="38">
        <f t="shared" si="8"/>
        <v>6214.2</v>
      </c>
      <c r="AT26" s="17">
        <f t="shared" si="8"/>
        <v>487.20000000000005</v>
      </c>
      <c r="AU26" s="17">
        <f t="shared" si="8"/>
        <v>487.20000000000005</v>
      </c>
      <c r="AV26" s="17">
        <f t="shared" si="8"/>
        <v>487.20000000000005</v>
      </c>
      <c r="AW26" s="17">
        <f t="shared" si="8"/>
        <v>487.20000000000005</v>
      </c>
      <c r="AX26" s="17">
        <f t="shared" si="8"/>
        <v>487.00000000000006</v>
      </c>
      <c r="AY26" s="17">
        <f t="shared" si="8"/>
        <v>497.20000000000005</v>
      </c>
      <c r="AZ26" s="17">
        <f t="shared" si="8"/>
        <v>550.1</v>
      </c>
      <c r="BA26" s="17">
        <f t="shared" si="8"/>
        <v>540.1</v>
      </c>
      <c r="BB26" s="17">
        <f t="shared" si="8"/>
        <v>540.1</v>
      </c>
      <c r="BC26" s="17">
        <f t="shared" si="8"/>
        <v>540.1</v>
      </c>
      <c r="BD26" s="17">
        <f t="shared" si="8"/>
        <v>555.4</v>
      </c>
      <c r="BE26" s="17">
        <f t="shared" si="8"/>
        <v>555.4</v>
      </c>
      <c r="BF26" s="38">
        <f t="shared" si="8"/>
        <v>12862.509999999998</v>
      </c>
      <c r="BG26" s="8">
        <f t="shared" si="8"/>
        <v>879.71999999999991</v>
      </c>
      <c r="BH26" s="8">
        <f t="shared" si="8"/>
        <v>908.32999999999993</v>
      </c>
      <c r="BI26" s="8">
        <f t="shared" si="8"/>
        <v>908.32999999999993</v>
      </c>
      <c r="BJ26" s="8">
        <f t="shared" si="8"/>
        <v>908.32999999999993</v>
      </c>
      <c r="BK26" s="8">
        <f t="shared" si="8"/>
        <v>907.67</v>
      </c>
      <c r="BL26" s="8">
        <f t="shared" si="8"/>
        <v>955.31999999999994</v>
      </c>
      <c r="BM26" s="8">
        <f t="shared" si="8"/>
        <v>1244.42</v>
      </c>
      <c r="BN26" s="8">
        <f t="shared" si="8"/>
        <v>1216.8500000000001</v>
      </c>
      <c r="BO26" s="8">
        <f t="shared" si="8"/>
        <v>1216.8500000000001</v>
      </c>
      <c r="BP26" s="8">
        <f t="shared" si="8"/>
        <v>1216.8500000000001</v>
      </c>
      <c r="BQ26" s="8">
        <f t="shared" si="8"/>
        <v>1249.92</v>
      </c>
      <c r="BR26" s="8">
        <f t="shared" si="8"/>
        <v>1249.92</v>
      </c>
    </row>
    <row r="27" spans="1:70" x14ac:dyDescent="0.3">
      <c r="B27" s="49"/>
      <c r="AF27" s="41"/>
    </row>
    <row r="28" spans="1:70" x14ac:dyDescent="0.3">
      <c r="B28" s="49" t="s">
        <v>78</v>
      </c>
      <c r="D28" s="8">
        <f>333923.47+9003.6-71042.46</f>
        <v>271884.60999999993</v>
      </c>
      <c r="E28" s="8">
        <f>26309.91+750.3-5768.69</f>
        <v>21291.52</v>
      </c>
      <c r="F28" s="8">
        <f t="shared" ref="F28:H28" si="9">26309.91+750.3-5768.69</f>
        <v>21291.52</v>
      </c>
      <c r="G28" s="8">
        <f t="shared" si="9"/>
        <v>21291.52</v>
      </c>
      <c r="H28" s="8">
        <f t="shared" si="9"/>
        <v>21291.52</v>
      </c>
      <c r="I28" s="8">
        <f>27319.75+750.3-5768.69</f>
        <v>22301.360000000001</v>
      </c>
      <c r="J28" s="8">
        <f>28977.57+750.3-5768.69</f>
        <v>23959.18</v>
      </c>
      <c r="K28" s="8">
        <f>30397.65+750.3-6071.72</f>
        <v>25076.23</v>
      </c>
      <c r="L28" s="8">
        <f>29361.69+750.3-6071.72</f>
        <v>24040.269999999997</v>
      </c>
      <c r="M28" s="8">
        <f>29361.69+750.3-6071.72</f>
        <v>24040.269999999997</v>
      </c>
      <c r="N28" s="8">
        <f>24398.4+750.3-6071.72</f>
        <v>19076.98</v>
      </c>
      <c r="O28" s="8">
        <f>29699.06+750.3-6071.72</f>
        <v>24377.64</v>
      </c>
      <c r="P28" s="8">
        <f>29168.02+750.3-6071.72</f>
        <v>23846.6</v>
      </c>
      <c r="Q28" s="9"/>
      <c r="R28" s="8">
        <f>16787-3105.24</f>
        <v>13681.76</v>
      </c>
      <c r="S28" s="10">
        <f>1357.62-258.77</f>
        <v>1098.8499999999999</v>
      </c>
      <c r="T28" s="10">
        <f t="shared" ref="T28:V28" si="10">1357.62-258.77</f>
        <v>1098.8499999999999</v>
      </c>
      <c r="U28" s="10">
        <f t="shared" si="10"/>
        <v>1098.8499999999999</v>
      </c>
      <c r="V28" s="10">
        <f t="shared" si="10"/>
        <v>1098.8499999999999</v>
      </c>
      <c r="W28" s="10">
        <f>1404.22-258.77</f>
        <v>1145.45</v>
      </c>
      <c r="X28" s="10">
        <f>1482.66-258.77</f>
        <v>1223.8900000000001</v>
      </c>
      <c r="Y28" s="10">
        <f>1478.39-258.77</f>
        <v>1219.6200000000001</v>
      </c>
      <c r="Z28" s="10">
        <f>1431.79-258.77</f>
        <v>1173.02</v>
      </c>
      <c r="AA28" s="10">
        <f>1431.79-258.77</f>
        <v>1173.02</v>
      </c>
      <c r="AB28" s="10">
        <f>1246.99-258.77</f>
        <v>988.22</v>
      </c>
      <c r="AC28" s="10">
        <f>1451.99-258.77</f>
        <v>1193.22</v>
      </c>
      <c r="AD28" s="10">
        <f>1428.69-258.77</f>
        <v>1169.92</v>
      </c>
      <c r="AE28" s="9"/>
      <c r="AF28" s="42">
        <f>SUM(AG28:AR28)</f>
        <v>3297.6200000000008</v>
      </c>
      <c r="AG28" s="10">
        <f>301.99-60.65</f>
        <v>241.34</v>
      </c>
      <c r="AH28" s="10">
        <f t="shared" ref="AH28:AJ28" si="11">301.99-60.65</f>
        <v>241.34</v>
      </c>
      <c r="AI28" s="10">
        <f t="shared" si="11"/>
        <v>241.34</v>
      </c>
      <c r="AJ28" s="10">
        <f t="shared" si="11"/>
        <v>241.34</v>
      </c>
      <c r="AK28" s="10">
        <f>313.11-60.65</f>
        <v>252.46</v>
      </c>
      <c r="AL28" s="10">
        <f>328.93-60.65</f>
        <v>268.28000000000003</v>
      </c>
      <c r="AM28" s="10">
        <f>383.05-67.03</f>
        <v>316.02</v>
      </c>
      <c r="AN28" s="10">
        <f>371.62-67.03</f>
        <v>304.59000000000003</v>
      </c>
      <c r="AO28" s="10">
        <f>371.62-67.03</f>
        <v>304.59000000000003</v>
      </c>
      <c r="AP28" s="10">
        <f>341.58-67.03</f>
        <v>274.54999999999995</v>
      </c>
      <c r="AQ28" s="10">
        <f>375.85-67.03</f>
        <v>308.82000000000005</v>
      </c>
      <c r="AR28" s="10">
        <f>369.98-67.03</f>
        <v>302.95000000000005</v>
      </c>
      <c r="AS28" s="8">
        <f>10617.96-4403.76</f>
        <v>6214.1999999999989</v>
      </c>
      <c r="AT28" s="17">
        <f>854.18-366.98</f>
        <v>487.19999999999993</v>
      </c>
      <c r="AU28" s="17">
        <f t="shared" ref="AU28:AV28" si="12">854.18-366.98</f>
        <v>487.19999999999993</v>
      </c>
      <c r="AV28" s="17">
        <f t="shared" si="12"/>
        <v>487.19999999999993</v>
      </c>
      <c r="AW28" s="17">
        <f>854.18-366.98</f>
        <v>487.19999999999993</v>
      </c>
      <c r="AX28" s="17">
        <f>864.18-366.98</f>
        <v>497.19999999999993</v>
      </c>
      <c r="AY28" s="17">
        <f>853.98-366.98</f>
        <v>487</v>
      </c>
      <c r="AZ28" s="17">
        <f>917.08-366.98</f>
        <v>550.1</v>
      </c>
      <c r="BA28" s="17">
        <f>907.08-366.98</f>
        <v>540.1</v>
      </c>
      <c r="BB28" s="17">
        <f>907.08-366.98</f>
        <v>540.1</v>
      </c>
      <c r="BC28" s="17">
        <f>907.08-366.98</f>
        <v>540.1</v>
      </c>
      <c r="BD28" s="17">
        <f>922.38-366.98</f>
        <v>555.4</v>
      </c>
      <c r="BE28" s="17">
        <f>922.38-366.98</f>
        <v>555.4</v>
      </c>
      <c r="BF28" s="8">
        <f>12842.35+20.16</f>
        <v>12862.51</v>
      </c>
      <c r="BG28" s="17">
        <v>879.72</v>
      </c>
      <c r="BH28" s="17">
        <v>908.33</v>
      </c>
      <c r="BI28" s="17">
        <v>908.33</v>
      </c>
      <c r="BJ28" s="17">
        <v>908.33</v>
      </c>
      <c r="BK28" s="17">
        <v>907.67</v>
      </c>
      <c r="BL28" s="17">
        <v>907.67</v>
      </c>
      <c r="BM28" s="17">
        <v>1244.42</v>
      </c>
      <c r="BN28" s="17">
        <v>1216.8499999999999</v>
      </c>
      <c r="BO28" s="17">
        <v>1264.5</v>
      </c>
      <c r="BP28" s="17">
        <v>1216.8499999999999</v>
      </c>
      <c r="BQ28" s="17">
        <v>1249.92</v>
      </c>
      <c r="BR28" s="17">
        <v>1249.92</v>
      </c>
    </row>
    <row r="29" spans="1:70" x14ac:dyDescent="0.3">
      <c r="B29" s="49" t="s">
        <v>85</v>
      </c>
      <c r="D29" s="8">
        <f t="shared" ref="D29:H29" si="13">D28-D26</f>
        <v>0</v>
      </c>
      <c r="E29" s="8">
        <f t="shared" si="13"/>
        <v>0</v>
      </c>
      <c r="F29" s="8">
        <f t="shared" si="13"/>
        <v>0</v>
      </c>
      <c r="G29" s="8">
        <f t="shared" si="13"/>
        <v>0</v>
      </c>
      <c r="H29" s="8">
        <f t="shared" si="13"/>
        <v>183.23000000000684</v>
      </c>
      <c r="I29" s="8">
        <f>I28-I26</f>
        <v>111.70000000000437</v>
      </c>
      <c r="J29" s="8">
        <f>J28-J26</f>
        <v>1264.6000000000058</v>
      </c>
      <c r="K29" s="8">
        <f>K28-K26</f>
        <v>1229.6299999999974</v>
      </c>
      <c r="L29" s="8">
        <f t="shared" ref="L29:P29" si="14">L28-L26</f>
        <v>724.70999999999549</v>
      </c>
      <c r="M29" s="8">
        <f t="shared" si="14"/>
        <v>724.70999999999549</v>
      </c>
      <c r="N29" s="8">
        <f t="shared" si="14"/>
        <v>-4769.6200000000026</v>
      </c>
      <c r="O29" s="8">
        <f t="shared" si="14"/>
        <v>531.03999999999724</v>
      </c>
      <c r="P29" s="8">
        <f t="shared" si="14"/>
        <v>0</v>
      </c>
      <c r="R29" s="8">
        <f t="shared" ref="R29:AD29" si="15">R28-R26</f>
        <v>0</v>
      </c>
      <c r="S29" s="8">
        <f>S28-S26</f>
        <v>0</v>
      </c>
      <c r="T29" s="8">
        <f t="shared" si="15"/>
        <v>0</v>
      </c>
      <c r="U29" s="8">
        <f t="shared" si="15"/>
        <v>0</v>
      </c>
      <c r="V29" s="8">
        <f t="shared" si="15"/>
        <v>3.1000000000001364</v>
      </c>
      <c r="W29" s="8">
        <f t="shared" si="15"/>
        <v>-1.1699999999998454</v>
      </c>
      <c r="X29" s="8">
        <f t="shared" si="15"/>
        <v>53.970000000000255</v>
      </c>
      <c r="Y29" s="8">
        <f t="shared" si="15"/>
        <v>49.700000000000273</v>
      </c>
      <c r="Z29" s="8">
        <f t="shared" si="15"/>
        <v>26.400000000000091</v>
      </c>
      <c r="AA29" s="8">
        <f t="shared" si="15"/>
        <v>26.400000000000091</v>
      </c>
      <c r="AB29" s="8">
        <f t="shared" si="15"/>
        <v>-181.69999999999982</v>
      </c>
      <c r="AC29" s="8">
        <f t="shared" si="15"/>
        <v>23.300000000000182</v>
      </c>
      <c r="AD29" s="8">
        <f t="shared" si="15"/>
        <v>0</v>
      </c>
      <c r="AF29" s="42">
        <f>AF28-AF26</f>
        <v>0</v>
      </c>
      <c r="AG29" s="8">
        <f t="shared" ref="AG29:AR29" si="16">AG28-AG26</f>
        <v>0</v>
      </c>
      <c r="AH29" s="8">
        <f t="shared" si="16"/>
        <v>0</v>
      </c>
      <c r="AI29" s="8">
        <f t="shared" si="16"/>
        <v>0</v>
      </c>
      <c r="AJ29" s="8">
        <f t="shared" si="16"/>
        <v>-5.5600000000000023</v>
      </c>
      <c r="AK29" s="8">
        <f t="shared" si="16"/>
        <v>-5.1300000000000239</v>
      </c>
      <c r="AL29" s="8">
        <f t="shared" si="16"/>
        <v>5.1299999999999955</v>
      </c>
      <c r="AM29" s="8">
        <f t="shared" si="16"/>
        <v>13.069999999999993</v>
      </c>
      <c r="AN29" s="8">
        <f t="shared" si="16"/>
        <v>7.5100000000000477</v>
      </c>
      <c r="AO29" s="8">
        <f t="shared" si="16"/>
        <v>7.5100000000000477</v>
      </c>
      <c r="AP29" s="8">
        <f t="shared" si="16"/>
        <v>-28.400000000000034</v>
      </c>
      <c r="AQ29" s="8">
        <f t="shared" si="16"/>
        <v>5.8700000000000614</v>
      </c>
      <c r="AR29" s="8">
        <f t="shared" si="16"/>
        <v>0</v>
      </c>
      <c r="AS29" s="8">
        <f>AS28-AS26</f>
        <v>0</v>
      </c>
      <c r="AT29" s="8">
        <f t="shared" ref="AT29:BE29" si="17">AT28-AT26</f>
        <v>0</v>
      </c>
      <c r="AU29" s="8">
        <f t="shared" si="17"/>
        <v>0</v>
      </c>
      <c r="AV29" s="8">
        <f t="shared" si="17"/>
        <v>0</v>
      </c>
      <c r="AW29" s="8">
        <f t="shared" si="17"/>
        <v>0</v>
      </c>
      <c r="AX29" s="8">
        <f t="shared" si="17"/>
        <v>10.199999999999875</v>
      </c>
      <c r="AY29" s="8">
        <f>AY28-AY26</f>
        <v>-10.200000000000045</v>
      </c>
      <c r="AZ29" s="8">
        <f t="shared" si="17"/>
        <v>0</v>
      </c>
      <c r="BA29" s="8">
        <f t="shared" si="17"/>
        <v>0</v>
      </c>
      <c r="BB29" s="8">
        <f t="shared" si="17"/>
        <v>0</v>
      </c>
      <c r="BC29" s="8">
        <f t="shared" si="17"/>
        <v>0</v>
      </c>
      <c r="BD29" s="8">
        <f t="shared" si="17"/>
        <v>0</v>
      </c>
      <c r="BE29" s="8">
        <f t="shared" si="17"/>
        <v>0</v>
      </c>
      <c r="BF29" s="8">
        <f>BF28-BF26</f>
        <v>0</v>
      </c>
      <c r="BG29" s="8">
        <f>BG28-BG26</f>
        <v>0</v>
      </c>
      <c r="BH29" s="8">
        <f t="shared" ref="BH29:BR29" si="18">BH28-BH26</f>
        <v>0</v>
      </c>
      <c r="BI29" s="8">
        <f t="shared" si="18"/>
        <v>0</v>
      </c>
      <c r="BJ29" s="8">
        <f t="shared" si="18"/>
        <v>0</v>
      </c>
      <c r="BK29" s="8">
        <f t="shared" si="18"/>
        <v>0</v>
      </c>
      <c r="BL29" s="8">
        <f t="shared" si="18"/>
        <v>-47.649999999999977</v>
      </c>
      <c r="BM29" s="8">
        <f t="shared" si="18"/>
        <v>0</v>
      </c>
      <c r="BN29" s="8">
        <f t="shared" si="18"/>
        <v>0</v>
      </c>
      <c r="BO29" s="8">
        <f t="shared" si="18"/>
        <v>47.649999999999864</v>
      </c>
      <c r="BP29" s="8">
        <f t="shared" si="18"/>
        <v>0</v>
      </c>
      <c r="BQ29" s="8">
        <f t="shared" si="18"/>
        <v>0</v>
      </c>
      <c r="BR29" s="8">
        <f t="shared" si="18"/>
        <v>0</v>
      </c>
    </row>
    <row r="30" spans="1:70" x14ac:dyDescent="0.3">
      <c r="C30" s="15"/>
      <c r="D30" s="15"/>
      <c r="E30" s="15"/>
      <c r="F30" s="15"/>
      <c r="G30" s="15"/>
      <c r="H30" s="15"/>
      <c r="I30" s="15"/>
      <c r="J30" s="15"/>
      <c r="K30" s="15"/>
      <c r="L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BF30" s="15"/>
    </row>
    <row r="32" spans="1:70" x14ac:dyDescent="0.3">
      <c r="J32" s="8"/>
      <c r="K32" s="8"/>
      <c r="X32" s="8"/>
    </row>
  </sheetData>
  <sortState xmlns:xlrd2="http://schemas.microsoft.com/office/spreadsheetml/2017/richdata2" ref="B2:BR25">
    <sortCondition ref="B2:B25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BA36-8DB0-4F11-ADD4-858E1AFC600E}">
  <dimension ref="A1:BR31"/>
  <sheetViews>
    <sheetView workbookViewId="0">
      <pane xSplit="1" ySplit="1" topLeftCell="B2" activePane="bottomRight" state="frozen"/>
      <selection activeCell="H13" sqref="H13"/>
      <selection pane="topRight" activeCell="H13" sqref="H13"/>
      <selection pane="bottomLeft" activeCell="H13" sqref="H13"/>
      <selection pane="bottomRight" activeCell="B2" sqref="B2"/>
    </sheetView>
  </sheetViews>
  <sheetFormatPr defaultColWidth="9.109375" defaultRowHeight="14.4" x14ac:dyDescent="0.3"/>
  <cols>
    <col min="1" max="1" width="3" style="3" bestFit="1" customWidth="1"/>
    <col min="2" max="2" width="10" style="47" bestFit="1" customWidth="1"/>
    <col min="3" max="3" width="15.44140625" style="3" customWidth="1"/>
    <col min="4" max="4" width="13.44140625" style="3" bestFit="1" customWidth="1"/>
    <col min="5" max="10" width="12.33203125" style="3" bestFit="1" customWidth="1"/>
    <col min="11" max="16" width="11.5546875" style="3" bestFit="1" customWidth="1"/>
    <col min="17" max="17" width="15.109375" style="3" bestFit="1" customWidth="1"/>
    <col min="18" max="18" width="11.5546875" style="3" bestFit="1" customWidth="1"/>
    <col min="19" max="24" width="11.33203125" style="3" bestFit="1" customWidth="1"/>
    <col min="25" max="30" width="10.44140625" style="3" customWidth="1"/>
    <col min="31" max="31" width="15.109375" style="3" bestFit="1" customWidth="1"/>
    <col min="32" max="32" width="10.5546875" style="3" bestFit="1" customWidth="1"/>
    <col min="33" max="44" width="9" style="3" bestFit="1" customWidth="1"/>
    <col min="45" max="45" width="11.109375" style="3" bestFit="1" customWidth="1"/>
    <col min="46" max="46" width="9" style="3" bestFit="1" customWidth="1"/>
    <col min="47" max="47" width="9.109375" style="3"/>
    <col min="48" max="48" width="9.6640625" style="3" bestFit="1" customWidth="1"/>
    <col min="49" max="57" width="9.109375" style="3"/>
    <col min="58" max="58" width="11.5546875" style="3" bestFit="1" customWidth="1"/>
    <col min="59" max="64" width="10.6640625" style="3" bestFit="1" customWidth="1"/>
    <col min="65" max="70" width="10.5546875" style="3" bestFit="1" customWidth="1"/>
    <col min="71" max="16384" width="9.109375" style="3"/>
  </cols>
  <sheetData>
    <row r="1" spans="1:70" ht="39.6" x14ac:dyDescent="0.3">
      <c r="B1" s="1" t="s">
        <v>52</v>
      </c>
      <c r="C1" s="1" t="s">
        <v>1</v>
      </c>
      <c r="D1" s="14" t="s">
        <v>2</v>
      </c>
      <c r="E1" s="23">
        <v>44948</v>
      </c>
      <c r="F1" s="23">
        <v>44979</v>
      </c>
      <c r="G1" s="23">
        <v>45007</v>
      </c>
      <c r="H1" s="23">
        <v>45038</v>
      </c>
      <c r="I1" s="23">
        <v>45068</v>
      </c>
      <c r="J1" s="23">
        <v>45099</v>
      </c>
      <c r="K1" s="23">
        <v>45129</v>
      </c>
      <c r="L1" s="23">
        <v>45160</v>
      </c>
      <c r="M1" s="23">
        <v>45191</v>
      </c>
      <c r="N1" s="23">
        <v>45221</v>
      </c>
      <c r="O1" s="23">
        <v>45252</v>
      </c>
      <c r="P1" s="23">
        <v>45282</v>
      </c>
      <c r="Q1" s="1" t="s">
        <v>5</v>
      </c>
      <c r="R1" s="14" t="s">
        <v>6</v>
      </c>
      <c r="S1" s="23">
        <v>44948</v>
      </c>
      <c r="T1" s="23">
        <v>44979</v>
      </c>
      <c r="U1" s="23">
        <v>45007</v>
      </c>
      <c r="V1" s="23">
        <v>45038</v>
      </c>
      <c r="W1" s="23">
        <v>45068</v>
      </c>
      <c r="X1" s="23">
        <v>45099</v>
      </c>
      <c r="Y1" s="23">
        <v>45129</v>
      </c>
      <c r="Z1" s="23">
        <v>45160</v>
      </c>
      <c r="AA1" s="23">
        <v>45191</v>
      </c>
      <c r="AB1" s="23">
        <v>45221</v>
      </c>
      <c r="AC1" s="23">
        <v>45252</v>
      </c>
      <c r="AD1" s="23">
        <v>45282</v>
      </c>
      <c r="AE1" s="1" t="s">
        <v>7</v>
      </c>
      <c r="AF1" s="14" t="s">
        <v>8</v>
      </c>
      <c r="AG1" s="23">
        <v>44948</v>
      </c>
      <c r="AH1" s="23">
        <v>44979</v>
      </c>
      <c r="AI1" s="23">
        <v>45007</v>
      </c>
      <c r="AJ1" s="23">
        <v>45038</v>
      </c>
      <c r="AK1" s="23">
        <v>45068</v>
      </c>
      <c r="AL1" s="23">
        <v>45099</v>
      </c>
      <c r="AM1" s="23">
        <v>45129</v>
      </c>
      <c r="AN1" s="23">
        <v>45160</v>
      </c>
      <c r="AO1" s="23">
        <v>45191</v>
      </c>
      <c r="AP1" s="23">
        <v>45221</v>
      </c>
      <c r="AQ1" s="23">
        <v>45252</v>
      </c>
      <c r="AR1" s="23">
        <v>45282</v>
      </c>
      <c r="AS1" s="14" t="s">
        <v>9</v>
      </c>
      <c r="AT1" s="23">
        <v>44948</v>
      </c>
      <c r="AU1" s="23">
        <v>44979</v>
      </c>
      <c r="AV1" s="23">
        <v>45007</v>
      </c>
      <c r="AW1" s="23">
        <v>45038</v>
      </c>
      <c r="AX1" s="23">
        <v>45068</v>
      </c>
      <c r="AY1" s="23">
        <v>45099</v>
      </c>
      <c r="AZ1" s="23">
        <v>45129</v>
      </c>
      <c r="BA1" s="23">
        <v>45160</v>
      </c>
      <c r="BB1" s="23">
        <v>45191</v>
      </c>
      <c r="BC1" s="23">
        <v>45221</v>
      </c>
      <c r="BD1" s="23">
        <v>45252</v>
      </c>
      <c r="BE1" s="23">
        <v>45282</v>
      </c>
      <c r="BF1" s="14" t="s">
        <v>10</v>
      </c>
      <c r="BG1" s="23">
        <v>44948</v>
      </c>
      <c r="BH1" s="23">
        <v>44979</v>
      </c>
      <c r="BI1" s="23">
        <v>45007</v>
      </c>
      <c r="BJ1" s="23">
        <v>45038</v>
      </c>
      <c r="BK1" s="23">
        <v>45068</v>
      </c>
      <c r="BL1" s="23">
        <v>45099</v>
      </c>
      <c r="BM1" s="23">
        <v>45129</v>
      </c>
      <c r="BN1" s="23">
        <v>45160</v>
      </c>
      <c r="BO1" s="23">
        <v>45191</v>
      </c>
      <c r="BP1" s="23">
        <v>45221</v>
      </c>
      <c r="BQ1" s="23">
        <v>45252</v>
      </c>
      <c r="BR1" s="23">
        <v>45282</v>
      </c>
    </row>
    <row r="2" spans="1:70" x14ac:dyDescent="0.3">
      <c r="A2" s="3">
        <v>1</v>
      </c>
      <c r="B2" s="44" t="s">
        <v>53</v>
      </c>
      <c r="C2" s="7" t="s">
        <v>15</v>
      </c>
      <c r="D2" s="38">
        <f t="shared" ref="D2:D24" si="0">SUM(E2:P2)</f>
        <v>5671.0199999999995</v>
      </c>
      <c r="E2" s="8">
        <v>945.17</v>
      </c>
      <c r="F2" s="8">
        <v>945.17</v>
      </c>
      <c r="G2" s="8">
        <v>945.17</v>
      </c>
      <c r="H2" s="8">
        <v>945.17</v>
      </c>
      <c r="I2" s="8">
        <v>945.17</v>
      </c>
      <c r="J2" s="8">
        <v>945.17</v>
      </c>
      <c r="K2" s="30"/>
      <c r="L2" s="30"/>
      <c r="M2" s="30"/>
      <c r="N2" s="30"/>
      <c r="O2" s="30"/>
      <c r="P2" s="30"/>
      <c r="Q2" s="7" t="s">
        <v>15</v>
      </c>
      <c r="R2" s="38">
        <f t="shared" ref="R2:R24" si="1">SUM(S2:AD2)</f>
        <v>313.2</v>
      </c>
      <c r="S2" s="8">
        <v>52.2</v>
      </c>
      <c r="T2" s="8">
        <v>52.2</v>
      </c>
      <c r="U2" s="8">
        <v>52.2</v>
      </c>
      <c r="V2" s="8">
        <v>52.2</v>
      </c>
      <c r="W2" s="8">
        <v>52.2</v>
      </c>
      <c r="X2" s="8">
        <v>52.2</v>
      </c>
      <c r="Y2" s="30"/>
      <c r="Z2" s="30"/>
      <c r="AA2" s="30"/>
      <c r="AB2" s="30"/>
      <c r="AC2" s="30"/>
      <c r="AD2" s="30"/>
      <c r="AE2" s="7" t="s">
        <v>15</v>
      </c>
      <c r="AF2" s="38">
        <f t="shared" ref="AF2:AF24" si="2">SUM(AG2:AR2)</f>
        <v>75.36</v>
      </c>
      <c r="AG2" s="8">
        <v>12.56</v>
      </c>
      <c r="AH2" s="8">
        <v>12.56</v>
      </c>
      <c r="AI2" s="8">
        <v>12.56</v>
      </c>
      <c r="AJ2" s="8">
        <v>12.56</v>
      </c>
      <c r="AK2" s="8">
        <v>12.56</v>
      </c>
      <c r="AL2" s="8">
        <v>12.56</v>
      </c>
      <c r="AM2" s="30"/>
      <c r="AN2" s="30"/>
      <c r="AO2" s="30"/>
      <c r="AP2" s="30"/>
      <c r="AQ2" s="30"/>
      <c r="AR2" s="30"/>
      <c r="AS2" s="38">
        <f t="shared" ref="AS2:AS24" si="3">SUM(AT2:BE2)</f>
        <v>420.6</v>
      </c>
      <c r="AT2" s="6">
        <v>70.099999999999994</v>
      </c>
      <c r="AU2" s="6">
        <v>70.099999999999994</v>
      </c>
      <c r="AV2" s="6">
        <v>70.099999999999994</v>
      </c>
      <c r="AW2" s="6">
        <v>70.099999999999994</v>
      </c>
      <c r="AX2" s="6">
        <v>70.099999999999994</v>
      </c>
      <c r="AY2" s="6">
        <v>70.099999999999994</v>
      </c>
      <c r="AZ2" s="31"/>
      <c r="BA2" s="31"/>
      <c r="BB2" s="31"/>
      <c r="BC2" s="31"/>
      <c r="BD2" s="31"/>
      <c r="BE2" s="31"/>
      <c r="BF2" s="38">
        <f t="shared" ref="BF2:BF24" si="4">SUM(BG2:BR2)</f>
        <v>381.95999999999992</v>
      </c>
      <c r="BG2" s="6">
        <v>63.66</v>
      </c>
      <c r="BH2" s="6">
        <v>63.66</v>
      </c>
      <c r="BI2" s="6">
        <v>63.66</v>
      </c>
      <c r="BJ2" s="6">
        <v>63.66</v>
      </c>
      <c r="BK2" s="6">
        <v>63.66</v>
      </c>
      <c r="BL2" s="6">
        <v>63.66</v>
      </c>
      <c r="BM2" s="31"/>
      <c r="BN2" s="31"/>
      <c r="BO2" s="31"/>
      <c r="BP2" s="31"/>
      <c r="BQ2" s="31"/>
      <c r="BR2" s="31"/>
    </row>
    <row r="3" spans="1:70" x14ac:dyDescent="0.3">
      <c r="A3" s="3">
        <v>2</v>
      </c>
      <c r="B3" s="44" t="s">
        <v>57</v>
      </c>
      <c r="C3" s="7" t="s">
        <v>13</v>
      </c>
      <c r="D3" s="38">
        <f t="shared" si="0"/>
        <v>10019.280000000002</v>
      </c>
      <c r="E3" s="8">
        <v>1669.88</v>
      </c>
      <c r="F3" s="8">
        <v>1669.88</v>
      </c>
      <c r="G3" s="8">
        <v>1669.88</v>
      </c>
      <c r="H3" s="8">
        <v>1669.88</v>
      </c>
      <c r="I3" s="8">
        <v>1669.88</v>
      </c>
      <c r="J3" s="8">
        <v>1669.88</v>
      </c>
      <c r="K3" s="30"/>
      <c r="L3" s="30"/>
      <c r="M3" s="30"/>
      <c r="N3" s="30"/>
      <c r="O3" s="30"/>
      <c r="P3" s="30"/>
      <c r="Q3" s="7" t="s">
        <v>13</v>
      </c>
      <c r="R3" s="38">
        <f t="shared" si="1"/>
        <v>496.08000000000004</v>
      </c>
      <c r="S3" s="8">
        <v>82.68</v>
      </c>
      <c r="T3" s="8">
        <v>82.68</v>
      </c>
      <c r="U3" s="8">
        <v>82.68</v>
      </c>
      <c r="V3" s="8">
        <v>82.68</v>
      </c>
      <c r="W3" s="8">
        <v>82.68</v>
      </c>
      <c r="X3" s="8">
        <v>82.68</v>
      </c>
      <c r="Y3" s="30"/>
      <c r="Z3" s="30"/>
      <c r="AA3" s="30"/>
      <c r="AB3" s="30"/>
      <c r="AC3" s="30"/>
      <c r="AD3" s="30"/>
      <c r="AE3" s="7" t="s">
        <v>13</v>
      </c>
      <c r="AF3" s="38">
        <f t="shared" si="2"/>
        <v>120.41999999999999</v>
      </c>
      <c r="AG3" s="8">
        <v>20.07</v>
      </c>
      <c r="AH3" s="8">
        <v>20.07</v>
      </c>
      <c r="AI3" s="8">
        <v>20.07</v>
      </c>
      <c r="AJ3" s="8">
        <v>20.07</v>
      </c>
      <c r="AK3" s="8">
        <v>20.07</v>
      </c>
      <c r="AL3" s="8">
        <v>20.07</v>
      </c>
      <c r="AM3" s="30"/>
      <c r="AN3" s="30"/>
      <c r="AO3" s="30"/>
      <c r="AP3" s="30"/>
      <c r="AQ3" s="30"/>
      <c r="AR3" s="30"/>
      <c r="AS3" s="38">
        <f t="shared" si="3"/>
        <v>124.2</v>
      </c>
      <c r="AT3" s="6">
        <v>20.7</v>
      </c>
      <c r="AU3" s="6">
        <v>20.7</v>
      </c>
      <c r="AV3" s="6">
        <v>20.7</v>
      </c>
      <c r="AW3" s="6">
        <v>20.7</v>
      </c>
      <c r="AX3" s="6">
        <v>20.7</v>
      </c>
      <c r="AY3" s="6">
        <v>20.7</v>
      </c>
      <c r="AZ3" s="31"/>
      <c r="BA3" s="31"/>
      <c r="BB3" s="31"/>
      <c r="BC3" s="31"/>
      <c r="BD3" s="31"/>
      <c r="BE3" s="31"/>
      <c r="BF3" s="38">
        <f t="shared" si="4"/>
        <v>307.32000000000005</v>
      </c>
      <c r="BG3" s="19">
        <v>51.22</v>
      </c>
      <c r="BH3" s="19">
        <v>51.22</v>
      </c>
      <c r="BI3" s="19">
        <v>51.22</v>
      </c>
      <c r="BJ3" s="19">
        <v>51.22</v>
      </c>
      <c r="BK3" s="19">
        <v>51.22</v>
      </c>
      <c r="BL3" s="19">
        <v>51.22</v>
      </c>
      <c r="BM3" s="32"/>
      <c r="BN3" s="32"/>
      <c r="BO3" s="32"/>
      <c r="BP3" s="32"/>
      <c r="BQ3" s="32"/>
      <c r="BR3" s="32"/>
    </row>
    <row r="4" spans="1:70" x14ac:dyDescent="0.3">
      <c r="A4" s="3">
        <v>3</v>
      </c>
      <c r="B4" s="44" t="s">
        <v>63</v>
      </c>
      <c r="C4" s="7" t="s">
        <v>13</v>
      </c>
      <c r="D4" s="38">
        <f t="shared" si="0"/>
        <v>10019.280000000002</v>
      </c>
      <c r="E4" s="8">
        <v>1669.88</v>
      </c>
      <c r="F4" s="8">
        <v>1669.88</v>
      </c>
      <c r="G4" s="8">
        <v>1669.88</v>
      </c>
      <c r="H4" s="8">
        <v>1669.88</v>
      </c>
      <c r="I4" s="8">
        <v>1669.88</v>
      </c>
      <c r="J4" s="8">
        <v>1669.88</v>
      </c>
      <c r="K4" s="30"/>
      <c r="L4" s="30"/>
      <c r="M4" s="30"/>
      <c r="N4" s="30"/>
      <c r="O4" s="30"/>
      <c r="P4" s="30"/>
      <c r="Q4" s="7" t="s">
        <v>13</v>
      </c>
      <c r="R4" s="38">
        <f t="shared" si="1"/>
        <v>445.02000000000004</v>
      </c>
      <c r="S4" s="8">
        <v>74.17</v>
      </c>
      <c r="T4" s="8">
        <v>74.17</v>
      </c>
      <c r="U4" s="8">
        <v>74.17</v>
      </c>
      <c r="V4" s="8">
        <v>74.17</v>
      </c>
      <c r="W4" s="8">
        <v>74.17</v>
      </c>
      <c r="X4" s="8">
        <v>74.17</v>
      </c>
      <c r="Y4" s="30"/>
      <c r="Z4" s="30"/>
      <c r="AA4" s="30"/>
      <c r="AB4" s="30"/>
      <c r="AC4" s="30"/>
      <c r="AD4" s="30"/>
      <c r="AE4" s="7" t="s">
        <v>13</v>
      </c>
      <c r="AF4" s="38">
        <f t="shared" si="2"/>
        <v>120.41999999999999</v>
      </c>
      <c r="AG4" s="8">
        <v>20.07</v>
      </c>
      <c r="AH4" s="8">
        <v>20.07</v>
      </c>
      <c r="AI4" s="8">
        <v>20.07</v>
      </c>
      <c r="AJ4" s="8">
        <v>20.07</v>
      </c>
      <c r="AK4" s="8">
        <v>20.07</v>
      </c>
      <c r="AL4" s="8">
        <v>20.07</v>
      </c>
      <c r="AM4" s="30"/>
      <c r="AN4" s="30"/>
      <c r="AO4" s="30"/>
      <c r="AP4" s="30"/>
      <c r="AQ4" s="30"/>
      <c r="AR4" s="30"/>
      <c r="AS4" s="38">
        <f t="shared" si="3"/>
        <v>124.2</v>
      </c>
      <c r="AT4" s="6">
        <v>20.7</v>
      </c>
      <c r="AU4" s="6">
        <v>20.7</v>
      </c>
      <c r="AV4" s="6">
        <v>20.7</v>
      </c>
      <c r="AW4" s="6">
        <v>20.7</v>
      </c>
      <c r="AX4" s="6">
        <v>20.7</v>
      </c>
      <c r="AY4" s="6">
        <v>20.7</v>
      </c>
      <c r="AZ4" s="31"/>
      <c r="BA4" s="31"/>
      <c r="BB4" s="31"/>
      <c r="BC4" s="31"/>
      <c r="BD4" s="31"/>
      <c r="BE4" s="31"/>
      <c r="BF4" s="38">
        <f t="shared" si="4"/>
        <v>300.83999999999997</v>
      </c>
      <c r="BG4" s="19">
        <v>50.14</v>
      </c>
      <c r="BH4" s="19">
        <v>50.14</v>
      </c>
      <c r="BI4" s="19">
        <v>50.14</v>
      </c>
      <c r="BJ4" s="19">
        <v>50.14</v>
      </c>
      <c r="BK4" s="19">
        <v>50.14</v>
      </c>
      <c r="BL4" s="19">
        <v>50.14</v>
      </c>
      <c r="BM4" s="32"/>
      <c r="BN4" s="32"/>
      <c r="BO4" s="32"/>
      <c r="BP4" s="32"/>
      <c r="BQ4" s="32"/>
      <c r="BR4" s="32"/>
    </row>
    <row r="5" spans="1:70" x14ac:dyDescent="0.3">
      <c r="A5" s="3">
        <v>4</v>
      </c>
      <c r="B5" s="44" t="s">
        <v>66</v>
      </c>
      <c r="C5" s="7" t="s">
        <v>18</v>
      </c>
      <c r="D5" s="38">
        <f t="shared" si="0"/>
        <v>6602.76</v>
      </c>
      <c r="E5" s="8">
        <v>1100.46</v>
      </c>
      <c r="F5" s="8">
        <v>1100.46</v>
      </c>
      <c r="G5" s="8">
        <v>1100.46</v>
      </c>
      <c r="H5" s="8">
        <v>1100.46</v>
      </c>
      <c r="I5" s="8">
        <v>1100.46</v>
      </c>
      <c r="J5" s="8">
        <v>1100.46</v>
      </c>
      <c r="K5" s="30"/>
      <c r="L5" s="30"/>
      <c r="M5" s="30"/>
      <c r="N5" s="30"/>
      <c r="O5" s="30"/>
      <c r="P5" s="30"/>
      <c r="Q5" s="7" t="s">
        <v>18</v>
      </c>
      <c r="R5" s="38">
        <f t="shared" si="1"/>
        <v>276.89999999999998</v>
      </c>
      <c r="S5" s="8">
        <v>46.15</v>
      </c>
      <c r="T5" s="8">
        <v>46.15</v>
      </c>
      <c r="U5" s="8">
        <v>46.15</v>
      </c>
      <c r="V5" s="8">
        <v>46.15</v>
      </c>
      <c r="W5" s="8">
        <v>46.15</v>
      </c>
      <c r="X5" s="8">
        <v>46.15</v>
      </c>
      <c r="Y5" s="30"/>
      <c r="Z5" s="30"/>
      <c r="AA5" s="30"/>
      <c r="AB5" s="30"/>
      <c r="AC5" s="30"/>
      <c r="AD5" s="30"/>
      <c r="AE5" s="7" t="s">
        <v>18</v>
      </c>
      <c r="AF5" s="38">
        <f t="shared" si="2"/>
        <v>70.44</v>
      </c>
      <c r="AG5" s="8">
        <v>11.74</v>
      </c>
      <c r="AH5" s="8">
        <v>11.74</v>
      </c>
      <c r="AI5" s="8">
        <v>11.74</v>
      </c>
      <c r="AJ5" s="8">
        <v>11.74</v>
      </c>
      <c r="AK5" s="8">
        <v>11.74</v>
      </c>
      <c r="AL5" s="8">
        <v>11.74</v>
      </c>
      <c r="AM5" s="30"/>
      <c r="AN5" s="30"/>
      <c r="AO5" s="30"/>
      <c r="AP5" s="30"/>
      <c r="AQ5" s="30"/>
      <c r="AR5" s="30"/>
      <c r="AS5" s="38">
        <f t="shared" si="3"/>
        <v>314.39999999999998</v>
      </c>
      <c r="AT5" s="6">
        <v>52.4</v>
      </c>
      <c r="AU5" s="6">
        <v>52.4</v>
      </c>
      <c r="AV5" s="6">
        <v>52.4</v>
      </c>
      <c r="AW5" s="6">
        <v>52.4</v>
      </c>
      <c r="AX5" s="6">
        <v>52.4</v>
      </c>
      <c r="AY5" s="6">
        <v>52.4</v>
      </c>
      <c r="AZ5" s="31"/>
      <c r="BA5" s="31"/>
      <c r="BB5" s="31"/>
      <c r="BC5" s="31"/>
      <c r="BD5" s="31"/>
      <c r="BE5" s="31"/>
      <c r="BF5" s="38">
        <f t="shared" si="4"/>
        <v>361.67999999999995</v>
      </c>
      <c r="BG5" s="19">
        <v>60.28</v>
      </c>
      <c r="BH5" s="19">
        <v>60.28</v>
      </c>
      <c r="BI5" s="19">
        <v>60.28</v>
      </c>
      <c r="BJ5" s="19">
        <v>60.28</v>
      </c>
      <c r="BK5" s="19">
        <v>60.28</v>
      </c>
      <c r="BL5" s="19">
        <v>60.28</v>
      </c>
      <c r="BM5" s="32"/>
      <c r="BN5" s="32"/>
      <c r="BO5" s="32"/>
      <c r="BP5" s="32"/>
      <c r="BQ5" s="32"/>
      <c r="BR5" s="32"/>
    </row>
    <row r="6" spans="1:70" x14ac:dyDescent="0.3">
      <c r="A6" s="3">
        <v>5</v>
      </c>
      <c r="B6" s="44" t="s">
        <v>69</v>
      </c>
      <c r="C6" s="7" t="s">
        <v>13</v>
      </c>
      <c r="D6" s="38">
        <f t="shared" si="0"/>
        <v>10019.280000000002</v>
      </c>
      <c r="E6" s="8">
        <v>1669.88</v>
      </c>
      <c r="F6" s="8">
        <v>1669.88</v>
      </c>
      <c r="G6" s="8">
        <v>1669.88</v>
      </c>
      <c r="H6" s="8">
        <v>1669.88</v>
      </c>
      <c r="I6" s="8">
        <v>1669.88</v>
      </c>
      <c r="J6" s="8">
        <v>1669.88</v>
      </c>
      <c r="K6" s="30"/>
      <c r="L6" s="30"/>
      <c r="M6" s="30"/>
      <c r="N6" s="30"/>
      <c r="O6" s="30"/>
      <c r="P6" s="30"/>
      <c r="Q6" s="7" t="s">
        <v>13</v>
      </c>
      <c r="R6" s="38">
        <f t="shared" si="1"/>
        <v>496.08000000000004</v>
      </c>
      <c r="S6" s="8">
        <v>82.68</v>
      </c>
      <c r="T6" s="8">
        <v>82.68</v>
      </c>
      <c r="U6" s="8">
        <v>82.68</v>
      </c>
      <c r="V6" s="8">
        <v>82.68</v>
      </c>
      <c r="W6" s="8">
        <v>82.68</v>
      </c>
      <c r="X6" s="8">
        <v>82.68</v>
      </c>
      <c r="Y6" s="30"/>
      <c r="Z6" s="30"/>
      <c r="AA6" s="30"/>
      <c r="AB6" s="30"/>
      <c r="AC6" s="30"/>
      <c r="AD6" s="30"/>
      <c r="AE6" s="7" t="s">
        <v>13</v>
      </c>
      <c r="AF6" s="38">
        <f t="shared" si="2"/>
        <v>120.41999999999999</v>
      </c>
      <c r="AG6" s="8">
        <v>20.07</v>
      </c>
      <c r="AH6" s="8">
        <v>20.07</v>
      </c>
      <c r="AI6" s="8">
        <v>20.07</v>
      </c>
      <c r="AJ6" s="8">
        <v>20.07</v>
      </c>
      <c r="AK6" s="8">
        <v>20.07</v>
      </c>
      <c r="AL6" s="8">
        <v>20.07</v>
      </c>
      <c r="AM6" s="30"/>
      <c r="AN6" s="30"/>
      <c r="AO6" s="30"/>
      <c r="AP6" s="30"/>
      <c r="AQ6" s="30"/>
      <c r="AR6" s="30"/>
      <c r="AS6" s="38">
        <f t="shared" si="3"/>
        <v>124.2</v>
      </c>
      <c r="AT6" s="6">
        <v>20.7</v>
      </c>
      <c r="AU6" s="6">
        <v>20.7</v>
      </c>
      <c r="AV6" s="6">
        <v>20.7</v>
      </c>
      <c r="AW6" s="6">
        <v>20.7</v>
      </c>
      <c r="AX6" s="6">
        <v>20.7</v>
      </c>
      <c r="AY6" s="6">
        <v>20.7</v>
      </c>
      <c r="AZ6" s="31"/>
      <c r="BA6" s="31"/>
      <c r="BB6" s="31"/>
      <c r="BC6" s="31"/>
      <c r="BD6" s="31"/>
      <c r="BE6" s="31"/>
      <c r="BF6" s="38">
        <f t="shared" si="4"/>
        <v>459.17999999999995</v>
      </c>
      <c r="BG6" s="19">
        <v>76.53</v>
      </c>
      <c r="BH6" s="19">
        <v>76.53</v>
      </c>
      <c r="BI6" s="19">
        <v>76.53</v>
      </c>
      <c r="BJ6" s="19">
        <v>76.53</v>
      </c>
      <c r="BK6" s="19">
        <v>76.53</v>
      </c>
      <c r="BL6" s="19">
        <v>76.53</v>
      </c>
      <c r="BM6" s="32"/>
      <c r="BN6" s="32"/>
      <c r="BO6" s="32"/>
      <c r="BP6" s="32"/>
      <c r="BQ6" s="32"/>
      <c r="BR6" s="32"/>
    </row>
    <row r="7" spans="1:70" x14ac:dyDescent="0.3">
      <c r="A7" s="3">
        <v>6</v>
      </c>
      <c r="B7" s="44" t="s">
        <v>72</v>
      </c>
      <c r="C7" s="7" t="s">
        <v>15</v>
      </c>
      <c r="D7" s="38">
        <f t="shared" si="0"/>
        <v>5671.0199999999995</v>
      </c>
      <c r="E7" s="8">
        <v>945.17</v>
      </c>
      <c r="F7" s="8">
        <v>945.17</v>
      </c>
      <c r="G7" s="8">
        <v>945.17</v>
      </c>
      <c r="H7" s="8">
        <v>945.17</v>
      </c>
      <c r="I7" s="8">
        <v>945.17</v>
      </c>
      <c r="J7" s="8">
        <v>945.17</v>
      </c>
      <c r="K7" s="30"/>
      <c r="L7" s="30"/>
      <c r="M7" s="30"/>
      <c r="N7" s="30"/>
      <c r="O7" s="30"/>
      <c r="P7" s="30"/>
      <c r="Q7" s="7" t="s">
        <v>13</v>
      </c>
      <c r="R7" s="38">
        <f t="shared" si="1"/>
        <v>445.02000000000004</v>
      </c>
      <c r="S7" s="8">
        <v>74.17</v>
      </c>
      <c r="T7" s="8">
        <v>74.17</v>
      </c>
      <c r="U7" s="8">
        <v>74.17</v>
      </c>
      <c r="V7" s="8">
        <v>74.17</v>
      </c>
      <c r="W7" s="8">
        <v>74.17</v>
      </c>
      <c r="X7" s="8">
        <v>74.17</v>
      </c>
      <c r="Y7" s="30"/>
      <c r="Z7" s="30"/>
      <c r="AA7" s="30"/>
      <c r="AB7" s="30"/>
      <c r="AC7" s="30"/>
      <c r="AD7" s="30"/>
      <c r="AE7" s="7" t="s">
        <v>13</v>
      </c>
      <c r="AF7" s="38">
        <f t="shared" si="2"/>
        <v>120.41999999999999</v>
      </c>
      <c r="AG7" s="8">
        <v>20.07</v>
      </c>
      <c r="AH7" s="8">
        <v>20.07</v>
      </c>
      <c r="AI7" s="8">
        <v>20.07</v>
      </c>
      <c r="AJ7" s="8">
        <v>20.07</v>
      </c>
      <c r="AK7" s="8">
        <v>20.07</v>
      </c>
      <c r="AL7" s="8">
        <v>20.07</v>
      </c>
      <c r="AM7" s="30"/>
      <c r="AN7" s="30"/>
      <c r="AO7" s="30"/>
      <c r="AP7" s="30"/>
      <c r="AQ7" s="30"/>
      <c r="AR7" s="30"/>
      <c r="AS7" s="38">
        <f t="shared" si="3"/>
        <v>198.6</v>
      </c>
      <c r="AT7" s="6">
        <v>33.1</v>
      </c>
      <c r="AU7" s="6">
        <v>33.1</v>
      </c>
      <c r="AV7" s="6">
        <v>33.1</v>
      </c>
      <c r="AW7" s="6">
        <v>33.1</v>
      </c>
      <c r="AX7" s="6">
        <v>33.1</v>
      </c>
      <c r="AY7" s="6">
        <v>33.1</v>
      </c>
      <c r="AZ7" s="31"/>
      <c r="BA7" s="31"/>
      <c r="BB7" s="31"/>
      <c r="BC7" s="31"/>
      <c r="BD7" s="31"/>
      <c r="BE7" s="31"/>
      <c r="BF7" s="38">
        <f t="shared" si="4"/>
        <v>848.1</v>
      </c>
      <c r="BG7" s="6">
        <v>141.35</v>
      </c>
      <c r="BH7" s="6">
        <v>141.35</v>
      </c>
      <c r="BI7" s="6">
        <v>141.35</v>
      </c>
      <c r="BJ7" s="6">
        <v>141.35</v>
      </c>
      <c r="BK7" s="6">
        <v>141.35</v>
      </c>
      <c r="BL7" s="6">
        <v>141.35</v>
      </c>
      <c r="BM7" s="31"/>
      <c r="BN7" s="31"/>
      <c r="BO7" s="31"/>
      <c r="BP7" s="31"/>
      <c r="BQ7" s="31"/>
      <c r="BR7" s="31"/>
    </row>
    <row r="8" spans="1:70" x14ac:dyDescent="0.3">
      <c r="A8" s="3">
        <v>7</v>
      </c>
      <c r="B8" s="44" t="s">
        <v>58</v>
      </c>
      <c r="C8" s="7" t="s">
        <v>13</v>
      </c>
      <c r="D8" s="38">
        <f t="shared" si="0"/>
        <v>10019.280000000002</v>
      </c>
      <c r="E8" s="8">
        <v>1669.88</v>
      </c>
      <c r="F8" s="8">
        <v>1669.88</v>
      </c>
      <c r="G8" s="8">
        <v>1669.88</v>
      </c>
      <c r="H8" s="8">
        <v>1669.88</v>
      </c>
      <c r="I8" s="8">
        <v>1669.88</v>
      </c>
      <c r="J8" s="8">
        <v>1669.88</v>
      </c>
      <c r="K8" s="30"/>
      <c r="L8" s="30"/>
      <c r="M8" s="30"/>
      <c r="N8" s="30"/>
      <c r="O8" s="30"/>
      <c r="P8" s="30"/>
      <c r="Q8" s="7" t="s">
        <v>13</v>
      </c>
      <c r="R8" s="38">
        <f t="shared" si="1"/>
        <v>445.02000000000004</v>
      </c>
      <c r="S8" s="8">
        <v>74.17</v>
      </c>
      <c r="T8" s="8">
        <v>74.17</v>
      </c>
      <c r="U8" s="8">
        <v>74.17</v>
      </c>
      <c r="V8" s="8">
        <v>74.17</v>
      </c>
      <c r="W8" s="8">
        <v>74.17</v>
      </c>
      <c r="X8" s="8">
        <v>74.17</v>
      </c>
      <c r="Y8" s="30"/>
      <c r="Z8" s="30"/>
      <c r="AA8" s="30"/>
      <c r="AB8" s="30"/>
      <c r="AC8" s="30"/>
      <c r="AD8" s="30"/>
      <c r="AE8" s="7" t="s">
        <v>13</v>
      </c>
      <c r="AF8" s="38">
        <f t="shared" si="2"/>
        <v>120.41999999999999</v>
      </c>
      <c r="AG8" s="8">
        <v>20.07</v>
      </c>
      <c r="AH8" s="8">
        <v>20.07</v>
      </c>
      <c r="AI8" s="8">
        <v>20.07</v>
      </c>
      <c r="AJ8" s="8">
        <v>20.07</v>
      </c>
      <c r="AK8" s="8">
        <v>20.07</v>
      </c>
      <c r="AL8" s="8">
        <v>20.07</v>
      </c>
      <c r="AM8" s="30"/>
      <c r="AN8" s="30"/>
      <c r="AO8" s="30"/>
      <c r="AP8" s="30"/>
      <c r="AQ8" s="30"/>
      <c r="AR8" s="30"/>
      <c r="AS8" s="38">
        <f t="shared" si="3"/>
        <v>124.2</v>
      </c>
      <c r="AT8" s="6">
        <v>20.7</v>
      </c>
      <c r="AU8" s="6">
        <v>20.7</v>
      </c>
      <c r="AV8" s="6">
        <v>20.7</v>
      </c>
      <c r="AW8" s="6">
        <v>20.7</v>
      </c>
      <c r="AX8" s="6">
        <v>20.7</v>
      </c>
      <c r="AY8" s="6">
        <v>20.7</v>
      </c>
      <c r="AZ8" s="31"/>
      <c r="BA8" s="31"/>
      <c r="BB8" s="31"/>
      <c r="BC8" s="31"/>
      <c r="BD8" s="31"/>
      <c r="BE8" s="31"/>
      <c r="BF8" s="38">
        <f t="shared" si="4"/>
        <v>439.91999999999996</v>
      </c>
      <c r="BG8" s="19">
        <v>73.319999999999993</v>
      </c>
      <c r="BH8" s="19">
        <v>73.319999999999993</v>
      </c>
      <c r="BI8" s="19">
        <v>73.319999999999993</v>
      </c>
      <c r="BJ8" s="19">
        <v>73.319999999999993</v>
      </c>
      <c r="BK8" s="19">
        <v>73.319999999999993</v>
      </c>
      <c r="BL8" s="19">
        <v>73.319999999999993</v>
      </c>
      <c r="BM8" s="32"/>
      <c r="BN8" s="32"/>
      <c r="BO8" s="32"/>
      <c r="BP8" s="32"/>
      <c r="BQ8" s="32"/>
      <c r="BR8" s="32"/>
    </row>
    <row r="9" spans="1:70" x14ac:dyDescent="0.3">
      <c r="A9" s="3">
        <v>8</v>
      </c>
      <c r="B9" s="44" t="s">
        <v>73</v>
      </c>
      <c r="C9" s="7" t="s">
        <v>15</v>
      </c>
      <c r="D9" s="38">
        <f t="shared" si="0"/>
        <v>5671.0199999999995</v>
      </c>
      <c r="E9" s="8">
        <v>945.17</v>
      </c>
      <c r="F9" s="8">
        <v>945.17</v>
      </c>
      <c r="G9" s="8">
        <v>945.17</v>
      </c>
      <c r="H9" s="8">
        <v>945.17</v>
      </c>
      <c r="I9" s="8">
        <v>945.17</v>
      </c>
      <c r="J9" s="8">
        <v>945.17</v>
      </c>
      <c r="K9" s="30"/>
      <c r="L9" s="30"/>
      <c r="M9" s="30"/>
      <c r="N9" s="30"/>
      <c r="O9" s="30"/>
      <c r="P9" s="30"/>
      <c r="Q9" s="7" t="s">
        <v>15</v>
      </c>
      <c r="R9" s="38">
        <f t="shared" si="1"/>
        <v>286.62</v>
      </c>
      <c r="S9" s="8">
        <v>47.77</v>
      </c>
      <c r="T9" s="8">
        <v>47.77</v>
      </c>
      <c r="U9" s="8">
        <v>47.77</v>
      </c>
      <c r="V9" s="8">
        <v>47.77</v>
      </c>
      <c r="W9" s="8">
        <v>47.77</v>
      </c>
      <c r="X9" s="8">
        <v>47.77</v>
      </c>
      <c r="Y9" s="30"/>
      <c r="Z9" s="30"/>
      <c r="AA9" s="30"/>
      <c r="AB9" s="30"/>
      <c r="AC9" s="30"/>
      <c r="AD9" s="30"/>
      <c r="AE9" s="7" t="s">
        <v>15</v>
      </c>
      <c r="AF9" s="38">
        <f t="shared" si="2"/>
        <v>75.36</v>
      </c>
      <c r="AG9" s="8">
        <v>12.56</v>
      </c>
      <c r="AH9" s="8">
        <v>12.56</v>
      </c>
      <c r="AI9" s="8">
        <v>12.56</v>
      </c>
      <c r="AJ9" s="8">
        <v>12.56</v>
      </c>
      <c r="AK9" s="8">
        <v>12.56</v>
      </c>
      <c r="AL9" s="8">
        <v>12.56</v>
      </c>
      <c r="AM9" s="30"/>
      <c r="AN9" s="30"/>
      <c r="AO9" s="30"/>
      <c r="AP9" s="30"/>
      <c r="AQ9" s="30"/>
      <c r="AR9" s="30"/>
      <c r="AS9" s="38">
        <f t="shared" si="3"/>
        <v>198.6</v>
      </c>
      <c r="AT9" s="6">
        <v>33.1</v>
      </c>
      <c r="AU9" s="6">
        <v>33.1</v>
      </c>
      <c r="AV9" s="6">
        <v>33.1</v>
      </c>
      <c r="AW9" s="6">
        <v>33.1</v>
      </c>
      <c r="AX9" s="6">
        <v>33.1</v>
      </c>
      <c r="AY9" s="6">
        <v>33.1</v>
      </c>
      <c r="AZ9" s="31"/>
      <c r="BA9" s="31"/>
      <c r="BB9" s="31"/>
      <c r="BC9" s="31"/>
      <c r="BD9" s="31"/>
      <c r="BE9" s="31"/>
      <c r="BF9" s="38">
        <f t="shared" si="4"/>
        <v>266.33999999999997</v>
      </c>
      <c r="BG9" s="6">
        <v>44.39</v>
      </c>
      <c r="BH9" s="6">
        <v>44.39</v>
      </c>
      <c r="BI9" s="6">
        <v>44.39</v>
      </c>
      <c r="BJ9" s="6">
        <v>44.39</v>
      </c>
      <c r="BK9" s="6">
        <v>44.39</v>
      </c>
      <c r="BL9" s="6">
        <v>44.39</v>
      </c>
      <c r="BM9" s="31"/>
      <c r="BN9" s="31"/>
      <c r="BO9" s="31"/>
      <c r="BP9" s="31"/>
      <c r="BQ9" s="31"/>
      <c r="BR9" s="31"/>
    </row>
    <row r="10" spans="1:70" x14ac:dyDescent="0.3">
      <c r="A10" s="3">
        <v>9</v>
      </c>
      <c r="B10" s="44" t="s">
        <v>70</v>
      </c>
      <c r="C10" s="7" t="s">
        <v>16</v>
      </c>
      <c r="D10" s="38">
        <f t="shared" si="0"/>
        <v>3186.24</v>
      </c>
      <c r="E10" s="8">
        <v>531.04</v>
      </c>
      <c r="F10" s="8">
        <v>531.04</v>
      </c>
      <c r="G10" s="8">
        <v>531.04</v>
      </c>
      <c r="H10" s="8">
        <v>531.04</v>
      </c>
      <c r="I10" s="8">
        <v>531.04</v>
      </c>
      <c r="J10" s="8">
        <v>531.04</v>
      </c>
      <c r="K10" s="30"/>
      <c r="L10" s="30"/>
      <c r="M10" s="30"/>
      <c r="N10" s="30"/>
      <c r="O10" s="30"/>
      <c r="P10" s="30"/>
      <c r="Q10" s="7" t="s">
        <v>16</v>
      </c>
      <c r="R10" s="38">
        <f t="shared" si="1"/>
        <v>139.80000000000001</v>
      </c>
      <c r="S10" s="8">
        <v>23.3</v>
      </c>
      <c r="T10" s="8">
        <v>23.3</v>
      </c>
      <c r="U10" s="8">
        <v>23.3</v>
      </c>
      <c r="V10" s="8">
        <v>23.3</v>
      </c>
      <c r="W10" s="8">
        <v>23.3</v>
      </c>
      <c r="X10" s="8">
        <v>23.3</v>
      </c>
      <c r="Y10" s="30"/>
      <c r="Z10" s="30"/>
      <c r="AA10" s="30"/>
      <c r="AB10" s="30"/>
      <c r="AC10" s="30"/>
      <c r="AD10" s="30"/>
      <c r="AE10" s="7" t="s">
        <v>16</v>
      </c>
      <c r="AF10" s="38">
        <f t="shared" si="2"/>
        <v>35.22</v>
      </c>
      <c r="AG10" s="8">
        <v>5.87</v>
      </c>
      <c r="AH10" s="8">
        <v>5.87</v>
      </c>
      <c r="AI10" s="8">
        <v>5.87</v>
      </c>
      <c r="AJ10" s="8">
        <v>5.87</v>
      </c>
      <c r="AK10" s="8">
        <v>5.87</v>
      </c>
      <c r="AL10" s="8">
        <v>5.87</v>
      </c>
      <c r="AM10" s="30"/>
      <c r="AN10" s="30"/>
      <c r="AO10" s="30"/>
      <c r="AP10" s="30"/>
      <c r="AQ10" s="30"/>
      <c r="AR10" s="30"/>
      <c r="AS10" s="38">
        <f t="shared" si="3"/>
        <v>61.2</v>
      </c>
      <c r="AT10" s="6">
        <v>10.199999999999999</v>
      </c>
      <c r="AU10" s="6">
        <v>10.199999999999999</v>
      </c>
      <c r="AV10" s="6">
        <v>10.199999999999999</v>
      </c>
      <c r="AW10" s="6">
        <v>10.199999999999999</v>
      </c>
      <c r="AX10" s="6">
        <v>10.199999999999999</v>
      </c>
      <c r="AY10" s="6">
        <v>10.199999999999999</v>
      </c>
      <c r="AZ10" s="31"/>
      <c r="BA10" s="31"/>
      <c r="BB10" s="31"/>
      <c r="BC10" s="31"/>
      <c r="BD10" s="31"/>
      <c r="BE10" s="31"/>
      <c r="BF10" s="38">
        <f t="shared" si="4"/>
        <v>323.7</v>
      </c>
      <c r="BG10" s="19">
        <v>53.95</v>
      </c>
      <c r="BH10" s="19">
        <v>53.95</v>
      </c>
      <c r="BI10" s="19">
        <v>53.95</v>
      </c>
      <c r="BJ10" s="19">
        <v>53.95</v>
      </c>
      <c r="BK10" s="19">
        <v>53.95</v>
      </c>
      <c r="BL10" s="19">
        <v>53.95</v>
      </c>
      <c r="BM10" s="32"/>
      <c r="BN10" s="32"/>
      <c r="BO10" s="32"/>
      <c r="BP10" s="32"/>
      <c r="BQ10" s="32"/>
      <c r="BR10" s="32"/>
    </row>
    <row r="11" spans="1:70" x14ac:dyDescent="0.3">
      <c r="A11" s="3">
        <v>10</v>
      </c>
      <c r="B11" s="44" t="s">
        <v>71</v>
      </c>
      <c r="C11" s="9" t="s">
        <v>18</v>
      </c>
      <c r="D11" s="38">
        <f t="shared" si="0"/>
        <v>6602.76</v>
      </c>
      <c r="E11" s="8">
        <v>1100.46</v>
      </c>
      <c r="F11" s="8">
        <v>1100.46</v>
      </c>
      <c r="G11" s="8">
        <v>1100.46</v>
      </c>
      <c r="H11" s="8">
        <v>1100.46</v>
      </c>
      <c r="I11" s="8">
        <v>1100.46</v>
      </c>
      <c r="J11" s="8">
        <v>1100.46</v>
      </c>
      <c r="K11" s="30"/>
      <c r="L11" s="30"/>
      <c r="M11" s="30"/>
      <c r="N11" s="30"/>
      <c r="O11" s="30"/>
      <c r="P11" s="30"/>
      <c r="Q11" s="7" t="s">
        <v>13</v>
      </c>
      <c r="R11" s="38">
        <f t="shared" si="1"/>
        <v>445.02000000000004</v>
      </c>
      <c r="S11" s="8">
        <v>74.17</v>
      </c>
      <c r="T11" s="8">
        <v>74.17</v>
      </c>
      <c r="U11" s="8">
        <v>74.17</v>
      </c>
      <c r="V11" s="8">
        <v>74.17</v>
      </c>
      <c r="W11" s="8">
        <v>74.17</v>
      </c>
      <c r="X11" s="8">
        <v>74.17</v>
      </c>
      <c r="Y11" s="30"/>
      <c r="Z11" s="30"/>
      <c r="AA11" s="30"/>
      <c r="AB11" s="30"/>
      <c r="AC11" s="30"/>
      <c r="AD11" s="30"/>
      <c r="AE11" s="7" t="s">
        <v>13</v>
      </c>
      <c r="AF11" s="38">
        <f t="shared" si="2"/>
        <v>120.41999999999999</v>
      </c>
      <c r="AG11" s="8">
        <v>20.07</v>
      </c>
      <c r="AH11" s="8">
        <v>20.07</v>
      </c>
      <c r="AI11" s="8">
        <v>20.07</v>
      </c>
      <c r="AJ11" s="8">
        <v>20.07</v>
      </c>
      <c r="AK11" s="8">
        <v>20.07</v>
      </c>
      <c r="AL11" s="8">
        <v>20.07</v>
      </c>
      <c r="AM11" s="30"/>
      <c r="AN11" s="30"/>
      <c r="AO11" s="30"/>
      <c r="AP11" s="30"/>
      <c r="AQ11" s="30"/>
      <c r="AR11" s="30"/>
      <c r="AS11" s="38">
        <f t="shared" si="3"/>
        <v>198.6</v>
      </c>
      <c r="AT11" s="6">
        <v>33.1</v>
      </c>
      <c r="AU11" s="6">
        <v>33.1</v>
      </c>
      <c r="AV11" s="6">
        <v>33.1</v>
      </c>
      <c r="AW11" s="6">
        <v>33.1</v>
      </c>
      <c r="AX11" s="6">
        <v>33.1</v>
      </c>
      <c r="AY11" s="6">
        <v>33.1</v>
      </c>
      <c r="AZ11" s="31"/>
      <c r="BA11" s="31"/>
      <c r="BB11" s="31"/>
      <c r="BC11" s="31"/>
      <c r="BD11" s="31"/>
      <c r="BE11" s="31"/>
      <c r="BF11" s="38">
        <f t="shared" si="4"/>
        <v>401.94</v>
      </c>
      <c r="BG11" s="6">
        <v>66.989999999999995</v>
      </c>
      <c r="BH11" s="6">
        <v>66.989999999999995</v>
      </c>
      <c r="BI11" s="6">
        <v>66.989999999999995</v>
      </c>
      <c r="BJ11" s="6">
        <v>66.989999999999995</v>
      </c>
      <c r="BK11" s="6">
        <v>66.989999999999995</v>
      </c>
      <c r="BL11" s="6">
        <v>66.989999999999995</v>
      </c>
      <c r="BM11" s="31"/>
      <c r="BN11" s="31"/>
      <c r="BO11" s="31"/>
      <c r="BP11" s="31"/>
      <c r="BQ11" s="31"/>
      <c r="BR11" s="31"/>
    </row>
    <row r="12" spans="1:70" x14ac:dyDescent="0.3">
      <c r="A12" s="3">
        <v>11</v>
      </c>
      <c r="B12" s="44" t="s">
        <v>65</v>
      </c>
      <c r="C12" s="7" t="s">
        <v>13</v>
      </c>
      <c r="D12" s="38">
        <f t="shared" si="0"/>
        <v>10019.280000000002</v>
      </c>
      <c r="E12" s="8">
        <v>1669.88</v>
      </c>
      <c r="F12" s="8">
        <v>1669.88</v>
      </c>
      <c r="G12" s="8">
        <v>1669.88</v>
      </c>
      <c r="H12" s="8">
        <v>1669.88</v>
      </c>
      <c r="I12" s="8">
        <v>1669.88</v>
      </c>
      <c r="J12" s="8">
        <v>1669.88</v>
      </c>
      <c r="K12" s="30"/>
      <c r="L12" s="30"/>
      <c r="M12" s="30"/>
      <c r="N12" s="30"/>
      <c r="O12" s="30"/>
      <c r="P12" s="30"/>
      <c r="Q12" s="7" t="s">
        <v>13</v>
      </c>
      <c r="R12" s="38">
        <f t="shared" si="1"/>
        <v>445.02000000000004</v>
      </c>
      <c r="S12" s="8">
        <v>74.17</v>
      </c>
      <c r="T12" s="8">
        <v>74.17</v>
      </c>
      <c r="U12" s="8">
        <v>74.17</v>
      </c>
      <c r="V12" s="8">
        <v>74.17</v>
      </c>
      <c r="W12" s="8">
        <v>74.17</v>
      </c>
      <c r="X12" s="8">
        <v>74.17</v>
      </c>
      <c r="Y12" s="30"/>
      <c r="Z12" s="30"/>
      <c r="AA12" s="30"/>
      <c r="AB12" s="30"/>
      <c r="AC12" s="30"/>
      <c r="AD12" s="30"/>
      <c r="AE12" s="7" t="s">
        <v>13</v>
      </c>
      <c r="AF12" s="38">
        <f t="shared" si="2"/>
        <v>120.41999999999999</v>
      </c>
      <c r="AG12" s="8">
        <v>20.07</v>
      </c>
      <c r="AH12" s="8">
        <v>20.07</v>
      </c>
      <c r="AI12" s="8">
        <v>20.07</v>
      </c>
      <c r="AJ12" s="8">
        <v>20.07</v>
      </c>
      <c r="AK12" s="8">
        <v>20.07</v>
      </c>
      <c r="AL12" s="8">
        <v>20.07</v>
      </c>
      <c r="AM12" s="30"/>
      <c r="AN12" s="30"/>
      <c r="AO12" s="30"/>
      <c r="AP12" s="30"/>
      <c r="AQ12" s="30"/>
      <c r="AR12" s="30"/>
      <c r="AS12" s="38">
        <f t="shared" si="3"/>
        <v>198.6</v>
      </c>
      <c r="AT12" s="6">
        <v>33.1</v>
      </c>
      <c r="AU12" s="6">
        <v>33.1</v>
      </c>
      <c r="AV12" s="6">
        <v>33.1</v>
      </c>
      <c r="AW12" s="6">
        <v>33.1</v>
      </c>
      <c r="AX12" s="6">
        <v>33.1</v>
      </c>
      <c r="AY12" s="6">
        <v>33.1</v>
      </c>
      <c r="AZ12" s="31"/>
      <c r="BA12" s="31"/>
      <c r="BB12" s="31"/>
      <c r="BC12" s="31"/>
      <c r="BD12" s="31"/>
      <c r="BE12" s="31"/>
      <c r="BF12" s="38">
        <f t="shared" si="4"/>
        <v>553.56000000000006</v>
      </c>
      <c r="BG12" s="19">
        <v>92.26</v>
      </c>
      <c r="BH12" s="19">
        <v>92.26</v>
      </c>
      <c r="BI12" s="19">
        <v>92.26</v>
      </c>
      <c r="BJ12" s="19">
        <v>92.26</v>
      </c>
      <c r="BK12" s="19">
        <v>92.26</v>
      </c>
      <c r="BL12" s="19">
        <v>92.26</v>
      </c>
      <c r="BM12" s="32"/>
      <c r="BN12" s="32"/>
      <c r="BO12" s="32"/>
      <c r="BP12" s="32"/>
      <c r="BQ12" s="32"/>
      <c r="BR12" s="32"/>
    </row>
    <row r="13" spans="1:70" x14ac:dyDescent="0.3">
      <c r="A13" s="3">
        <v>12</v>
      </c>
      <c r="B13" s="44" t="s">
        <v>64</v>
      </c>
      <c r="C13" s="7" t="s">
        <v>13</v>
      </c>
      <c r="D13" s="38">
        <f t="shared" si="0"/>
        <v>10019.280000000002</v>
      </c>
      <c r="E13" s="8">
        <v>1669.88</v>
      </c>
      <c r="F13" s="8">
        <v>1669.88</v>
      </c>
      <c r="G13" s="8">
        <v>1669.88</v>
      </c>
      <c r="H13" s="8">
        <v>1669.88</v>
      </c>
      <c r="I13" s="8">
        <v>1669.88</v>
      </c>
      <c r="J13" s="8">
        <v>1669.88</v>
      </c>
      <c r="K13" s="30"/>
      <c r="L13" s="30"/>
      <c r="M13" s="30"/>
      <c r="N13" s="30"/>
      <c r="O13" s="30"/>
      <c r="P13" s="30"/>
      <c r="Q13" s="7" t="s">
        <v>13</v>
      </c>
      <c r="R13" s="38">
        <f t="shared" si="1"/>
        <v>496.08000000000004</v>
      </c>
      <c r="S13" s="8">
        <v>82.68</v>
      </c>
      <c r="T13" s="8">
        <v>82.68</v>
      </c>
      <c r="U13" s="8">
        <v>82.68</v>
      </c>
      <c r="V13" s="8">
        <v>82.68</v>
      </c>
      <c r="W13" s="8">
        <v>82.68</v>
      </c>
      <c r="X13" s="8">
        <v>82.68</v>
      </c>
      <c r="Y13" s="30"/>
      <c r="Z13" s="30"/>
      <c r="AA13" s="30"/>
      <c r="AB13" s="30"/>
      <c r="AC13" s="30"/>
      <c r="AD13" s="30"/>
      <c r="AE13" s="7" t="s">
        <v>13</v>
      </c>
      <c r="AF13" s="38">
        <f t="shared" si="2"/>
        <v>120.41999999999999</v>
      </c>
      <c r="AG13" s="8">
        <v>20.07</v>
      </c>
      <c r="AH13" s="8">
        <v>20.07</v>
      </c>
      <c r="AI13" s="8">
        <v>20.07</v>
      </c>
      <c r="AJ13" s="8">
        <v>20.07</v>
      </c>
      <c r="AK13" s="8">
        <v>20.07</v>
      </c>
      <c r="AL13" s="8">
        <v>20.07</v>
      </c>
      <c r="AM13" s="30"/>
      <c r="AN13" s="30"/>
      <c r="AO13" s="30"/>
      <c r="AP13" s="30"/>
      <c r="AQ13" s="30"/>
      <c r="AR13" s="30"/>
      <c r="AS13" s="38">
        <f t="shared" si="3"/>
        <v>91.8</v>
      </c>
      <c r="AT13" s="6">
        <v>15.3</v>
      </c>
      <c r="AU13" s="6">
        <v>15.3</v>
      </c>
      <c r="AV13" s="6">
        <v>15.3</v>
      </c>
      <c r="AW13" s="6">
        <v>15.3</v>
      </c>
      <c r="AX13" s="6">
        <v>15.3</v>
      </c>
      <c r="AY13" s="6">
        <v>15.3</v>
      </c>
      <c r="AZ13" s="31"/>
      <c r="BA13" s="31"/>
      <c r="BB13" s="31"/>
      <c r="BC13" s="31"/>
      <c r="BD13" s="31"/>
      <c r="BE13" s="31"/>
      <c r="BF13" s="38">
        <f t="shared" si="4"/>
        <v>597.24</v>
      </c>
      <c r="BG13" s="19">
        <v>99.54</v>
      </c>
      <c r="BH13" s="19">
        <v>99.54</v>
      </c>
      <c r="BI13" s="19">
        <v>99.54</v>
      </c>
      <c r="BJ13" s="19">
        <v>99.54</v>
      </c>
      <c r="BK13" s="19">
        <v>99.54</v>
      </c>
      <c r="BL13" s="19">
        <v>99.54</v>
      </c>
      <c r="BM13" s="32"/>
      <c r="BN13" s="32"/>
      <c r="BO13" s="32"/>
      <c r="BP13" s="32"/>
      <c r="BQ13" s="32"/>
      <c r="BR13" s="32"/>
    </row>
    <row r="14" spans="1:70" x14ac:dyDescent="0.3">
      <c r="A14" s="3">
        <v>13</v>
      </c>
      <c r="B14" s="44" t="s">
        <v>67</v>
      </c>
      <c r="C14" s="9" t="s">
        <v>20</v>
      </c>
      <c r="D14" s="38">
        <f t="shared" si="0"/>
        <v>4878.12</v>
      </c>
      <c r="E14" s="8">
        <v>813.02</v>
      </c>
      <c r="F14" s="8">
        <v>813.02</v>
      </c>
      <c r="G14" s="8">
        <v>813.02</v>
      </c>
      <c r="H14" s="8">
        <v>813.02</v>
      </c>
      <c r="I14" s="8">
        <v>813.02</v>
      </c>
      <c r="J14" s="8">
        <v>813.02</v>
      </c>
      <c r="K14" s="30"/>
      <c r="L14" s="30"/>
      <c r="M14" s="30"/>
      <c r="N14" s="30"/>
      <c r="O14" s="30"/>
      <c r="P14" s="30"/>
      <c r="Q14" s="7" t="s">
        <v>18</v>
      </c>
      <c r="R14" s="38">
        <f t="shared" si="1"/>
        <v>276.89999999999998</v>
      </c>
      <c r="S14" s="8">
        <v>46.15</v>
      </c>
      <c r="T14" s="8">
        <v>46.15</v>
      </c>
      <c r="U14" s="8">
        <v>46.15</v>
      </c>
      <c r="V14" s="8">
        <v>46.15</v>
      </c>
      <c r="W14" s="8">
        <v>46.15</v>
      </c>
      <c r="X14" s="8">
        <v>46.15</v>
      </c>
      <c r="Y14" s="30"/>
      <c r="Z14" s="30"/>
      <c r="AA14" s="30"/>
      <c r="AB14" s="30"/>
      <c r="AC14" s="30"/>
      <c r="AD14" s="30"/>
      <c r="AE14" s="7" t="s">
        <v>18</v>
      </c>
      <c r="AF14" s="38">
        <f t="shared" si="2"/>
        <v>70.44</v>
      </c>
      <c r="AG14" s="8">
        <v>11.74</v>
      </c>
      <c r="AH14" s="8">
        <v>11.74</v>
      </c>
      <c r="AI14" s="8">
        <v>11.74</v>
      </c>
      <c r="AJ14" s="8">
        <v>11.74</v>
      </c>
      <c r="AK14" s="8">
        <v>11.74</v>
      </c>
      <c r="AL14" s="8">
        <v>11.74</v>
      </c>
      <c r="AM14" s="30"/>
      <c r="AN14" s="30"/>
      <c r="AO14" s="30"/>
      <c r="AP14" s="30"/>
      <c r="AQ14" s="30"/>
      <c r="AR14" s="30"/>
      <c r="AS14" s="38">
        <f t="shared" si="3"/>
        <v>314.39999999999998</v>
      </c>
      <c r="AT14" s="6">
        <v>52.4</v>
      </c>
      <c r="AU14" s="6">
        <v>52.4</v>
      </c>
      <c r="AV14" s="6">
        <v>52.4</v>
      </c>
      <c r="AW14" s="6">
        <v>52.4</v>
      </c>
      <c r="AX14" s="6">
        <v>52.4</v>
      </c>
      <c r="AY14" s="6">
        <v>52.4</v>
      </c>
      <c r="AZ14" s="31"/>
      <c r="BA14" s="31"/>
      <c r="BB14" s="31"/>
      <c r="BC14" s="31"/>
      <c r="BD14" s="31"/>
      <c r="BE14" s="31"/>
      <c r="BF14" s="38">
        <f t="shared" si="4"/>
        <v>218.4</v>
      </c>
      <c r="BG14" s="19">
        <v>36.4</v>
      </c>
      <c r="BH14" s="19">
        <v>36.4</v>
      </c>
      <c r="BI14" s="19">
        <v>36.4</v>
      </c>
      <c r="BJ14" s="19">
        <v>36.4</v>
      </c>
      <c r="BK14" s="19">
        <v>36.4</v>
      </c>
      <c r="BL14" s="19">
        <v>36.4</v>
      </c>
      <c r="BM14" s="32"/>
      <c r="BN14" s="32"/>
      <c r="BO14" s="32"/>
      <c r="BP14" s="32"/>
      <c r="BQ14" s="32"/>
      <c r="BR14" s="32"/>
    </row>
    <row r="15" spans="1:70" x14ac:dyDescent="0.3">
      <c r="A15" s="3">
        <v>14</v>
      </c>
      <c r="B15" s="44" t="s">
        <v>55</v>
      </c>
      <c r="C15" s="7" t="s">
        <v>13</v>
      </c>
      <c r="D15" s="38">
        <f t="shared" si="0"/>
        <v>10019.280000000002</v>
      </c>
      <c r="E15" s="8">
        <v>1669.88</v>
      </c>
      <c r="F15" s="8">
        <v>1669.88</v>
      </c>
      <c r="G15" s="8">
        <v>1669.88</v>
      </c>
      <c r="H15" s="8">
        <v>1669.88</v>
      </c>
      <c r="I15" s="8">
        <v>1669.88</v>
      </c>
      <c r="J15" s="8">
        <v>1669.88</v>
      </c>
      <c r="K15" s="30"/>
      <c r="L15" s="30"/>
      <c r="M15" s="30"/>
      <c r="N15" s="30"/>
      <c r="O15" s="30"/>
      <c r="P15" s="30"/>
      <c r="Q15" s="7" t="s">
        <v>13</v>
      </c>
      <c r="R15" s="38">
        <f t="shared" si="1"/>
        <v>445.02000000000004</v>
      </c>
      <c r="S15" s="8">
        <v>74.17</v>
      </c>
      <c r="T15" s="8">
        <v>74.17</v>
      </c>
      <c r="U15" s="8">
        <v>74.17</v>
      </c>
      <c r="V15" s="8">
        <v>74.17</v>
      </c>
      <c r="W15" s="8">
        <v>74.17</v>
      </c>
      <c r="X15" s="8">
        <v>74.17</v>
      </c>
      <c r="Y15" s="30"/>
      <c r="Z15" s="30"/>
      <c r="AA15" s="30"/>
      <c r="AB15" s="30"/>
      <c r="AC15" s="30"/>
      <c r="AD15" s="30"/>
      <c r="AE15" s="7" t="s">
        <v>13</v>
      </c>
      <c r="AF15" s="38">
        <f t="shared" si="2"/>
        <v>120.41999999999999</v>
      </c>
      <c r="AG15" s="8">
        <v>20.07</v>
      </c>
      <c r="AH15" s="8">
        <v>20.07</v>
      </c>
      <c r="AI15" s="8">
        <v>20.07</v>
      </c>
      <c r="AJ15" s="8">
        <v>20.07</v>
      </c>
      <c r="AK15" s="8">
        <v>20.07</v>
      </c>
      <c r="AL15" s="8">
        <v>20.07</v>
      </c>
      <c r="AM15" s="30"/>
      <c r="AN15" s="30"/>
      <c r="AO15" s="30"/>
      <c r="AP15" s="30"/>
      <c r="AQ15" s="30"/>
      <c r="AR15" s="30"/>
      <c r="AS15" s="38">
        <f t="shared" si="3"/>
        <v>124.2</v>
      </c>
      <c r="AT15" s="6">
        <v>20.7</v>
      </c>
      <c r="AU15" s="6">
        <v>20.7</v>
      </c>
      <c r="AV15" s="6">
        <v>20.7</v>
      </c>
      <c r="AW15" s="6">
        <v>20.7</v>
      </c>
      <c r="AX15" s="6">
        <v>20.7</v>
      </c>
      <c r="AY15" s="6">
        <v>20.7</v>
      </c>
      <c r="AZ15" s="31"/>
      <c r="BA15" s="31"/>
      <c r="BB15" s="31"/>
      <c r="BC15" s="31"/>
      <c r="BD15" s="31"/>
      <c r="BE15" s="31"/>
      <c r="BF15" s="38">
        <f t="shared" si="4"/>
        <v>255.18</v>
      </c>
      <c r="BG15" s="6">
        <v>42.53</v>
      </c>
      <c r="BH15" s="6">
        <v>42.53</v>
      </c>
      <c r="BI15" s="6">
        <v>42.53</v>
      </c>
      <c r="BJ15" s="6">
        <v>42.53</v>
      </c>
      <c r="BK15" s="6">
        <v>42.53</v>
      </c>
      <c r="BL15" s="6">
        <v>42.53</v>
      </c>
      <c r="BM15" s="31"/>
      <c r="BN15" s="31"/>
      <c r="BO15" s="31"/>
      <c r="BP15" s="31"/>
      <c r="BQ15" s="31"/>
      <c r="BR15" s="31"/>
    </row>
    <row r="16" spans="1:70" x14ac:dyDescent="0.3">
      <c r="A16" s="3">
        <v>15</v>
      </c>
      <c r="B16" s="44" t="s">
        <v>60</v>
      </c>
      <c r="C16" s="9" t="s">
        <v>18</v>
      </c>
      <c r="D16" s="38">
        <f t="shared" si="0"/>
        <v>6602.76</v>
      </c>
      <c r="E16" s="8">
        <v>1100.46</v>
      </c>
      <c r="F16" s="8">
        <v>1100.46</v>
      </c>
      <c r="G16" s="8">
        <v>1100.46</v>
      </c>
      <c r="H16" s="8">
        <v>1100.46</v>
      </c>
      <c r="I16" s="8">
        <v>1100.46</v>
      </c>
      <c r="J16" s="8">
        <v>1100.46</v>
      </c>
      <c r="K16" s="30"/>
      <c r="L16" s="30"/>
      <c r="M16" s="30"/>
      <c r="N16" s="30"/>
      <c r="O16" s="30"/>
      <c r="P16" s="30"/>
      <c r="Q16" s="9" t="s">
        <v>18</v>
      </c>
      <c r="R16" s="38">
        <f t="shared" si="1"/>
        <v>276.89999999999998</v>
      </c>
      <c r="S16" s="8">
        <v>46.15</v>
      </c>
      <c r="T16" s="8">
        <v>46.15</v>
      </c>
      <c r="U16" s="8">
        <v>46.15</v>
      </c>
      <c r="V16" s="8">
        <v>46.15</v>
      </c>
      <c r="W16" s="8">
        <v>46.15</v>
      </c>
      <c r="X16" s="8">
        <v>46.15</v>
      </c>
      <c r="Y16" s="30"/>
      <c r="Z16" s="30"/>
      <c r="AA16" s="30"/>
      <c r="AB16" s="30"/>
      <c r="AC16" s="30"/>
      <c r="AD16" s="30"/>
      <c r="AE16" s="9" t="s">
        <v>18</v>
      </c>
      <c r="AF16" s="38">
        <f t="shared" si="2"/>
        <v>70.44</v>
      </c>
      <c r="AG16" s="8">
        <v>11.74</v>
      </c>
      <c r="AH16" s="8">
        <v>11.74</v>
      </c>
      <c r="AI16" s="8">
        <v>11.74</v>
      </c>
      <c r="AJ16" s="8">
        <v>11.74</v>
      </c>
      <c r="AK16" s="8">
        <v>11.74</v>
      </c>
      <c r="AL16" s="8">
        <v>11.74</v>
      </c>
      <c r="AM16" s="30"/>
      <c r="AN16" s="30"/>
      <c r="AO16" s="30"/>
      <c r="AP16" s="30"/>
      <c r="AQ16" s="30"/>
      <c r="AR16" s="30"/>
      <c r="AS16" s="38">
        <f t="shared" si="3"/>
        <v>314.39999999999998</v>
      </c>
      <c r="AT16" s="6">
        <v>52.4</v>
      </c>
      <c r="AU16" s="6">
        <v>52.4</v>
      </c>
      <c r="AV16" s="6">
        <v>52.4</v>
      </c>
      <c r="AW16" s="6">
        <v>52.4</v>
      </c>
      <c r="AX16" s="6">
        <v>52.4</v>
      </c>
      <c r="AY16" s="6">
        <v>52.4</v>
      </c>
      <c r="AZ16" s="31"/>
      <c r="BA16" s="31"/>
      <c r="BB16" s="31"/>
      <c r="BC16" s="31"/>
      <c r="BD16" s="31"/>
      <c r="BE16" s="31"/>
      <c r="BF16" s="38">
        <f t="shared" si="4"/>
        <v>381.17999999999995</v>
      </c>
      <c r="BG16" s="19">
        <v>63.53</v>
      </c>
      <c r="BH16" s="19">
        <v>63.53</v>
      </c>
      <c r="BI16" s="19">
        <v>63.53</v>
      </c>
      <c r="BJ16" s="19">
        <v>63.53</v>
      </c>
      <c r="BK16" s="19">
        <v>63.53</v>
      </c>
      <c r="BL16" s="19">
        <v>63.53</v>
      </c>
      <c r="BM16" s="32"/>
      <c r="BN16" s="32"/>
      <c r="BO16" s="32"/>
      <c r="BP16" s="32"/>
      <c r="BQ16" s="32"/>
      <c r="BR16" s="32"/>
    </row>
    <row r="17" spans="1:70" x14ac:dyDescent="0.3">
      <c r="A17" s="3">
        <v>16</v>
      </c>
      <c r="B17" s="48" t="s">
        <v>54</v>
      </c>
      <c r="C17" s="7" t="s">
        <v>15</v>
      </c>
      <c r="D17" s="38">
        <f t="shared" si="0"/>
        <v>5671.0199999999995</v>
      </c>
      <c r="E17" s="8">
        <v>945.17</v>
      </c>
      <c r="F17" s="8">
        <v>945.17</v>
      </c>
      <c r="G17" s="8">
        <v>945.17</v>
      </c>
      <c r="H17" s="8">
        <v>945.17</v>
      </c>
      <c r="I17" s="8">
        <v>945.17</v>
      </c>
      <c r="J17" s="8">
        <v>945.17</v>
      </c>
      <c r="K17" s="30"/>
      <c r="L17" s="30"/>
      <c r="M17" s="30"/>
      <c r="N17" s="30"/>
      <c r="O17" s="30"/>
      <c r="P17" s="30"/>
      <c r="Q17" s="7" t="s">
        <v>15</v>
      </c>
      <c r="R17" s="38">
        <f t="shared" si="1"/>
        <v>286.62</v>
      </c>
      <c r="S17" s="8">
        <v>47.77</v>
      </c>
      <c r="T17" s="8">
        <v>47.77</v>
      </c>
      <c r="U17" s="8">
        <v>47.77</v>
      </c>
      <c r="V17" s="8">
        <v>47.77</v>
      </c>
      <c r="W17" s="8">
        <v>47.77</v>
      </c>
      <c r="X17" s="8">
        <v>47.77</v>
      </c>
      <c r="Y17" s="30"/>
      <c r="Z17" s="30"/>
      <c r="AA17" s="30"/>
      <c r="AB17" s="30"/>
      <c r="AC17" s="30"/>
      <c r="AD17" s="30"/>
      <c r="AE17" s="7" t="s">
        <v>15</v>
      </c>
      <c r="AF17" s="38">
        <f t="shared" si="2"/>
        <v>75.36</v>
      </c>
      <c r="AG17" s="8">
        <v>12.56</v>
      </c>
      <c r="AH17" s="8">
        <v>12.56</v>
      </c>
      <c r="AI17" s="8">
        <v>12.56</v>
      </c>
      <c r="AJ17" s="8">
        <v>12.56</v>
      </c>
      <c r="AK17" s="8">
        <v>12.56</v>
      </c>
      <c r="AL17" s="8">
        <v>12.56</v>
      </c>
      <c r="AM17" s="30"/>
      <c r="AN17" s="30"/>
      <c r="AO17" s="30"/>
      <c r="AP17" s="30"/>
      <c r="AQ17" s="30"/>
      <c r="AR17" s="30"/>
      <c r="AS17" s="38">
        <f t="shared" si="3"/>
        <v>67.2</v>
      </c>
      <c r="AT17" s="6">
        <v>11.2</v>
      </c>
      <c r="AU17" s="6">
        <v>11.2</v>
      </c>
      <c r="AV17" s="6">
        <v>11.2</v>
      </c>
      <c r="AW17" s="6">
        <v>11.2</v>
      </c>
      <c r="AX17" s="6">
        <v>11.2</v>
      </c>
      <c r="AY17" s="6">
        <v>11.2</v>
      </c>
      <c r="AZ17" s="31"/>
      <c r="BA17" s="31"/>
      <c r="BB17" s="31"/>
      <c r="BC17" s="31"/>
      <c r="BD17" s="31"/>
      <c r="BE17" s="31"/>
      <c r="BF17" s="38">
        <f t="shared" si="4"/>
        <v>236.33999999999997</v>
      </c>
      <c r="BG17" s="6">
        <v>39.39</v>
      </c>
      <c r="BH17" s="6">
        <v>39.39</v>
      </c>
      <c r="BI17" s="6">
        <v>39.39</v>
      </c>
      <c r="BJ17" s="6">
        <v>39.39</v>
      </c>
      <c r="BK17" s="6">
        <v>39.39</v>
      </c>
      <c r="BL17" s="6">
        <v>39.39</v>
      </c>
      <c r="BM17" s="31"/>
      <c r="BN17" s="31"/>
      <c r="BO17" s="31"/>
      <c r="BP17" s="31"/>
      <c r="BQ17" s="31"/>
      <c r="BR17" s="31"/>
    </row>
    <row r="18" spans="1:70" x14ac:dyDescent="0.3">
      <c r="A18" s="3">
        <v>17</v>
      </c>
      <c r="B18" s="44" t="s">
        <v>68</v>
      </c>
      <c r="C18" s="9" t="s">
        <v>21</v>
      </c>
      <c r="D18" s="38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30"/>
      <c r="L18" s="30"/>
      <c r="M18" s="30"/>
      <c r="N18" s="30"/>
      <c r="O18" s="30"/>
      <c r="P18" s="30"/>
      <c r="Q18" s="9" t="s">
        <v>21</v>
      </c>
      <c r="R18" s="38">
        <f t="shared" si="1"/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30"/>
      <c r="Z18" s="30"/>
      <c r="AA18" s="30"/>
      <c r="AB18" s="30"/>
      <c r="AC18" s="30"/>
      <c r="AD18" s="30"/>
      <c r="AE18" s="9" t="s">
        <v>21</v>
      </c>
      <c r="AF18" s="38">
        <f t="shared" si="2"/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30"/>
      <c r="AN18" s="30"/>
      <c r="AO18" s="30"/>
      <c r="AP18" s="30"/>
      <c r="AQ18" s="30"/>
      <c r="AR18" s="30"/>
      <c r="AS18" s="38">
        <f t="shared" si="3"/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31"/>
      <c r="BA18" s="31"/>
      <c r="BB18" s="31"/>
      <c r="BC18" s="31"/>
      <c r="BD18" s="31"/>
      <c r="BE18" s="31"/>
      <c r="BF18" s="38">
        <f t="shared" si="4"/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32"/>
      <c r="BN18" s="32"/>
      <c r="BO18" s="32"/>
      <c r="BP18" s="32"/>
      <c r="BQ18" s="32"/>
      <c r="BR18" s="32"/>
    </row>
    <row r="19" spans="1:70" x14ac:dyDescent="0.3">
      <c r="A19" s="3">
        <v>18</v>
      </c>
      <c r="B19" s="44" t="s">
        <v>62</v>
      </c>
      <c r="C19" s="9" t="s">
        <v>16</v>
      </c>
      <c r="D19" s="38">
        <f t="shared" si="0"/>
        <v>3186.24</v>
      </c>
      <c r="E19" s="8">
        <v>531.04</v>
      </c>
      <c r="F19" s="8">
        <v>531.04</v>
      </c>
      <c r="G19" s="8">
        <v>531.04</v>
      </c>
      <c r="H19" s="8">
        <v>531.04</v>
      </c>
      <c r="I19" s="8">
        <v>531.04</v>
      </c>
      <c r="J19" s="8">
        <v>531.04</v>
      </c>
      <c r="K19" s="30"/>
      <c r="L19" s="30"/>
      <c r="M19" s="30"/>
      <c r="N19" s="30"/>
      <c r="O19" s="30"/>
      <c r="P19" s="30"/>
      <c r="Q19" s="9" t="s">
        <v>16</v>
      </c>
      <c r="R19" s="38">
        <f t="shared" si="1"/>
        <v>139.80000000000001</v>
      </c>
      <c r="S19" s="8">
        <v>23.3</v>
      </c>
      <c r="T19" s="8">
        <v>23.3</v>
      </c>
      <c r="U19" s="8">
        <v>23.3</v>
      </c>
      <c r="V19" s="8">
        <v>23.3</v>
      </c>
      <c r="W19" s="8">
        <v>23.3</v>
      </c>
      <c r="X19" s="8">
        <v>23.3</v>
      </c>
      <c r="Y19" s="30"/>
      <c r="Z19" s="30"/>
      <c r="AA19" s="30"/>
      <c r="AB19" s="30"/>
      <c r="AC19" s="30"/>
      <c r="AD19" s="30"/>
      <c r="AE19" s="9" t="s">
        <v>16</v>
      </c>
      <c r="AF19" s="38">
        <f t="shared" si="2"/>
        <v>35.22</v>
      </c>
      <c r="AG19" s="8">
        <v>5.87</v>
      </c>
      <c r="AH19" s="8">
        <v>5.87</v>
      </c>
      <c r="AI19" s="8">
        <v>5.87</v>
      </c>
      <c r="AJ19" s="8">
        <v>5.87</v>
      </c>
      <c r="AK19" s="8">
        <v>5.87</v>
      </c>
      <c r="AL19" s="8">
        <v>5.87</v>
      </c>
      <c r="AM19" s="30"/>
      <c r="AN19" s="30"/>
      <c r="AO19" s="30"/>
      <c r="AP19" s="30"/>
      <c r="AQ19" s="30"/>
      <c r="AR19" s="30"/>
      <c r="AS19" s="38">
        <f t="shared" si="3"/>
        <v>60</v>
      </c>
      <c r="AT19" s="6">
        <v>10</v>
      </c>
      <c r="AU19" s="6">
        <v>10</v>
      </c>
      <c r="AV19" s="6">
        <v>10</v>
      </c>
      <c r="AW19" s="6">
        <v>10</v>
      </c>
      <c r="AX19" s="6">
        <v>10</v>
      </c>
      <c r="AY19" s="6">
        <v>10</v>
      </c>
      <c r="AZ19" s="31"/>
      <c r="BA19" s="31"/>
      <c r="BB19" s="31"/>
      <c r="BC19" s="31"/>
      <c r="BD19" s="31"/>
      <c r="BE19" s="31"/>
      <c r="BF19" s="38">
        <f t="shared" si="4"/>
        <v>233.45999999999998</v>
      </c>
      <c r="BG19" s="19">
        <v>38.909999999999997</v>
      </c>
      <c r="BH19" s="19">
        <v>38.909999999999997</v>
      </c>
      <c r="BI19" s="19">
        <v>38.909999999999997</v>
      </c>
      <c r="BJ19" s="19">
        <v>38.909999999999997</v>
      </c>
      <c r="BK19" s="19">
        <v>38.909999999999997</v>
      </c>
      <c r="BL19" s="19">
        <v>38.909999999999997</v>
      </c>
      <c r="BM19" s="32"/>
      <c r="BN19" s="32"/>
      <c r="BO19" s="32"/>
      <c r="BP19" s="32"/>
      <c r="BQ19" s="32"/>
      <c r="BR19" s="32"/>
    </row>
    <row r="20" spans="1:70" x14ac:dyDescent="0.3">
      <c r="A20" s="3">
        <v>19</v>
      </c>
      <c r="B20" s="44" t="s">
        <v>59</v>
      </c>
      <c r="C20" s="9" t="s">
        <v>16</v>
      </c>
      <c r="D20" s="38">
        <f t="shared" si="0"/>
        <v>3186.24</v>
      </c>
      <c r="E20" s="8">
        <v>531.04</v>
      </c>
      <c r="F20" s="8">
        <v>531.04</v>
      </c>
      <c r="G20" s="8">
        <v>531.04</v>
      </c>
      <c r="H20" s="8">
        <v>531.04</v>
      </c>
      <c r="I20" s="8">
        <v>531.04</v>
      </c>
      <c r="J20" s="8">
        <v>531.04</v>
      </c>
      <c r="K20" s="30"/>
      <c r="L20" s="30"/>
      <c r="M20" s="30"/>
      <c r="N20" s="30"/>
      <c r="O20" s="30"/>
      <c r="P20" s="30"/>
      <c r="Q20" s="9" t="s">
        <v>16</v>
      </c>
      <c r="R20" s="38">
        <f t="shared" si="1"/>
        <v>139.80000000000001</v>
      </c>
      <c r="S20" s="8">
        <v>23.3</v>
      </c>
      <c r="T20" s="8">
        <v>23.3</v>
      </c>
      <c r="U20" s="8">
        <v>23.3</v>
      </c>
      <c r="V20" s="8">
        <v>23.3</v>
      </c>
      <c r="W20" s="8">
        <v>23.3</v>
      </c>
      <c r="X20" s="8">
        <v>23.3</v>
      </c>
      <c r="Y20" s="30"/>
      <c r="Z20" s="30"/>
      <c r="AA20" s="30"/>
      <c r="AB20" s="30"/>
      <c r="AC20" s="30"/>
      <c r="AD20" s="30"/>
      <c r="AE20" s="9" t="s">
        <v>16</v>
      </c>
      <c r="AF20" s="38">
        <f t="shared" si="2"/>
        <v>35.22</v>
      </c>
      <c r="AG20" s="8">
        <v>5.87</v>
      </c>
      <c r="AH20" s="8">
        <v>5.87</v>
      </c>
      <c r="AI20" s="8">
        <v>5.87</v>
      </c>
      <c r="AJ20" s="8">
        <v>5.87</v>
      </c>
      <c r="AK20" s="8">
        <v>5.87</v>
      </c>
      <c r="AL20" s="8">
        <v>5.87</v>
      </c>
      <c r="AM20" s="30"/>
      <c r="AN20" s="30"/>
      <c r="AO20" s="30"/>
      <c r="AP20" s="30"/>
      <c r="AQ20" s="30"/>
      <c r="AR20" s="30"/>
      <c r="AS20" s="38">
        <f t="shared" si="3"/>
        <v>60</v>
      </c>
      <c r="AT20" s="6">
        <v>10</v>
      </c>
      <c r="AU20" s="6">
        <v>10</v>
      </c>
      <c r="AV20" s="6">
        <v>10</v>
      </c>
      <c r="AW20" s="6">
        <v>10</v>
      </c>
      <c r="AX20" s="6">
        <v>10</v>
      </c>
      <c r="AY20" s="6">
        <v>10</v>
      </c>
      <c r="AZ20" s="31"/>
      <c r="BA20" s="31"/>
      <c r="BB20" s="31"/>
      <c r="BC20" s="31"/>
      <c r="BD20" s="31"/>
      <c r="BE20" s="31"/>
      <c r="BF20" s="38">
        <f t="shared" si="4"/>
        <v>250.44000000000003</v>
      </c>
      <c r="BG20" s="19">
        <v>41.74</v>
      </c>
      <c r="BH20" s="19">
        <v>41.74</v>
      </c>
      <c r="BI20" s="19">
        <v>41.74</v>
      </c>
      <c r="BJ20" s="19">
        <v>41.74</v>
      </c>
      <c r="BK20" s="19">
        <v>41.74</v>
      </c>
      <c r="BL20" s="19">
        <v>41.74</v>
      </c>
      <c r="BM20" s="32"/>
      <c r="BN20" s="32"/>
      <c r="BO20" s="32"/>
      <c r="BP20" s="32"/>
      <c r="BQ20" s="32"/>
      <c r="BR20" s="32"/>
    </row>
    <row r="21" spans="1:70" x14ac:dyDescent="0.3">
      <c r="A21" s="3">
        <v>20</v>
      </c>
      <c r="B21" s="44" t="s">
        <v>61</v>
      </c>
      <c r="C21" s="9" t="s">
        <v>13</v>
      </c>
      <c r="D21" s="38">
        <f t="shared" si="0"/>
        <v>10019.280000000002</v>
      </c>
      <c r="E21" s="8">
        <v>1669.88</v>
      </c>
      <c r="F21" s="8">
        <v>1669.88</v>
      </c>
      <c r="G21" s="8">
        <v>1669.88</v>
      </c>
      <c r="H21" s="8">
        <v>1669.88</v>
      </c>
      <c r="I21" s="8">
        <v>1669.88</v>
      </c>
      <c r="J21" s="8">
        <v>1669.88</v>
      </c>
      <c r="K21" s="30"/>
      <c r="L21" s="30"/>
      <c r="M21" s="30"/>
      <c r="N21" s="30"/>
      <c r="O21" s="30"/>
      <c r="P21" s="30"/>
      <c r="Q21" s="9" t="s">
        <v>13</v>
      </c>
      <c r="R21" s="38">
        <f t="shared" si="1"/>
        <v>445.02000000000004</v>
      </c>
      <c r="S21" s="8">
        <v>74.17</v>
      </c>
      <c r="T21" s="8">
        <v>74.17</v>
      </c>
      <c r="U21" s="8">
        <v>74.17</v>
      </c>
      <c r="V21" s="8">
        <v>74.17</v>
      </c>
      <c r="W21" s="8">
        <v>74.17</v>
      </c>
      <c r="X21" s="8">
        <v>74.17</v>
      </c>
      <c r="Y21" s="30"/>
      <c r="Z21" s="30"/>
      <c r="AA21" s="30"/>
      <c r="AB21" s="30"/>
      <c r="AC21" s="30"/>
      <c r="AD21" s="30"/>
      <c r="AE21" s="9" t="s">
        <v>13</v>
      </c>
      <c r="AF21" s="38">
        <f t="shared" si="2"/>
        <v>120.41999999999999</v>
      </c>
      <c r="AG21" s="8">
        <v>20.07</v>
      </c>
      <c r="AH21" s="8">
        <v>20.07</v>
      </c>
      <c r="AI21" s="8">
        <v>20.07</v>
      </c>
      <c r="AJ21" s="8">
        <v>20.07</v>
      </c>
      <c r="AK21" s="8">
        <v>20.07</v>
      </c>
      <c r="AL21" s="8">
        <v>20.07</v>
      </c>
      <c r="AM21" s="30"/>
      <c r="AN21" s="30"/>
      <c r="AO21" s="30"/>
      <c r="AP21" s="30"/>
      <c r="AQ21" s="30"/>
      <c r="AR21" s="30"/>
      <c r="AS21" s="38">
        <f t="shared" si="3"/>
        <v>61.2</v>
      </c>
      <c r="AT21" s="6">
        <v>10.199999999999999</v>
      </c>
      <c r="AU21" s="6">
        <v>10.199999999999999</v>
      </c>
      <c r="AV21" s="6">
        <v>10.199999999999999</v>
      </c>
      <c r="AW21" s="6">
        <v>10.199999999999999</v>
      </c>
      <c r="AX21" s="6">
        <v>10.199999999999999</v>
      </c>
      <c r="AY21" s="6">
        <v>10.199999999999999</v>
      </c>
      <c r="AZ21" s="31"/>
      <c r="BA21" s="31"/>
      <c r="BB21" s="31"/>
      <c r="BC21" s="31"/>
      <c r="BD21" s="31"/>
      <c r="BE21" s="31"/>
      <c r="BF21" s="38">
        <f t="shared" si="4"/>
        <v>285.89999999999998</v>
      </c>
      <c r="BG21" s="19">
        <v>47.65</v>
      </c>
      <c r="BH21" s="19">
        <v>47.65</v>
      </c>
      <c r="BI21" s="19">
        <v>47.65</v>
      </c>
      <c r="BJ21" s="19">
        <v>47.65</v>
      </c>
      <c r="BK21" s="19">
        <v>47.65</v>
      </c>
      <c r="BL21" s="19">
        <v>47.65</v>
      </c>
      <c r="BM21" s="32"/>
      <c r="BN21" s="32"/>
      <c r="BO21" s="32"/>
      <c r="BP21" s="32"/>
      <c r="BQ21" s="32"/>
      <c r="BR21" s="32"/>
    </row>
    <row r="22" spans="1:70" x14ac:dyDescent="0.3">
      <c r="A22" s="3">
        <v>21</v>
      </c>
      <c r="B22" s="44" t="s">
        <v>56</v>
      </c>
      <c r="C22" s="9" t="s">
        <v>16</v>
      </c>
      <c r="D22" s="38">
        <f t="shared" si="0"/>
        <v>3186.24</v>
      </c>
      <c r="E22" s="8">
        <v>531.04</v>
      </c>
      <c r="F22" s="8">
        <v>531.04</v>
      </c>
      <c r="G22" s="8">
        <v>531.04</v>
      </c>
      <c r="H22" s="8">
        <v>531.04</v>
      </c>
      <c r="I22" s="8">
        <v>531.04</v>
      </c>
      <c r="J22" s="8">
        <v>531.04</v>
      </c>
      <c r="K22" s="30"/>
      <c r="L22" s="30"/>
      <c r="M22" s="30"/>
      <c r="N22" s="30"/>
      <c r="O22" s="30"/>
      <c r="P22" s="30"/>
      <c r="Q22" s="9" t="s">
        <v>16</v>
      </c>
      <c r="R22" s="38">
        <f t="shared" si="1"/>
        <v>139.80000000000001</v>
      </c>
      <c r="S22" s="8">
        <v>23.3</v>
      </c>
      <c r="T22" s="8">
        <v>23.3</v>
      </c>
      <c r="U22" s="8">
        <v>23.3</v>
      </c>
      <c r="V22" s="8">
        <v>23.3</v>
      </c>
      <c r="W22" s="8">
        <v>23.3</v>
      </c>
      <c r="X22" s="8">
        <v>23.3</v>
      </c>
      <c r="Y22" s="30"/>
      <c r="Z22" s="30"/>
      <c r="AA22" s="30"/>
      <c r="AB22" s="30"/>
      <c r="AC22" s="30"/>
      <c r="AD22" s="30"/>
      <c r="AE22" s="9" t="s">
        <v>16</v>
      </c>
      <c r="AF22" s="38">
        <f t="shared" si="2"/>
        <v>35.22</v>
      </c>
      <c r="AG22" s="8">
        <v>5.87</v>
      </c>
      <c r="AH22" s="8">
        <v>5.87</v>
      </c>
      <c r="AI22" s="8">
        <v>5.87</v>
      </c>
      <c r="AJ22" s="8">
        <v>5.87</v>
      </c>
      <c r="AK22" s="8">
        <v>5.87</v>
      </c>
      <c r="AL22" s="8">
        <v>5.87</v>
      </c>
      <c r="AM22" s="30"/>
      <c r="AN22" s="30"/>
      <c r="AO22" s="30"/>
      <c r="AP22" s="30"/>
      <c r="AQ22" s="30"/>
      <c r="AR22" s="30"/>
      <c r="AS22" s="38">
        <f t="shared" si="3"/>
        <v>60</v>
      </c>
      <c r="AT22" s="6">
        <v>10</v>
      </c>
      <c r="AU22" s="6">
        <v>10</v>
      </c>
      <c r="AV22" s="6">
        <v>10</v>
      </c>
      <c r="AW22" s="6">
        <v>10</v>
      </c>
      <c r="AX22" s="6">
        <v>10</v>
      </c>
      <c r="AY22" s="6">
        <v>10</v>
      </c>
      <c r="AZ22" s="31"/>
      <c r="BA22" s="31"/>
      <c r="BB22" s="31"/>
      <c r="BC22" s="31"/>
      <c r="BD22" s="31"/>
      <c r="BE22" s="31"/>
      <c r="BF22" s="38">
        <f t="shared" si="4"/>
        <v>198.42</v>
      </c>
      <c r="BG22" s="19">
        <v>33.07</v>
      </c>
      <c r="BH22" s="19">
        <v>33.07</v>
      </c>
      <c r="BI22" s="19">
        <v>33.07</v>
      </c>
      <c r="BJ22" s="19">
        <v>33.07</v>
      </c>
      <c r="BK22" s="19">
        <v>33.07</v>
      </c>
      <c r="BL22" s="19">
        <v>33.07</v>
      </c>
      <c r="BM22" s="32"/>
      <c r="BN22" s="32"/>
      <c r="BO22" s="32"/>
      <c r="BP22" s="32"/>
      <c r="BQ22" s="32"/>
      <c r="BR22" s="32"/>
    </row>
    <row r="23" spans="1:70" x14ac:dyDescent="0.3">
      <c r="A23" s="3">
        <v>22</v>
      </c>
      <c r="B23" s="44" t="s">
        <v>74</v>
      </c>
      <c r="C23" s="9" t="s">
        <v>16</v>
      </c>
      <c r="D23" s="38">
        <f t="shared" si="0"/>
        <v>3186.24</v>
      </c>
      <c r="E23" s="8">
        <v>531.04</v>
      </c>
      <c r="F23" s="8">
        <v>531.04</v>
      </c>
      <c r="G23" s="8">
        <v>531.04</v>
      </c>
      <c r="H23" s="8">
        <v>531.04</v>
      </c>
      <c r="I23" s="8">
        <v>531.04</v>
      </c>
      <c r="J23" s="8">
        <v>531.04</v>
      </c>
      <c r="K23" s="30"/>
      <c r="L23" s="30"/>
      <c r="M23" s="30"/>
      <c r="N23" s="30"/>
      <c r="O23" s="30"/>
      <c r="P23" s="30"/>
      <c r="Q23" s="9" t="s">
        <v>16</v>
      </c>
      <c r="R23" s="38">
        <f t="shared" si="1"/>
        <v>139.80000000000001</v>
      </c>
      <c r="S23" s="8">
        <v>23.3</v>
      </c>
      <c r="T23" s="8">
        <v>23.3</v>
      </c>
      <c r="U23" s="8">
        <v>23.3</v>
      </c>
      <c r="V23" s="8">
        <v>23.3</v>
      </c>
      <c r="W23" s="8">
        <v>23.3</v>
      </c>
      <c r="X23" s="8">
        <v>23.3</v>
      </c>
      <c r="Y23" s="30"/>
      <c r="Z23" s="30"/>
      <c r="AA23" s="30"/>
      <c r="AB23" s="30"/>
      <c r="AC23" s="30"/>
      <c r="AD23" s="30"/>
      <c r="AE23" s="9" t="s">
        <v>16</v>
      </c>
      <c r="AF23" s="38">
        <f t="shared" si="2"/>
        <v>35.22</v>
      </c>
      <c r="AG23" s="8">
        <v>5.87</v>
      </c>
      <c r="AH23" s="8">
        <v>5.87</v>
      </c>
      <c r="AI23" s="8">
        <v>5.87</v>
      </c>
      <c r="AJ23" s="8">
        <v>5.87</v>
      </c>
      <c r="AK23" s="8">
        <v>5.87</v>
      </c>
      <c r="AL23" s="8">
        <v>5.87</v>
      </c>
      <c r="AM23" s="30"/>
      <c r="AN23" s="30"/>
      <c r="AO23" s="30"/>
      <c r="AP23" s="30"/>
      <c r="AQ23" s="30"/>
      <c r="AR23" s="30"/>
      <c r="AS23" s="38">
        <f t="shared" si="3"/>
        <v>91.8</v>
      </c>
      <c r="AT23" s="6">
        <v>15.3</v>
      </c>
      <c r="AU23" s="6">
        <v>15.3</v>
      </c>
      <c r="AV23" s="6">
        <v>15.3</v>
      </c>
      <c r="AW23" s="6">
        <v>15.3</v>
      </c>
      <c r="AX23" s="6">
        <v>15.3</v>
      </c>
      <c r="AY23" s="6">
        <v>15.3</v>
      </c>
      <c r="AZ23" s="31"/>
      <c r="BA23" s="31"/>
      <c r="BB23" s="31"/>
      <c r="BC23" s="31"/>
      <c r="BD23" s="31"/>
      <c r="BE23" s="31"/>
      <c r="BF23" s="38">
        <f t="shared" si="4"/>
        <v>198.42</v>
      </c>
      <c r="BG23" s="6">
        <v>33.07</v>
      </c>
      <c r="BH23" s="6">
        <v>33.07</v>
      </c>
      <c r="BI23" s="6">
        <v>33.07</v>
      </c>
      <c r="BJ23" s="6">
        <v>33.07</v>
      </c>
      <c r="BK23" s="6">
        <v>33.07</v>
      </c>
      <c r="BL23" s="6">
        <v>33.07</v>
      </c>
      <c r="BM23" s="31"/>
      <c r="BN23" s="31"/>
      <c r="BO23" s="31"/>
      <c r="BP23" s="31"/>
      <c r="BQ23" s="31"/>
      <c r="BR23" s="31"/>
    </row>
    <row r="24" spans="1:70" x14ac:dyDescent="0.3">
      <c r="A24" s="3">
        <v>23</v>
      </c>
      <c r="B24" s="44" t="s">
        <v>77</v>
      </c>
      <c r="C24" s="7" t="s">
        <v>15</v>
      </c>
      <c r="D24" s="38">
        <f t="shared" si="0"/>
        <v>4725.8499999999995</v>
      </c>
      <c r="E24" s="8">
        <v>0</v>
      </c>
      <c r="F24" s="20">
        <v>945.17</v>
      </c>
      <c r="G24" s="8">
        <v>945.17</v>
      </c>
      <c r="H24" s="8">
        <v>945.17</v>
      </c>
      <c r="I24" s="8">
        <v>945.17</v>
      </c>
      <c r="J24" s="8">
        <v>945.17</v>
      </c>
      <c r="K24" s="30"/>
      <c r="L24" s="30"/>
      <c r="M24" s="30"/>
      <c r="N24" s="30"/>
      <c r="O24" s="30"/>
      <c r="P24" s="30"/>
      <c r="Q24" s="7" t="s">
        <v>15</v>
      </c>
      <c r="R24" s="38">
        <f t="shared" si="1"/>
        <v>238.85000000000002</v>
      </c>
      <c r="S24" s="8">
        <v>0</v>
      </c>
      <c r="T24" s="20">
        <v>47.77</v>
      </c>
      <c r="U24" s="8">
        <v>47.77</v>
      </c>
      <c r="V24" s="8">
        <v>47.77</v>
      </c>
      <c r="W24" s="8">
        <v>47.77</v>
      </c>
      <c r="X24" s="8">
        <v>47.77</v>
      </c>
      <c r="Y24" s="30"/>
      <c r="Z24" s="30"/>
      <c r="AA24" s="30"/>
      <c r="AB24" s="30"/>
      <c r="AC24" s="30"/>
      <c r="AD24" s="30"/>
      <c r="AE24" s="7" t="s">
        <v>15</v>
      </c>
      <c r="AF24" s="38">
        <f t="shared" si="2"/>
        <v>62.800000000000004</v>
      </c>
      <c r="AG24" s="8"/>
      <c r="AH24" s="20">
        <v>12.56</v>
      </c>
      <c r="AI24" s="8">
        <v>12.56</v>
      </c>
      <c r="AJ24" s="8">
        <v>12.56</v>
      </c>
      <c r="AK24" s="8">
        <v>12.56</v>
      </c>
      <c r="AL24" s="8">
        <v>12.56</v>
      </c>
      <c r="AM24" s="30"/>
      <c r="AN24" s="30"/>
      <c r="AO24" s="30"/>
      <c r="AP24" s="30"/>
      <c r="AQ24" s="30"/>
      <c r="AR24" s="30"/>
      <c r="AS24" s="38">
        <f t="shared" si="3"/>
        <v>45.900000000000006</v>
      </c>
      <c r="AT24" s="6">
        <v>0</v>
      </c>
      <c r="AU24" s="6">
        <v>0</v>
      </c>
      <c r="AV24" s="6">
        <v>0</v>
      </c>
      <c r="AW24" s="6">
        <v>15.3</v>
      </c>
      <c r="AX24" s="6">
        <v>15.3</v>
      </c>
      <c r="AY24" s="6">
        <v>15.3</v>
      </c>
      <c r="AZ24" s="31"/>
      <c r="BA24" s="31"/>
      <c r="BB24" s="31"/>
      <c r="BC24" s="31"/>
      <c r="BD24" s="31"/>
      <c r="BE24" s="31"/>
      <c r="BF24" s="38">
        <f t="shared" si="4"/>
        <v>264.99</v>
      </c>
      <c r="BG24" s="6">
        <v>0</v>
      </c>
      <c r="BH24" s="6">
        <v>0</v>
      </c>
      <c r="BI24" s="6">
        <v>0</v>
      </c>
      <c r="BJ24" s="6">
        <v>88.33</v>
      </c>
      <c r="BK24" s="6">
        <v>88.33</v>
      </c>
      <c r="BL24" s="6">
        <v>88.33</v>
      </c>
      <c r="BM24" s="31"/>
      <c r="BN24" s="31"/>
      <c r="BO24" s="31"/>
      <c r="BP24" s="31"/>
      <c r="BQ24" s="31"/>
      <c r="BR24" s="31"/>
    </row>
    <row r="25" spans="1:70" s="24" customFormat="1" x14ac:dyDescent="0.3">
      <c r="B25" s="25" t="s">
        <v>81</v>
      </c>
      <c r="C25" s="28"/>
      <c r="D25" s="39">
        <f t="shared" ref="D25:P25" si="5">SUM(D2:D24)</f>
        <v>148181.76999999999</v>
      </c>
      <c r="E25" s="29">
        <f t="shared" si="5"/>
        <v>23909.320000000003</v>
      </c>
      <c r="F25" s="29">
        <f t="shared" si="5"/>
        <v>24854.49</v>
      </c>
      <c r="G25" s="29">
        <f t="shared" si="5"/>
        <v>24854.49</v>
      </c>
      <c r="H25" s="29">
        <f t="shared" si="5"/>
        <v>24854.49</v>
      </c>
      <c r="I25" s="29">
        <f t="shared" si="5"/>
        <v>24854.49</v>
      </c>
      <c r="J25" s="29">
        <f t="shared" si="5"/>
        <v>24854.49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8"/>
      <c r="R25" s="39">
        <f t="shared" ref="R25:AD25" si="6">SUM(R2:R24)</f>
        <v>7258.3700000000008</v>
      </c>
      <c r="S25" s="29">
        <f t="shared" si="6"/>
        <v>1169.9199999999998</v>
      </c>
      <c r="T25" s="29">
        <f t="shared" si="6"/>
        <v>1217.6899999999998</v>
      </c>
      <c r="U25" s="29">
        <f t="shared" si="6"/>
        <v>1217.6899999999998</v>
      </c>
      <c r="V25" s="29">
        <f t="shared" si="6"/>
        <v>1217.6899999999998</v>
      </c>
      <c r="W25" s="29">
        <f t="shared" si="6"/>
        <v>1217.6899999999998</v>
      </c>
      <c r="X25" s="29">
        <f t="shared" si="6"/>
        <v>1217.6899999999998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 t="shared" si="6"/>
        <v>0</v>
      </c>
      <c r="AC25" s="29">
        <f t="shared" si="6"/>
        <v>0</v>
      </c>
      <c r="AD25" s="29">
        <f t="shared" si="6"/>
        <v>0</v>
      </c>
      <c r="AE25" s="28"/>
      <c r="AF25" s="39">
        <f t="shared" ref="AF25:BR25" si="7">SUM(AF2:AF24)</f>
        <v>1880.5000000000002</v>
      </c>
      <c r="AG25" s="29">
        <f t="shared" si="7"/>
        <v>302.95</v>
      </c>
      <c r="AH25" s="29">
        <f t="shared" si="7"/>
        <v>315.51</v>
      </c>
      <c r="AI25" s="29">
        <f t="shared" si="7"/>
        <v>315.51</v>
      </c>
      <c r="AJ25" s="29">
        <f t="shared" si="7"/>
        <v>315.51</v>
      </c>
      <c r="AK25" s="29">
        <f t="shared" si="7"/>
        <v>315.51</v>
      </c>
      <c r="AL25" s="29">
        <f t="shared" si="7"/>
        <v>315.51</v>
      </c>
      <c r="AM25" s="29">
        <f t="shared" si="7"/>
        <v>0</v>
      </c>
      <c r="AN25" s="29">
        <f t="shared" si="7"/>
        <v>0</v>
      </c>
      <c r="AO25" s="29">
        <f t="shared" si="7"/>
        <v>0</v>
      </c>
      <c r="AP25" s="29">
        <f t="shared" si="7"/>
        <v>0</v>
      </c>
      <c r="AQ25" s="29">
        <f t="shared" si="7"/>
        <v>0</v>
      </c>
      <c r="AR25" s="29">
        <f t="shared" si="7"/>
        <v>0</v>
      </c>
      <c r="AS25" s="39">
        <f t="shared" si="7"/>
        <v>3378.3</v>
      </c>
      <c r="AT25" s="33">
        <f t="shared" si="7"/>
        <v>555.4</v>
      </c>
      <c r="AU25" s="33">
        <f t="shared" si="7"/>
        <v>555.4</v>
      </c>
      <c r="AV25" s="33">
        <f t="shared" si="7"/>
        <v>555.4</v>
      </c>
      <c r="AW25" s="33">
        <f t="shared" si="7"/>
        <v>570.69999999999993</v>
      </c>
      <c r="AX25" s="33">
        <f t="shared" si="7"/>
        <v>570.69999999999993</v>
      </c>
      <c r="AY25" s="33">
        <f t="shared" si="7"/>
        <v>570.69999999999993</v>
      </c>
      <c r="AZ25" s="33">
        <f t="shared" si="7"/>
        <v>0</v>
      </c>
      <c r="BA25" s="33">
        <f t="shared" si="7"/>
        <v>0</v>
      </c>
      <c r="BB25" s="33">
        <f t="shared" si="7"/>
        <v>0</v>
      </c>
      <c r="BC25" s="33">
        <f t="shared" si="7"/>
        <v>0</v>
      </c>
      <c r="BD25" s="33">
        <f t="shared" si="7"/>
        <v>0</v>
      </c>
      <c r="BE25" s="33">
        <f t="shared" si="7"/>
        <v>0</v>
      </c>
      <c r="BF25" s="39">
        <f t="shared" si="7"/>
        <v>7764.5099999999993</v>
      </c>
      <c r="BG25" s="29">
        <f t="shared" si="7"/>
        <v>1249.92</v>
      </c>
      <c r="BH25" s="29">
        <f t="shared" si="7"/>
        <v>1249.92</v>
      </c>
      <c r="BI25" s="29">
        <f t="shared" si="7"/>
        <v>1249.92</v>
      </c>
      <c r="BJ25" s="29">
        <f t="shared" si="7"/>
        <v>1338.25</v>
      </c>
      <c r="BK25" s="29">
        <f t="shared" si="7"/>
        <v>1338.25</v>
      </c>
      <c r="BL25" s="29">
        <f t="shared" si="7"/>
        <v>1338.25</v>
      </c>
      <c r="BM25" s="29">
        <f t="shared" si="7"/>
        <v>0</v>
      </c>
      <c r="BN25" s="29">
        <f t="shared" si="7"/>
        <v>0</v>
      </c>
      <c r="BO25" s="29">
        <f t="shared" si="7"/>
        <v>0</v>
      </c>
      <c r="BP25" s="29">
        <f t="shared" si="7"/>
        <v>0</v>
      </c>
      <c r="BQ25" s="29">
        <f t="shared" si="7"/>
        <v>0</v>
      </c>
      <c r="BR25" s="29">
        <f t="shared" si="7"/>
        <v>0</v>
      </c>
    </row>
    <row r="26" spans="1:70" x14ac:dyDescent="0.3">
      <c r="B26" s="49"/>
    </row>
    <row r="27" spans="1:70" x14ac:dyDescent="0.3">
      <c r="B27" s="49" t="s">
        <v>78</v>
      </c>
      <c r="C27" s="9"/>
      <c r="D27" s="8">
        <f>SUM(E27:P27)</f>
        <v>148181.76999999999</v>
      </c>
      <c r="E27" s="8">
        <f>29168.02+813.02-4971.26</f>
        <v>25009.78</v>
      </c>
      <c r="F27" s="8">
        <f>29168.02+813.02-6071.72</f>
        <v>23909.32</v>
      </c>
      <c r="G27" s="8">
        <f>29957.9+813.02-6071.72</f>
        <v>24699.200000000001</v>
      </c>
      <c r="H27" s="8">
        <f>30113.19+813.02-6071.72</f>
        <v>24854.489999999998</v>
      </c>
      <c r="I27" s="8">
        <f>30113.19+813.02-6071.72</f>
        <v>24854.489999999998</v>
      </c>
      <c r="J27" s="8">
        <f>30113.19+813.02-6071.72</f>
        <v>24854.489999999998</v>
      </c>
      <c r="K27" s="8"/>
      <c r="L27" s="8"/>
      <c r="M27" s="8"/>
      <c r="N27" s="8"/>
      <c r="O27" s="8"/>
      <c r="P27" s="8"/>
      <c r="Q27" s="9"/>
      <c r="R27" s="8">
        <f>SUM(S27:AD27)</f>
        <v>7258.3700000000008</v>
      </c>
      <c r="S27" s="10">
        <f>1428.69-212.62</f>
        <v>1216.0700000000002</v>
      </c>
      <c r="T27" s="10">
        <f>1428.69-258.77</f>
        <v>1169.92</v>
      </c>
      <c r="U27" s="10">
        <f>1478.08-258.77</f>
        <v>1219.31</v>
      </c>
      <c r="V27" s="10">
        <f>1476.46-258.77</f>
        <v>1217.69</v>
      </c>
      <c r="W27" s="10">
        <f>1476.46-258.77</f>
        <v>1217.69</v>
      </c>
      <c r="X27" s="10">
        <f>1476.46-258.77</f>
        <v>1217.69</v>
      </c>
      <c r="Y27" s="10"/>
      <c r="Z27" s="10"/>
      <c r="AA27" s="10"/>
      <c r="AB27" s="10"/>
      <c r="AC27" s="10"/>
      <c r="AD27" s="10"/>
      <c r="AE27" s="9"/>
      <c r="AF27" s="8">
        <f>SUM(AG27:AR27)</f>
        <v>1880.5</v>
      </c>
      <c r="AG27" s="10">
        <f>369.98-55.29</f>
        <v>314.69</v>
      </c>
      <c r="AH27" s="10">
        <f>369.98-67.03</f>
        <v>302.95000000000005</v>
      </c>
      <c r="AI27" s="10">
        <f>383.36-67.03</f>
        <v>316.33000000000004</v>
      </c>
      <c r="AJ27" s="10">
        <f>382.54-67.03</f>
        <v>315.51</v>
      </c>
      <c r="AK27" s="10">
        <f>382.54-67.03</f>
        <v>315.51</v>
      </c>
      <c r="AL27" s="10">
        <f>382.54-67.03</f>
        <v>315.51</v>
      </c>
      <c r="AM27" s="10"/>
      <c r="AN27" s="10"/>
      <c r="AO27" s="10"/>
      <c r="AP27" s="10"/>
      <c r="AQ27" s="10"/>
      <c r="AR27" s="10"/>
      <c r="AS27" s="8">
        <f>SUM(AT27:BE27)</f>
        <v>3378.3</v>
      </c>
      <c r="AT27" s="17">
        <f>873.32-186.07</f>
        <v>687.25</v>
      </c>
      <c r="AU27" s="17">
        <f>897.85-210.6</f>
        <v>687.25</v>
      </c>
      <c r="AV27" s="17">
        <f>554.7-263</f>
        <v>291.70000000000005</v>
      </c>
      <c r="AW27" s="17">
        <f>833.7-263</f>
        <v>570.70000000000005</v>
      </c>
      <c r="AX27" s="17">
        <f>833.7-263</f>
        <v>570.70000000000005</v>
      </c>
      <c r="AY27" s="17">
        <f>833.7-263</f>
        <v>570.70000000000005</v>
      </c>
      <c r="AZ27" s="17"/>
      <c r="BA27" s="17"/>
      <c r="BB27" s="17"/>
      <c r="BC27" s="17"/>
      <c r="BD27" s="17"/>
      <c r="BE27" s="17"/>
      <c r="BF27" s="8">
        <f>SUM(BG27:BR27)</f>
        <v>7764.51</v>
      </c>
      <c r="BG27" s="17">
        <f>1249.92</f>
        <v>1249.92</v>
      </c>
      <c r="BH27" s="17">
        <f t="shared" ref="BH27:BI27" si="8">1249.92</f>
        <v>1249.92</v>
      </c>
      <c r="BI27" s="17">
        <f t="shared" si="8"/>
        <v>1249.92</v>
      </c>
      <c r="BJ27" s="17">
        <f>1338.25</f>
        <v>1338.25</v>
      </c>
      <c r="BK27" s="17">
        <f t="shared" ref="BK27:BL27" si="9">1338.25</f>
        <v>1338.25</v>
      </c>
      <c r="BL27" s="17">
        <f t="shared" si="9"/>
        <v>1338.25</v>
      </c>
      <c r="BM27" s="17"/>
      <c r="BN27" s="17"/>
      <c r="BO27" s="17"/>
      <c r="BP27" s="17"/>
      <c r="BQ27" s="17"/>
      <c r="BR27" s="17"/>
    </row>
    <row r="28" spans="1:70" x14ac:dyDescent="0.3">
      <c r="B28" s="49" t="s">
        <v>85</v>
      </c>
      <c r="D28" s="8">
        <f>D27-D25</f>
        <v>0</v>
      </c>
      <c r="E28" s="8">
        <f t="shared" ref="E28:H28" si="10">E27-E25</f>
        <v>1100.4599999999955</v>
      </c>
      <c r="F28" s="8">
        <f t="shared" si="10"/>
        <v>-945.17000000000189</v>
      </c>
      <c r="G28" s="8">
        <f t="shared" si="10"/>
        <v>-155.29000000000087</v>
      </c>
      <c r="H28" s="8">
        <f t="shared" si="10"/>
        <v>0</v>
      </c>
      <c r="I28" s="8">
        <f>I27-I25</f>
        <v>0</v>
      </c>
      <c r="J28" s="8">
        <f>J27-J25</f>
        <v>0</v>
      </c>
      <c r="K28" s="8">
        <f>K27-K25</f>
        <v>0</v>
      </c>
      <c r="L28" s="8">
        <f t="shared" ref="L28:P28" si="11">L27-L25</f>
        <v>0</v>
      </c>
      <c r="M28" s="8">
        <f t="shared" si="11"/>
        <v>0</v>
      </c>
      <c r="N28" s="8">
        <f t="shared" si="11"/>
        <v>0</v>
      </c>
      <c r="O28" s="8">
        <f t="shared" si="11"/>
        <v>0</v>
      </c>
      <c r="P28" s="8">
        <f t="shared" si="11"/>
        <v>0</v>
      </c>
      <c r="R28" s="8">
        <f t="shared" ref="R28:AD28" si="12">R27-R25</f>
        <v>0</v>
      </c>
      <c r="S28" s="8">
        <f>S27-S25</f>
        <v>46.150000000000318</v>
      </c>
      <c r="T28" s="8">
        <f t="shared" si="12"/>
        <v>-47.769999999999754</v>
      </c>
      <c r="U28" s="8">
        <f t="shared" si="12"/>
        <v>1.6200000000001182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F28" s="8">
        <f>AF27-AF25</f>
        <v>0</v>
      </c>
      <c r="AG28" s="8">
        <f t="shared" ref="AG28:AR28" si="13">AG27-AG25</f>
        <v>11.740000000000009</v>
      </c>
      <c r="AH28" s="8">
        <f t="shared" si="13"/>
        <v>-12.559999999999945</v>
      </c>
      <c r="AI28" s="8">
        <f t="shared" si="13"/>
        <v>0.82000000000005002</v>
      </c>
      <c r="AJ28" s="8">
        <f t="shared" si="13"/>
        <v>0</v>
      </c>
      <c r="AK28" s="8">
        <f t="shared" si="13"/>
        <v>0</v>
      </c>
      <c r="AL28" s="8">
        <f t="shared" si="13"/>
        <v>0</v>
      </c>
      <c r="AM28" s="8">
        <f t="shared" si="13"/>
        <v>0</v>
      </c>
      <c r="AN28" s="8">
        <f t="shared" si="13"/>
        <v>0</v>
      </c>
      <c r="AO28" s="8">
        <f t="shared" si="13"/>
        <v>0</v>
      </c>
      <c r="AP28" s="8">
        <f t="shared" si="13"/>
        <v>0</v>
      </c>
      <c r="AQ28" s="8">
        <f t="shared" si="13"/>
        <v>0</v>
      </c>
      <c r="AR28" s="8">
        <f t="shared" si="13"/>
        <v>0</v>
      </c>
      <c r="AS28" s="8">
        <f>AS27-AS25</f>
        <v>0</v>
      </c>
      <c r="AT28" s="8">
        <f t="shared" ref="AT28:BE28" si="14">AT27-AT25</f>
        <v>131.85000000000002</v>
      </c>
      <c r="AU28" s="8">
        <f t="shared" si="14"/>
        <v>131.85000000000002</v>
      </c>
      <c r="AV28" s="8">
        <f t="shared" si="14"/>
        <v>-263.69999999999993</v>
      </c>
      <c r="AW28" s="8">
        <f t="shared" si="14"/>
        <v>0</v>
      </c>
      <c r="AX28" s="8">
        <f t="shared" si="14"/>
        <v>0</v>
      </c>
      <c r="AY28" s="8">
        <f>AY27-AY25</f>
        <v>0</v>
      </c>
      <c r="AZ28" s="8">
        <f t="shared" si="14"/>
        <v>0</v>
      </c>
      <c r="BA28" s="8">
        <f t="shared" si="14"/>
        <v>0</v>
      </c>
      <c r="BB28" s="8">
        <f t="shared" si="14"/>
        <v>0</v>
      </c>
      <c r="BC28" s="8">
        <f t="shared" si="14"/>
        <v>0</v>
      </c>
      <c r="BD28" s="8">
        <f t="shared" si="14"/>
        <v>0</v>
      </c>
      <c r="BE28" s="8">
        <f t="shared" si="14"/>
        <v>0</v>
      </c>
      <c r="BF28" s="8">
        <f>BF27-BF25</f>
        <v>0</v>
      </c>
      <c r="BG28" s="8">
        <f>BG27-BG25</f>
        <v>0</v>
      </c>
      <c r="BH28" s="8">
        <f t="shared" ref="BH28:BR28" si="15">BH27-BH25</f>
        <v>0</v>
      </c>
      <c r="BI28" s="8">
        <f t="shared" si="15"/>
        <v>0</v>
      </c>
      <c r="BJ28" s="8">
        <f t="shared" si="15"/>
        <v>0</v>
      </c>
      <c r="BK28" s="8">
        <f t="shared" si="15"/>
        <v>0</v>
      </c>
      <c r="BL28" s="8">
        <f t="shared" si="15"/>
        <v>0</v>
      </c>
      <c r="BM28" s="8">
        <f t="shared" si="15"/>
        <v>0</v>
      </c>
      <c r="BN28" s="8">
        <f t="shared" si="15"/>
        <v>0</v>
      </c>
      <c r="BO28" s="8">
        <f t="shared" si="15"/>
        <v>0</v>
      </c>
      <c r="BP28" s="8">
        <f t="shared" si="15"/>
        <v>0</v>
      </c>
      <c r="BQ28" s="8">
        <f t="shared" si="15"/>
        <v>0</v>
      </c>
      <c r="BR28" s="8">
        <f t="shared" si="15"/>
        <v>0</v>
      </c>
    </row>
    <row r="29" spans="1:70" x14ac:dyDescent="0.3">
      <c r="C29" s="15"/>
      <c r="D29" s="15"/>
      <c r="E29" s="15"/>
      <c r="F29" s="15"/>
      <c r="G29" s="15"/>
      <c r="H29" s="15"/>
      <c r="I29" s="15"/>
      <c r="J29" s="15"/>
      <c r="K29" s="15"/>
      <c r="L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BF29" s="15"/>
    </row>
    <row r="31" spans="1:70" x14ac:dyDescent="0.3">
      <c r="J31" s="8"/>
      <c r="K31" s="8"/>
      <c r="X31" s="8"/>
    </row>
  </sheetData>
  <sortState xmlns:xlrd2="http://schemas.microsoft.com/office/spreadsheetml/2017/richdata2" ref="B2:BR24">
    <sortCondition ref="B2:B2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2022</vt:lpstr>
      <vt:lpstr>2023</vt:lpstr>
      <vt:lpstr>2022 Ins</vt:lpstr>
      <vt:lpstr>2023 Ins</vt:lpstr>
      <vt:lpstr>'2022'!Print_Area</vt:lpstr>
      <vt:lpstr>'2022 Ins'!Print_Area</vt:lpstr>
      <vt:lpstr>'2023'!Print_Area</vt:lpstr>
      <vt:lpstr>'2023 Ins'!Print_Area</vt:lpstr>
      <vt:lpstr>'2022'!Print_Titles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Cunningham</dc:creator>
  <cp:lastModifiedBy>Lacey Cunningham</cp:lastModifiedBy>
  <cp:lastPrinted>2023-10-12T16:19:32Z</cp:lastPrinted>
  <dcterms:created xsi:type="dcterms:W3CDTF">2023-09-26T13:33:59Z</dcterms:created>
  <dcterms:modified xsi:type="dcterms:W3CDTF">2023-10-13T15:15:09Z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ndDocumentId">
    <vt:lpwstr xmlns:vt="http://schemas.openxmlformats.org/officeDocument/2006/docPropsVTypes">4890-1169-6267</vt:lpwstr>
  </op:property>
</op:Properties>
</file>