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1.xml" ContentType="application/vnd.openxmlformats-officedocument.drawingml.chart+xml"/>
  <Override PartName="/xl/charts/style3.xml" ContentType="application/vnd.ms-office.chartstyle+xml"/>
  <Override PartName="/xl/charts/colors3.xml" ContentType="application/vnd.ms-office.chartcolorsty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lex-19\home\Gerald.Wuetcher\HardinCountyNo1\SewerRateAdjustment_2023\FirstRequestForInformation\"/>
    </mc:Choice>
  </mc:AlternateContent>
  <xr:revisionPtr revIDLastSave="0" documentId="8_{A0BB7D3A-247E-41D8-8745-AADA606B1696}" xr6:coauthVersionLast="47" xr6:coauthVersionMax="47" xr10:uidLastSave="{00000000-0000-0000-0000-000000000000}"/>
  <bookViews>
    <workbookView xWindow="-110" yWindow="-110" windowWidth="19420" windowHeight="10420" tabRatio="915" firstSheet="6" activeTab="11" xr2:uid="{00000000-000D-0000-FFFF-FFFF00000000}"/>
  </bookViews>
  <sheets>
    <sheet name="Presentation Materials" sheetId="84" r:id="rId1"/>
    <sheet name="2 - Reasons for App" sheetId="79" r:id="rId2"/>
    <sheet name="3 - Current-Proposed Rates" sheetId="80" r:id="rId3"/>
    <sheet name="4 - Stmt of Adj Ops" sheetId="70" r:id="rId4"/>
    <sheet name="Ref A - Income Statement" sheetId="73" r:id="rId5"/>
    <sheet name="Ref B - Depreciation" sheetId="56" r:id="rId6"/>
    <sheet name="5 - Revenue Req (OR)" sheetId="74" r:id="rId7"/>
    <sheet name="6 - Billing Analysis (BA)" sheetId="76" r:id="rId8"/>
    <sheet name="6 - Billing Analysis (BADB)" sheetId="86" r:id="rId9"/>
    <sheet name="7 - Depreciation" sheetId="40" r:id="rId10"/>
    <sheet name="Adj A" sheetId="81" r:id="rId11"/>
    <sheet name="Adj B - P" sheetId="53" r:id="rId12"/>
    <sheet name="Print2" sheetId="85" r:id="rId13"/>
  </sheets>
  <definedNames>
    <definedName name="_xlnm._FilterDatabase" localSheetId="11" hidden="1">'Adj B - P'!$D$5:$R$178</definedName>
    <definedName name="_xlnm._FilterDatabase" localSheetId="0" hidden="1">'Presentation Materials'!$K$2:$M$12</definedName>
    <definedName name="_xlchart.v1.0" hidden="1">'Presentation Materials'!$K$3:$K$12</definedName>
    <definedName name="_xlchart.v1.1" hidden="1">'Presentation Materials'!$L$3:$L$12</definedName>
    <definedName name="_xlchart.v1.2" hidden="1">'Presentation Materials'!$K$3:$K$12</definedName>
    <definedName name="_xlchart.v1.3" hidden="1">'Presentation Materials'!$M$3:$M$12</definedName>
    <definedName name="A7Header">'7 - Depreciation'!$B$7:$O$7</definedName>
    <definedName name="ADJ_A_HEADER">'Adj A'!$B$5:$P$10</definedName>
    <definedName name="ADJ_A1">'Adj A'!$B$11:$P$159</definedName>
    <definedName name="ADJ_A10">'Adj A'!$B$677:$P$752</definedName>
    <definedName name="ADJ_A2">'Adj A'!$B$170:$P$236</definedName>
    <definedName name="ADJ_A3">'Adj A'!$B$245:$P$329</definedName>
    <definedName name="ADJ_A4">'Adj A'!$B$338:$P$467</definedName>
    <definedName name="ADJ_A5">'Adj A'!$B$476:$P$493</definedName>
    <definedName name="ADJ_A6">'Adj A'!$B$503:$P$551</definedName>
    <definedName name="ADJ_A7">'Adj A'!$B$561:$P$609</definedName>
    <definedName name="ADJ_A8">'Adj A'!$B$619:$P$667</definedName>
    <definedName name="ADJ_A9">'Adj A'!$B$677:$P$752</definedName>
    <definedName name="ADJ_B">'Adj B - P'!$D$6:$Q$163</definedName>
    <definedName name="ADJ_B_HEADER">'Adj B - P'!$D$1:$Q$5</definedName>
    <definedName name="ATTACHMENT_2">'2 - Reasons for App'!$B$4:$G$18</definedName>
    <definedName name="ATTACHMENT_3">'3 - Current-Proposed Rates'!$B$4:$G$12</definedName>
    <definedName name="ATTACHMENT_4">'4 - Stmt of Adj Ops'!$B$4:$G$37</definedName>
    <definedName name="ATTACHMENT_4A1">'Ref A - Income Statement'!$B$5:$H$74</definedName>
    <definedName name="ATTACHMENT_4A2">'Ref A - Income Statement'!$B$77:$H$102</definedName>
    <definedName name="ATTACHMENT_4B1">'Ref B - Depreciation'!$B$6:$J$55</definedName>
    <definedName name="ATTACHMENT_4B2">'Ref B - Depreciation'!$B$57:$J$83</definedName>
    <definedName name="ATTACHMENT_5">'5 - Revenue Req (OR)'!$B$4:$D$26</definedName>
    <definedName name="ATTACHMENT_6A">'6 - Billing Analysis (BA)'!$B$14:$P$247</definedName>
    <definedName name="ATTACHMENT_6B">'6 - Billing Analysis (BA)'!$B$263:$P$496</definedName>
    <definedName name="ATTACHMENT_6C">'6 - Billing Analysis (BA)'!$B$512:$H$745</definedName>
    <definedName name="ATTACHMENT_7">'7 - Depreciation'!$B$4:$O$548</definedName>
    <definedName name="HEADER_6A">'6 - Billing Analysis (BA)'!$B$7:$P$13</definedName>
    <definedName name="HEADER_6B">'6 - Billing Analysis (BA)'!$B$256:$P$262</definedName>
    <definedName name="HEADER_6C">'6 - Billing Analysis (BA)'!$B$506:$H$511</definedName>
    <definedName name="_xlnm.Print_Titles" localSheetId="7">'6 - Billing Analysis (BA)'!$506:$511</definedName>
    <definedName name="_xlnm.Print_Titles" localSheetId="9">'7 - Depreciation'!$7:$7</definedName>
    <definedName name="_xlnm.Print_Titles" localSheetId="10">'Adj A'!$5:$10</definedName>
    <definedName name="_xlnm.Print_Titles" localSheetId="11">'Adj B - P'!$1:$5</definedName>
    <definedName name="_xlnm.Print_Titles" localSheetId="5">'Ref B - Depreciation'!$6:$9</definedName>
    <definedName name="RefBHeader">'Ref B - Depreciation'!$B$6:$J$9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1" i="86" l="1"/>
  <c r="E58" i="86"/>
  <c r="E59" i="86"/>
  <c r="E57" i="86"/>
  <c r="E28" i="86"/>
  <c r="E29" i="86"/>
  <c r="E27" i="86"/>
  <c r="C57" i="86"/>
  <c r="E45" i="86"/>
  <c r="F45" i="86"/>
  <c r="G45" i="86"/>
  <c r="E46" i="86"/>
  <c r="F46" i="86"/>
  <c r="G46" i="86"/>
  <c r="H46" i="86" s="1"/>
  <c r="E47" i="86"/>
  <c r="H47" i="86" s="1"/>
  <c r="F47" i="86"/>
  <c r="G47" i="86"/>
  <c r="C45" i="86"/>
  <c r="C46" i="86"/>
  <c r="C47" i="86"/>
  <c r="C49" i="86" s="1"/>
  <c r="F49" i="86"/>
  <c r="D58" i="86" s="1"/>
  <c r="F58" i="86" s="1"/>
  <c r="D46" i="86"/>
  <c r="D45" i="86"/>
  <c r="F15" i="86"/>
  <c r="G15" i="86"/>
  <c r="F16" i="86"/>
  <c r="G16" i="86"/>
  <c r="F17" i="86"/>
  <c r="H17" i="86" s="1"/>
  <c r="G17" i="86"/>
  <c r="E17" i="86"/>
  <c r="E16" i="86"/>
  <c r="E15" i="86"/>
  <c r="E17" i="76"/>
  <c r="C17" i="86"/>
  <c r="C19" i="86" s="1"/>
  <c r="C27" i="86" s="1"/>
  <c r="C16" i="86"/>
  <c r="C15" i="86"/>
  <c r="C61" i="86" l="1"/>
  <c r="F57" i="86"/>
  <c r="D47" i="86"/>
  <c r="D49" i="86" s="1"/>
  <c r="E49" i="86"/>
  <c r="D57" i="86" s="1"/>
  <c r="H45" i="86"/>
  <c r="H49" i="86" s="1"/>
  <c r="G49" i="86"/>
  <c r="D59" i="86" s="1"/>
  <c r="F59" i="86" s="1"/>
  <c r="C31" i="86"/>
  <c r="F27" i="86"/>
  <c r="D17" i="86"/>
  <c r="D19" i="86" s="1"/>
  <c r="G19" i="86"/>
  <c r="D29" i="86" s="1"/>
  <c r="F29" i="86" s="1"/>
  <c r="E19" i="86"/>
  <c r="D27" i="86" s="1"/>
  <c r="F19" i="86"/>
  <c r="D28" i="86" s="1"/>
  <c r="F28" i="86" s="1"/>
  <c r="H15" i="86"/>
  <c r="H16" i="86"/>
  <c r="D16" i="86"/>
  <c r="D15" i="86"/>
  <c r="D61" i="86" l="1"/>
  <c r="F61" i="86"/>
  <c r="D31" i="86"/>
  <c r="F31" i="86"/>
  <c r="H19" i="86"/>
  <c r="H492" i="81" l="1"/>
  <c r="I158" i="81" l="1"/>
  <c r="H20" i="81"/>
  <c r="H354" i="81" l="1"/>
  <c r="H15" i="81" l="1"/>
  <c r="P23" i="53"/>
  <c r="P20" i="53"/>
  <c r="P155" i="53"/>
  <c r="P146" i="53"/>
  <c r="P145" i="53"/>
  <c r="P143" i="53"/>
  <c r="P119" i="53"/>
  <c r="P117" i="53"/>
  <c r="P116" i="53"/>
  <c r="P115" i="53"/>
  <c r="P114" i="53"/>
  <c r="P113" i="53"/>
  <c r="P112" i="53"/>
  <c r="P108" i="53"/>
  <c r="P107" i="53"/>
  <c r="P106" i="53"/>
  <c r="P105" i="53"/>
  <c r="P103" i="53"/>
  <c r="P102" i="53"/>
  <c r="P101" i="53"/>
  <c r="P99" i="53"/>
  <c r="P97" i="53"/>
  <c r="P84" i="53"/>
  <c r="P70" i="53"/>
  <c r="P69" i="53"/>
  <c r="P68" i="53"/>
  <c r="P67" i="53"/>
  <c r="P53" i="53"/>
  <c r="P52" i="53"/>
  <c r="P51" i="53"/>
  <c r="P50" i="53"/>
  <c r="P49" i="53"/>
  <c r="P48" i="53"/>
  <c r="P47" i="53"/>
  <c r="P46" i="53"/>
  <c r="P45" i="53"/>
  <c r="P44" i="53"/>
  <c r="P43" i="53"/>
  <c r="P27" i="53"/>
  <c r="P26" i="53"/>
  <c r="P24" i="53"/>
  <c r="P22" i="53"/>
  <c r="P21" i="53"/>
  <c r="P25" i="53"/>
  <c r="P19" i="53"/>
  <c r="M29" i="53" l="1"/>
  <c r="M55" i="53"/>
  <c r="M72" i="53"/>
  <c r="M84" i="53"/>
  <c r="M135" i="53"/>
  <c r="M157" i="53"/>
  <c r="M159" i="53" s="1"/>
  <c r="M158" i="53"/>
  <c r="M170" i="53"/>
  <c r="L137" i="53"/>
  <c r="L170" i="53"/>
  <c r="I24" i="85"/>
  <c r="I23" i="85"/>
  <c r="I22" i="85"/>
  <c r="I21" i="85"/>
  <c r="I20" i="85"/>
  <c r="I19" i="85"/>
  <c r="I18" i="85"/>
  <c r="I17" i="85"/>
  <c r="I16" i="85"/>
  <c r="I15" i="85"/>
  <c r="I13" i="85"/>
  <c r="I12" i="85"/>
  <c r="I11" i="85"/>
  <c r="I10" i="85"/>
  <c r="I9" i="85"/>
  <c r="I8" i="85"/>
  <c r="I7" i="85"/>
  <c r="I6" i="85"/>
  <c r="I5" i="85"/>
  <c r="I4" i="85"/>
  <c r="I3" i="85"/>
  <c r="I2" i="85"/>
  <c r="M137" i="53" l="1"/>
  <c r="M161" i="53" s="1"/>
  <c r="M162" i="53" s="1"/>
  <c r="M163" i="53" s="1"/>
  <c r="F45" i="81"/>
  <c r="F46" i="81"/>
  <c r="F48" i="81"/>
  <c r="F49" i="81"/>
  <c r="F50" i="81"/>
  <c r="F51" i="81"/>
  <c r="F52" i="81"/>
  <c r="F53" i="81"/>
  <c r="F54" i="81"/>
  <c r="F58" i="81"/>
  <c r="F77" i="81"/>
  <c r="F78" i="81"/>
  <c r="F80" i="81"/>
  <c r="F81" i="81"/>
  <c r="F82" i="81"/>
  <c r="F83" i="81"/>
  <c r="F84" i="81"/>
  <c r="F85" i="81"/>
  <c r="F86" i="81"/>
  <c r="F90" i="81"/>
  <c r="F93" i="81"/>
  <c r="F94" i="81"/>
  <c r="F96" i="81"/>
  <c r="F97" i="81"/>
  <c r="F98" i="81"/>
  <c r="F99" i="81"/>
  <c r="F100" i="81"/>
  <c r="F101" i="81"/>
  <c r="F102" i="81"/>
  <c r="F105" i="81"/>
  <c r="F106" i="81"/>
  <c r="F109" i="81"/>
  <c r="F110" i="81"/>
  <c r="F111" i="81"/>
  <c r="F112" i="81"/>
  <c r="F113" i="81"/>
  <c r="F114" i="81"/>
  <c r="F115" i="81"/>
  <c r="F116" i="81"/>
  <c r="F117" i="81"/>
  <c r="F118" i="81"/>
  <c r="F119" i="81"/>
  <c r="F121" i="81"/>
  <c r="F122" i="81"/>
  <c r="F141" i="81"/>
  <c r="F142" i="81"/>
  <c r="F143" i="81"/>
  <c r="F144" i="81"/>
  <c r="F145" i="81"/>
  <c r="F146" i="81"/>
  <c r="F147" i="81"/>
  <c r="F148" i="81"/>
  <c r="F149" i="81"/>
  <c r="F150" i="81"/>
  <c r="F151" i="81"/>
  <c r="F153" i="81"/>
  <c r="F154" i="81"/>
  <c r="F186" i="81"/>
  <c r="F187" i="81"/>
  <c r="F188" i="81"/>
  <c r="F200" i="81"/>
  <c r="F201" i="81"/>
  <c r="F202" i="81"/>
  <c r="F214" i="81"/>
  <c r="F215" i="81"/>
  <c r="F216" i="81"/>
  <c r="F217" i="81"/>
  <c r="F218" i="81"/>
  <c r="F221" i="81"/>
  <c r="F222" i="81"/>
  <c r="F223" i="81"/>
  <c r="F224" i="81"/>
  <c r="F225" i="81"/>
  <c r="F228" i="81"/>
  <c r="F229" i="81"/>
  <c r="F230" i="81"/>
  <c r="F231" i="81"/>
  <c r="F232" i="81"/>
  <c r="F248" i="81"/>
  <c r="F302" i="81" s="1"/>
  <c r="F249" i="81"/>
  <c r="F303" i="81" s="1"/>
  <c r="F252" i="81"/>
  <c r="F306" i="81" s="1"/>
  <c r="F257" i="81"/>
  <c r="F319" i="81" s="1"/>
  <c r="F261" i="81"/>
  <c r="F323" i="81" s="1"/>
  <c r="F265" i="81"/>
  <c r="F266" i="81"/>
  <c r="F267" i="81"/>
  <c r="F268" i="81"/>
  <c r="F269" i="81"/>
  <c r="F270" i="81"/>
  <c r="F283" i="81"/>
  <c r="F284" i="81"/>
  <c r="F285" i="81"/>
  <c r="F286" i="81"/>
  <c r="F287" i="81"/>
  <c r="F288" i="81"/>
  <c r="F292" i="81"/>
  <c r="F293" i="81"/>
  <c r="F294" i="81"/>
  <c r="F295" i="81"/>
  <c r="F296" i="81"/>
  <c r="F297" i="81"/>
  <c r="F304" i="81"/>
  <c r="F307" i="81"/>
  <c r="F310" i="81"/>
  <c r="F311" i="81"/>
  <c r="F312" i="81"/>
  <c r="F313" i="81"/>
  <c r="F314" i="81"/>
  <c r="F315" i="81"/>
  <c r="F322" i="81"/>
  <c r="F340" i="81"/>
  <c r="F424" i="81" s="1"/>
  <c r="F341" i="81"/>
  <c r="F425" i="81" s="1"/>
  <c r="F342" i="81"/>
  <c r="F454" i="81" s="1"/>
  <c r="F343" i="81"/>
  <c r="F455" i="81" s="1"/>
  <c r="F344" i="81"/>
  <c r="F456" i="81" s="1"/>
  <c r="F345" i="81"/>
  <c r="F429" i="81" s="1"/>
  <c r="F346" i="81"/>
  <c r="F430" i="81" s="1"/>
  <c r="F347" i="81"/>
  <c r="F459" i="81" s="1"/>
  <c r="F349" i="81"/>
  <c r="F433" i="81" s="1"/>
  <c r="F350" i="81"/>
  <c r="F434" i="81" s="1"/>
  <c r="F354" i="81"/>
  <c r="F368" i="81"/>
  <c r="F369" i="81"/>
  <c r="F370" i="81"/>
  <c r="F371" i="81"/>
  <c r="F372" i="81"/>
  <c r="F373" i="81"/>
  <c r="F374" i="81"/>
  <c r="F375" i="81"/>
  <c r="F376" i="81"/>
  <c r="F377" i="81"/>
  <c r="F378" i="81"/>
  <c r="F396" i="81"/>
  <c r="F397" i="81"/>
  <c r="F398" i="81"/>
  <c r="F399" i="81"/>
  <c r="F400" i="81"/>
  <c r="F401" i="81"/>
  <c r="F402" i="81"/>
  <c r="F403" i="81"/>
  <c r="F404" i="81"/>
  <c r="F405" i="81"/>
  <c r="F406" i="81"/>
  <c r="F410" i="81"/>
  <c r="F411" i="81"/>
  <c r="F412" i="81"/>
  <c r="F413" i="81"/>
  <c r="F414" i="81"/>
  <c r="F415" i="81"/>
  <c r="F416" i="81"/>
  <c r="F417" i="81"/>
  <c r="F418" i="81"/>
  <c r="F419" i="81"/>
  <c r="F420" i="81"/>
  <c r="F432" i="81"/>
  <c r="F435" i="81"/>
  <c r="F438" i="81"/>
  <c r="F439" i="81"/>
  <c r="F440" i="81"/>
  <c r="F441" i="81"/>
  <c r="F442" i="81"/>
  <c r="F443" i="81"/>
  <c r="F444" i="81"/>
  <c r="F445" i="81"/>
  <c r="F446" i="81"/>
  <c r="F447" i="81"/>
  <c r="F448" i="81"/>
  <c r="F460" i="81"/>
  <c r="F481" i="81"/>
  <c r="F484" i="81"/>
  <c r="F487" i="81"/>
  <c r="F490" i="81"/>
  <c r="F505" i="81"/>
  <c r="F545" i="81" s="1"/>
  <c r="F506" i="81"/>
  <c r="F546" i="81" s="1"/>
  <c r="F515" i="81"/>
  <c r="F516" i="81"/>
  <c r="F525" i="81"/>
  <c r="F526" i="81"/>
  <c r="F530" i="81"/>
  <c r="F531" i="81"/>
  <c r="F540" i="81"/>
  <c r="F541" i="81"/>
  <c r="F542" i="81"/>
  <c r="F563" i="81"/>
  <c r="F603" i="81" s="1"/>
  <c r="F564" i="81"/>
  <c r="F594" i="81" s="1"/>
  <c r="F565" i="81"/>
  <c r="F595" i="81" s="1"/>
  <c r="F573" i="81"/>
  <c r="F574" i="81"/>
  <c r="F575" i="81"/>
  <c r="F583" i="81"/>
  <c r="F584" i="81"/>
  <c r="F585" i="81"/>
  <c r="F588" i="81"/>
  <c r="F589" i="81"/>
  <c r="F590" i="81"/>
  <c r="F598" i="81"/>
  <c r="F599" i="81"/>
  <c r="F600" i="81"/>
  <c r="F621" i="81"/>
  <c r="F651" i="81" s="1"/>
  <c r="F622" i="81"/>
  <c r="F652" i="81" s="1"/>
  <c r="F623" i="81"/>
  <c r="F653" i="81" s="1"/>
  <c r="F631" i="81"/>
  <c r="F632" i="81"/>
  <c r="F633" i="81"/>
  <c r="F641" i="81"/>
  <c r="F642" i="81"/>
  <c r="F643" i="81"/>
  <c r="F646" i="81"/>
  <c r="F647" i="81"/>
  <c r="F648" i="81"/>
  <c r="F656" i="81"/>
  <c r="F657" i="81"/>
  <c r="F658" i="81"/>
  <c r="F679" i="81"/>
  <c r="F727" i="81" s="1"/>
  <c r="F680" i="81"/>
  <c r="F728" i="81" s="1"/>
  <c r="F681" i="81"/>
  <c r="F745" i="81" s="1"/>
  <c r="F683" i="81"/>
  <c r="F747" i="81" s="1"/>
  <c r="F684" i="81"/>
  <c r="F748" i="81" s="1"/>
  <c r="F695" i="81"/>
  <c r="F696" i="81"/>
  <c r="F697" i="81"/>
  <c r="F698" i="81"/>
  <c r="F699" i="81"/>
  <c r="F700" i="81"/>
  <c r="F711" i="81"/>
  <c r="F712" i="81"/>
  <c r="F713" i="81"/>
  <c r="F714" i="81"/>
  <c r="F715" i="81"/>
  <c r="F716" i="81"/>
  <c r="F719" i="81"/>
  <c r="F720" i="81"/>
  <c r="F721" i="81"/>
  <c r="F722" i="81"/>
  <c r="F723" i="81"/>
  <c r="F724" i="81"/>
  <c r="F730" i="81"/>
  <c r="F735" i="81"/>
  <c r="F736" i="81"/>
  <c r="F737" i="81"/>
  <c r="F738" i="81"/>
  <c r="F739" i="81"/>
  <c r="F740" i="81"/>
  <c r="F746" i="81"/>
  <c r="O48" i="84"/>
  <c r="N36" i="84"/>
  <c r="O36" i="84"/>
  <c r="E513" i="76"/>
  <c r="E514" i="76"/>
  <c r="E515" i="76"/>
  <c r="E516" i="76"/>
  <c r="E517" i="76"/>
  <c r="E518" i="76"/>
  <c r="E519" i="76"/>
  <c r="E520" i="76"/>
  <c r="E521" i="76"/>
  <c r="E522" i="76"/>
  <c r="E523" i="76"/>
  <c r="E524" i="76"/>
  <c r="E525" i="76"/>
  <c r="E526" i="76"/>
  <c r="E527" i="76"/>
  <c r="E528" i="76"/>
  <c r="E529" i="76"/>
  <c r="E530" i="76"/>
  <c r="E531" i="76"/>
  <c r="E532" i="76"/>
  <c r="E533" i="76"/>
  <c r="E534" i="76"/>
  <c r="E535" i="76"/>
  <c r="E536" i="76"/>
  <c r="E537" i="76"/>
  <c r="E538" i="76"/>
  <c r="E539" i="76"/>
  <c r="E540" i="76"/>
  <c r="E541" i="76"/>
  <c r="E542" i="76"/>
  <c r="E543" i="76"/>
  <c r="E544" i="76"/>
  <c r="E545" i="76"/>
  <c r="E546" i="76"/>
  <c r="E547" i="76"/>
  <c r="E548" i="76"/>
  <c r="E549" i="76"/>
  <c r="E550" i="76"/>
  <c r="E551" i="76"/>
  <c r="E552" i="76"/>
  <c r="E553" i="76"/>
  <c r="E554" i="76"/>
  <c r="E555" i="76"/>
  <c r="E556" i="76"/>
  <c r="E557" i="76"/>
  <c r="E558" i="76"/>
  <c r="E559" i="76"/>
  <c r="E560" i="76"/>
  <c r="E561" i="76"/>
  <c r="E562" i="76"/>
  <c r="E563" i="76"/>
  <c r="E564" i="76"/>
  <c r="E565" i="76"/>
  <c r="E566" i="76"/>
  <c r="E567" i="76"/>
  <c r="E568" i="76"/>
  <c r="E569" i="76"/>
  <c r="E570" i="76"/>
  <c r="E571" i="76"/>
  <c r="E572" i="76"/>
  <c r="E573" i="76"/>
  <c r="E574" i="76"/>
  <c r="E575" i="76"/>
  <c r="E576" i="76"/>
  <c r="E577" i="76"/>
  <c r="E578" i="76"/>
  <c r="E579" i="76"/>
  <c r="E580" i="76"/>
  <c r="E581" i="76"/>
  <c r="E582" i="76"/>
  <c r="E583" i="76"/>
  <c r="E584" i="76"/>
  <c r="E585" i="76"/>
  <c r="E586" i="76"/>
  <c r="E587" i="76"/>
  <c r="E588" i="76"/>
  <c r="E589" i="76"/>
  <c r="E590" i="76"/>
  <c r="E591" i="76"/>
  <c r="E592" i="76"/>
  <c r="E593" i="76"/>
  <c r="E594" i="76"/>
  <c r="E595" i="76"/>
  <c r="E596" i="76"/>
  <c r="E597" i="76"/>
  <c r="E598" i="76"/>
  <c r="E599" i="76"/>
  <c r="E600" i="76"/>
  <c r="E601" i="76"/>
  <c r="E602" i="76"/>
  <c r="E603" i="76"/>
  <c r="E604" i="76"/>
  <c r="E605" i="76"/>
  <c r="E606" i="76"/>
  <c r="E607" i="76"/>
  <c r="E608" i="76"/>
  <c r="E609" i="76"/>
  <c r="E610" i="76"/>
  <c r="E611" i="76"/>
  <c r="E612" i="76"/>
  <c r="E613" i="76"/>
  <c r="E614" i="76"/>
  <c r="E615" i="76"/>
  <c r="E616" i="76"/>
  <c r="E617" i="76"/>
  <c r="E618" i="76"/>
  <c r="E619" i="76"/>
  <c r="E620" i="76"/>
  <c r="E621" i="76"/>
  <c r="E622" i="76"/>
  <c r="E623" i="76"/>
  <c r="E624" i="76"/>
  <c r="E625" i="76"/>
  <c r="E626" i="76"/>
  <c r="E627" i="76"/>
  <c r="E628" i="76"/>
  <c r="E629" i="76"/>
  <c r="E630" i="76"/>
  <c r="E631" i="76"/>
  <c r="E632" i="76"/>
  <c r="E633" i="76"/>
  <c r="E634" i="76"/>
  <c r="E635" i="76"/>
  <c r="E636" i="76"/>
  <c r="E637" i="76"/>
  <c r="E638" i="76"/>
  <c r="E639" i="76"/>
  <c r="E640" i="76"/>
  <c r="E641" i="76"/>
  <c r="E642" i="76"/>
  <c r="E643" i="76"/>
  <c r="E644" i="76"/>
  <c r="E645" i="76"/>
  <c r="E646" i="76"/>
  <c r="E647" i="76"/>
  <c r="E648" i="76"/>
  <c r="E649" i="76"/>
  <c r="E650" i="76"/>
  <c r="E651" i="76"/>
  <c r="E652" i="76"/>
  <c r="E653" i="76"/>
  <c r="E654" i="76"/>
  <c r="E655" i="76"/>
  <c r="E656" i="76"/>
  <c r="E657" i="76"/>
  <c r="E658" i="76"/>
  <c r="E659" i="76"/>
  <c r="E660" i="76"/>
  <c r="E661" i="76"/>
  <c r="E662" i="76"/>
  <c r="E663" i="76"/>
  <c r="E664" i="76"/>
  <c r="E665" i="76"/>
  <c r="E666" i="76"/>
  <c r="E667" i="76"/>
  <c r="E668" i="76"/>
  <c r="E669" i="76"/>
  <c r="E670" i="76"/>
  <c r="E671" i="76"/>
  <c r="E672" i="76"/>
  <c r="E673" i="76"/>
  <c r="E674" i="76"/>
  <c r="E675" i="76"/>
  <c r="E676" i="76"/>
  <c r="E677" i="76"/>
  <c r="E678" i="76"/>
  <c r="E679" i="76"/>
  <c r="E680" i="76"/>
  <c r="E681" i="76"/>
  <c r="E682" i="76"/>
  <c r="E683" i="76"/>
  <c r="E684" i="76"/>
  <c r="E685" i="76"/>
  <c r="E686" i="76"/>
  <c r="E687" i="76"/>
  <c r="E688" i="76"/>
  <c r="E689" i="76"/>
  <c r="E690" i="76"/>
  <c r="E691" i="76"/>
  <c r="E692" i="76"/>
  <c r="E693" i="76"/>
  <c r="E694" i="76"/>
  <c r="E695" i="76"/>
  <c r="E696" i="76"/>
  <c r="E697" i="76"/>
  <c r="E698" i="76"/>
  <c r="E699" i="76"/>
  <c r="E700" i="76"/>
  <c r="E701" i="76"/>
  <c r="E702" i="76"/>
  <c r="E703" i="76"/>
  <c r="E704" i="76"/>
  <c r="E705" i="76"/>
  <c r="E706" i="76"/>
  <c r="E707" i="76"/>
  <c r="E708" i="76"/>
  <c r="E709" i="76"/>
  <c r="E710" i="76"/>
  <c r="E711" i="76"/>
  <c r="E712" i="76"/>
  <c r="E713" i="76"/>
  <c r="E714" i="76"/>
  <c r="E715" i="76"/>
  <c r="E716" i="76"/>
  <c r="E717" i="76"/>
  <c r="E718" i="76"/>
  <c r="E719" i="76"/>
  <c r="E720" i="76"/>
  <c r="E721" i="76"/>
  <c r="E722" i="76"/>
  <c r="E723" i="76"/>
  <c r="E724" i="76"/>
  <c r="E725" i="76"/>
  <c r="E726" i="76"/>
  <c r="E727" i="76"/>
  <c r="E728" i="76"/>
  <c r="E729" i="76"/>
  <c r="E730" i="76"/>
  <c r="E731" i="76"/>
  <c r="E732" i="76"/>
  <c r="E733" i="76"/>
  <c r="E734" i="76"/>
  <c r="E735" i="76"/>
  <c r="E736" i="76"/>
  <c r="E737" i="76"/>
  <c r="E738" i="76"/>
  <c r="E739" i="76"/>
  <c r="E740" i="76"/>
  <c r="E741" i="76"/>
  <c r="E742" i="76"/>
  <c r="E743" i="76"/>
  <c r="E744" i="76"/>
  <c r="E512" i="76"/>
  <c r="C745" i="76"/>
  <c r="D744" i="76"/>
  <c r="D743" i="76"/>
  <c r="D742" i="76"/>
  <c r="D741" i="76"/>
  <c r="D740" i="76"/>
  <c r="D739" i="76"/>
  <c r="D738" i="76"/>
  <c r="D737" i="76"/>
  <c r="D736" i="76"/>
  <c r="D735" i="76"/>
  <c r="D734" i="76"/>
  <c r="D733" i="76"/>
  <c r="D732" i="76"/>
  <c r="D731" i="76"/>
  <c r="D730" i="76"/>
  <c r="D729" i="76"/>
  <c r="D728" i="76"/>
  <c r="D727" i="76"/>
  <c r="D726" i="76"/>
  <c r="D725" i="76"/>
  <c r="D724" i="76"/>
  <c r="D723" i="76"/>
  <c r="D722" i="76"/>
  <c r="D721" i="76"/>
  <c r="D720" i="76"/>
  <c r="D719" i="76"/>
  <c r="D718" i="76"/>
  <c r="D717" i="76"/>
  <c r="D716" i="76"/>
  <c r="D715" i="76"/>
  <c r="D714" i="76"/>
  <c r="D713" i="76"/>
  <c r="D712" i="76"/>
  <c r="D711" i="76"/>
  <c r="D710" i="76"/>
  <c r="D709" i="76"/>
  <c r="D708" i="76"/>
  <c r="D707" i="76"/>
  <c r="D706" i="76"/>
  <c r="D705" i="76"/>
  <c r="D704" i="76"/>
  <c r="D703" i="76"/>
  <c r="D702" i="76"/>
  <c r="D701" i="76"/>
  <c r="D700" i="76"/>
  <c r="D699" i="76"/>
  <c r="D698" i="76"/>
  <c r="D697" i="76"/>
  <c r="D696" i="76"/>
  <c r="D695" i="76"/>
  <c r="D694" i="76"/>
  <c r="D693" i="76"/>
  <c r="D692" i="76"/>
  <c r="D691" i="76"/>
  <c r="D690" i="76"/>
  <c r="D689" i="76"/>
  <c r="D688" i="76"/>
  <c r="D687" i="76"/>
  <c r="D686" i="76"/>
  <c r="D685" i="76"/>
  <c r="D684" i="76"/>
  <c r="D683" i="76"/>
  <c r="D682" i="76"/>
  <c r="D681" i="76"/>
  <c r="D680" i="76"/>
  <c r="D679" i="76"/>
  <c r="D678" i="76"/>
  <c r="D677" i="76"/>
  <c r="D676" i="76"/>
  <c r="D675" i="76"/>
  <c r="D674" i="76"/>
  <c r="D673" i="76"/>
  <c r="D672" i="76"/>
  <c r="D671" i="76"/>
  <c r="D670" i="76"/>
  <c r="D669" i="76"/>
  <c r="D668" i="76"/>
  <c r="D667" i="76"/>
  <c r="D666" i="76"/>
  <c r="D665" i="76"/>
  <c r="D664" i="76"/>
  <c r="D663" i="76"/>
  <c r="D662" i="76"/>
  <c r="D661" i="76"/>
  <c r="D660" i="76"/>
  <c r="D659" i="76"/>
  <c r="D658" i="76"/>
  <c r="D657" i="76"/>
  <c r="D656" i="76"/>
  <c r="D655" i="76"/>
  <c r="D654" i="76"/>
  <c r="D653" i="76"/>
  <c r="D652" i="76"/>
  <c r="D651" i="76"/>
  <c r="D650" i="76"/>
  <c r="D649" i="76"/>
  <c r="D648" i="76"/>
  <c r="D647" i="76"/>
  <c r="D646" i="76"/>
  <c r="D645" i="76"/>
  <c r="D644" i="76"/>
  <c r="D643" i="76"/>
  <c r="D642" i="76"/>
  <c r="D641" i="76"/>
  <c r="D640" i="76"/>
  <c r="D639" i="76"/>
  <c r="D638" i="76"/>
  <c r="D637" i="76"/>
  <c r="D636" i="76"/>
  <c r="D635" i="76"/>
  <c r="D634" i="76"/>
  <c r="D633" i="76"/>
  <c r="D632" i="76"/>
  <c r="D631" i="76"/>
  <c r="D630" i="76"/>
  <c r="D629" i="76"/>
  <c r="D628" i="76"/>
  <c r="D627" i="76"/>
  <c r="D626" i="76"/>
  <c r="D625" i="76"/>
  <c r="D624" i="76"/>
  <c r="D623" i="76"/>
  <c r="D622" i="76"/>
  <c r="D621" i="76"/>
  <c r="D620" i="76"/>
  <c r="D619" i="76"/>
  <c r="D618" i="76"/>
  <c r="D617" i="76"/>
  <c r="D616" i="76"/>
  <c r="D615" i="76"/>
  <c r="D614" i="76"/>
  <c r="D613" i="76"/>
  <c r="D612" i="76"/>
  <c r="D611" i="76"/>
  <c r="D610" i="76"/>
  <c r="D609" i="76"/>
  <c r="D608" i="76"/>
  <c r="D607" i="76"/>
  <c r="D606" i="76"/>
  <c r="D605" i="76"/>
  <c r="D604" i="76"/>
  <c r="D603" i="76"/>
  <c r="D602" i="76"/>
  <c r="D601" i="76"/>
  <c r="D600" i="76"/>
  <c r="D599" i="76"/>
  <c r="D598" i="76"/>
  <c r="D597" i="76"/>
  <c r="D596" i="76"/>
  <c r="D595" i="76"/>
  <c r="D594" i="76"/>
  <c r="D593" i="76"/>
  <c r="D592" i="76"/>
  <c r="D591" i="76"/>
  <c r="D590" i="76"/>
  <c r="D589" i="76"/>
  <c r="D588" i="76"/>
  <c r="D587" i="76"/>
  <c r="D586" i="76"/>
  <c r="D585" i="76"/>
  <c r="D584" i="76"/>
  <c r="D583" i="76"/>
  <c r="D582" i="76"/>
  <c r="D581" i="76"/>
  <c r="D580" i="76"/>
  <c r="D579" i="76"/>
  <c r="D578" i="76"/>
  <c r="D577" i="76"/>
  <c r="D576" i="76"/>
  <c r="D575" i="76"/>
  <c r="D574" i="76"/>
  <c r="D573" i="76"/>
  <c r="D572" i="76"/>
  <c r="D571" i="76"/>
  <c r="D570" i="76"/>
  <c r="D569" i="76"/>
  <c r="D568" i="76"/>
  <c r="D567" i="76"/>
  <c r="D566" i="76"/>
  <c r="D565" i="76"/>
  <c r="D564" i="76"/>
  <c r="D563" i="76"/>
  <c r="D562" i="76"/>
  <c r="D561" i="76"/>
  <c r="D560" i="76"/>
  <c r="D559" i="76"/>
  <c r="D558" i="76"/>
  <c r="D557" i="76"/>
  <c r="D556" i="76"/>
  <c r="D555" i="76"/>
  <c r="D554" i="76"/>
  <c r="D553" i="76"/>
  <c r="D552" i="76"/>
  <c r="D551" i="76"/>
  <c r="D550" i="76"/>
  <c r="D549" i="76"/>
  <c r="D548" i="76"/>
  <c r="D547" i="76"/>
  <c r="D546" i="76"/>
  <c r="D545" i="76"/>
  <c r="D544" i="76"/>
  <c r="D543" i="76"/>
  <c r="D542" i="76"/>
  <c r="D541" i="76"/>
  <c r="D540" i="76"/>
  <c r="D539" i="76"/>
  <c r="D538" i="76"/>
  <c r="D537" i="76"/>
  <c r="D536" i="76"/>
  <c r="D535" i="76"/>
  <c r="D534" i="76"/>
  <c r="D533" i="76"/>
  <c r="D532" i="76"/>
  <c r="D531" i="76"/>
  <c r="D530" i="76"/>
  <c r="D529" i="76"/>
  <c r="D528" i="76"/>
  <c r="D527" i="76"/>
  <c r="D526" i="76"/>
  <c r="D525" i="76"/>
  <c r="D524" i="76"/>
  <c r="D523" i="76"/>
  <c r="D522" i="76"/>
  <c r="D521" i="76"/>
  <c r="D520" i="76"/>
  <c r="D519" i="76"/>
  <c r="D518" i="76"/>
  <c r="D517" i="76"/>
  <c r="D516" i="76"/>
  <c r="D515" i="76"/>
  <c r="D514" i="76"/>
  <c r="D513" i="76"/>
  <c r="D512" i="76"/>
  <c r="C496" i="76"/>
  <c r="D495" i="76"/>
  <c r="E495" i="76" s="1"/>
  <c r="D494" i="76"/>
  <c r="G494" i="76" s="1"/>
  <c r="D493" i="76"/>
  <c r="G493" i="76" s="1"/>
  <c r="D492" i="76"/>
  <c r="D491" i="76"/>
  <c r="F491" i="76" s="1"/>
  <c r="D490" i="76"/>
  <c r="G490" i="76" s="1"/>
  <c r="D489" i="76"/>
  <c r="E489" i="76" s="1"/>
  <c r="D488" i="76"/>
  <c r="F488" i="76" s="1"/>
  <c r="D487" i="76"/>
  <c r="D486" i="76"/>
  <c r="D485" i="76"/>
  <c r="E485" i="76" s="1"/>
  <c r="D484" i="76"/>
  <c r="G484" i="76" s="1"/>
  <c r="D483" i="76"/>
  <c r="G483" i="76" s="1"/>
  <c r="D482" i="76"/>
  <c r="D481" i="76"/>
  <c r="E481" i="76" s="1"/>
  <c r="D480" i="76"/>
  <c r="D479" i="76"/>
  <c r="F479" i="76" s="1"/>
  <c r="D478" i="76"/>
  <c r="G478" i="76" s="1"/>
  <c r="D477" i="76"/>
  <c r="F477" i="76" s="1"/>
  <c r="D476" i="76"/>
  <c r="F476" i="76" s="1"/>
  <c r="D475" i="76"/>
  <c r="F475" i="76" s="1"/>
  <c r="D474" i="76"/>
  <c r="F474" i="76" s="1"/>
  <c r="D473" i="76"/>
  <c r="E473" i="76" s="1"/>
  <c r="D472" i="76"/>
  <c r="D471" i="76"/>
  <c r="D470" i="76"/>
  <c r="D469" i="76"/>
  <c r="D468" i="76"/>
  <c r="F468" i="76" s="1"/>
  <c r="D467" i="76"/>
  <c r="F467" i="76" s="1"/>
  <c r="D466" i="76"/>
  <c r="E466" i="76" s="1"/>
  <c r="D465" i="76"/>
  <c r="E465" i="76" s="1"/>
  <c r="D464" i="76"/>
  <c r="G464" i="76" s="1"/>
  <c r="D463" i="76"/>
  <c r="D462" i="76"/>
  <c r="G462" i="76" s="1"/>
  <c r="D461" i="76"/>
  <c r="G461" i="76" s="1"/>
  <c r="D460" i="76"/>
  <c r="D459" i="76"/>
  <c r="F459" i="76" s="1"/>
  <c r="D458" i="76"/>
  <c r="D457" i="76"/>
  <c r="D456" i="76"/>
  <c r="D455" i="76"/>
  <c r="D454" i="76"/>
  <c r="E454" i="76" s="1"/>
  <c r="D453" i="76"/>
  <c r="D452" i="76"/>
  <c r="E452" i="76" s="1"/>
  <c r="D451" i="76"/>
  <c r="D450" i="76"/>
  <c r="D449" i="76"/>
  <c r="F449" i="76" s="1"/>
  <c r="D448" i="76"/>
  <c r="F448" i="76" s="1"/>
  <c r="D447" i="76"/>
  <c r="D446" i="76"/>
  <c r="G446" i="76" s="1"/>
  <c r="D445" i="76"/>
  <c r="D444" i="76"/>
  <c r="D443" i="76"/>
  <c r="D442" i="76"/>
  <c r="D441" i="76"/>
  <c r="E441" i="76" s="1"/>
  <c r="D440" i="76"/>
  <c r="D439" i="76"/>
  <c r="D438" i="76"/>
  <c r="D437" i="76"/>
  <c r="F437" i="76" s="1"/>
  <c r="D436" i="76"/>
  <c r="G436" i="76" s="1"/>
  <c r="D435" i="76"/>
  <c r="E435" i="76" s="1"/>
  <c r="D434" i="76"/>
  <c r="G434" i="76" s="1"/>
  <c r="D433" i="76"/>
  <c r="G433" i="76" s="1"/>
  <c r="D432" i="76"/>
  <c r="G432" i="76" s="1"/>
  <c r="D431" i="76"/>
  <c r="G431" i="76" s="1"/>
  <c r="D430" i="76"/>
  <c r="D429" i="76"/>
  <c r="D428" i="76"/>
  <c r="D427" i="76"/>
  <c r="F427" i="76" s="1"/>
  <c r="D426" i="76"/>
  <c r="G426" i="76" s="1"/>
  <c r="D425" i="76"/>
  <c r="D424" i="76"/>
  <c r="G424" i="76" s="1"/>
  <c r="D423" i="76"/>
  <c r="D422" i="76"/>
  <c r="D421" i="76"/>
  <c r="G421" i="76" s="1"/>
  <c r="D420" i="76"/>
  <c r="D419" i="76"/>
  <c r="G419" i="76" s="1"/>
  <c r="D418" i="76"/>
  <c r="D417" i="76"/>
  <c r="F417" i="76" s="1"/>
  <c r="D416" i="76"/>
  <c r="D415" i="76"/>
  <c r="F415" i="76" s="1"/>
  <c r="D414" i="76"/>
  <c r="G414" i="76" s="1"/>
  <c r="D413" i="76"/>
  <c r="D412" i="76"/>
  <c r="E412" i="76" s="1"/>
  <c r="D411" i="76"/>
  <c r="D410" i="76"/>
  <c r="G410" i="76" s="1"/>
  <c r="D409" i="76"/>
  <c r="D408" i="76"/>
  <c r="F408" i="76" s="1"/>
  <c r="D407" i="76"/>
  <c r="E407" i="76" s="1"/>
  <c r="D406" i="76"/>
  <c r="D405" i="76"/>
  <c r="G405" i="76" s="1"/>
  <c r="D404" i="76"/>
  <c r="E404" i="76" s="1"/>
  <c r="D403" i="76"/>
  <c r="D402" i="76"/>
  <c r="G402" i="76" s="1"/>
  <c r="D401" i="76"/>
  <c r="F401" i="76" s="1"/>
  <c r="D400" i="76"/>
  <c r="D399" i="76"/>
  <c r="D398" i="76"/>
  <c r="F398" i="76" s="1"/>
  <c r="D397" i="76"/>
  <c r="D396" i="76"/>
  <c r="E396" i="76" s="1"/>
  <c r="D395" i="76"/>
  <c r="E395" i="76" s="1"/>
  <c r="D394" i="76"/>
  <c r="D393" i="76"/>
  <c r="D392" i="76"/>
  <c r="G392" i="76" s="1"/>
  <c r="D391" i="76"/>
  <c r="F391" i="76" s="1"/>
  <c r="D390" i="76"/>
  <c r="E390" i="76" s="1"/>
  <c r="D389" i="76"/>
  <c r="D388" i="76"/>
  <c r="E388" i="76" s="1"/>
  <c r="D387" i="76"/>
  <c r="D386" i="76"/>
  <c r="F386" i="76" s="1"/>
  <c r="D385" i="76"/>
  <c r="D384" i="76"/>
  <c r="D383" i="76"/>
  <c r="E383" i="76" s="1"/>
  <c r="D382" i="76"/>
  <c r="D381" i="76"/>
  <c r="G381" i="76" s="1"/>
  <c r="D380" i="76"/>
  <c r="G380" i="76" s="1"/>
  <c r="D379" i="76"/>
  <c r="E379" i="76" s="1"/>
  <c r="D378" i="76"/>
  <c r="F378" i="76" s="1"/>
  <c r="D377" i="76"/>
  <c r="G377" i="76" s="1"/>
  <c r="D376" i="76"/>
  <c r="F376" i="76" s="1"/>
  <c r="D375" i="76"/>
  <c r="F375" i="76" s="1"/>
  <c r="D374" i="76"/>
  <c r="G374" i="76" s="1"/>
  <c r="D373" i="76"/>
  <c r="G373" i="76" s="1"/>
  <c r="D372" i="76"/>
  <c r="D371" i="76"/>
  <c r="G371" i="76" s="1"/>
  <c r="D370" i="76"/>
  <c r="D369" i="76"/>
  <c r="D368" i="76"/>
  <c r="G368" i="76" s="1"/>
  <c r="D367" i="76"/>
  <c r="D366" i="76"/>
  <c r="E366" i="76" s="1"/>
  <c r="D365" i="76"/>
  <c r="F365" i="76" s="1"/>
  <c r="D364" i="76"/>
  <c r="G364" i="76" s="1"/>
  <c r="D363" i="76"/>
  <c r="G363" i="76" s="1"/>
  <c r="D362" i="76"/>
  <c r="D361" i="76"/>
  <c r="E361" i="76" s="1"/>
  <c r="D360" i="76"/>
  <c r="F360" i="76" s="1"/>
  <c r="D359" i="76"/>
  <c r="G359" i="76" s="1"/>
  <c r="D358" i="76"/>
  <c r="F358" i="76" s="1"/>
  <c r="D357" i="76"/>
  <c r="G357" i="76" s="1"/>
  <c r="D356" i="76"/>
  <c r="E356" i="76" s="1"/>
  <c r="D355" i="76"/>
  <c r="F355" i="76" s="1"/>
  <c r="D354" i="76"/>
  <c r="F354" i="76" s="1"/>
  <c r="D353" i="76"/>
  <c r="F353" i="76" s="1"/>
  <c r="D352" i="76"/>
  <c r="E352" i="76" s="1"/>
  <c r="D351" i="76"/>
  <c r="D350" i="76"/>
  <c r="D349" i="76"/>
  <c r="D348" i="76"/>
  <c r="D347" i="76"/>
  <c r="E347" i="76" s="1"/>
  <c r="D346" i="76"/>
  <c r="D345" i="76"/>
  <c r="D344" i="76"/>
  <c r="F344" i="76" s="1"/>
  <c r="D343" i="76"/>
  <c r="F343" i="76" s="1"/>
  <c r="D342" i="76"/>
  <c r="E342" i="76" s="1"/>
  <c r="D341" i="76"/>
  <c r="E341" i="76" s="1"/>
  <c r="D340" i="76"/>
  <c r="E340" i="76" s="1"/>
  <c r="D339" i="76"/>
  <c r="D338" i="76"/>
  <c r="E338" i="76" s="1"/>
  <c r="D337" i="76"/>
  <c r="F337" i="76" s="1"/>
  <c r="D336" i="76"/>
  <c r="F336" i="76" s="1"/>
  <c r="D335" i="76"/>
  <c r="G335" i="76" s="1"/>
  <c r="D334" i="76"/>
  <c r="G334" i="76" s="1"/>
  <c r="D333" i="76"/>
  <c r="G333" i="76" s="1"/>
  <c r="D332" i="76"/>
  <c r="D331" i="76"/>
  <c r="F331" i="76" s="1"/>
  <c r="D330" i="76"/>
  <c r="D329" i="76"/>
  <c r="D328" i="76"/>
  <c r="F328" i="76" s="1"/>
  <c r="D327" i="76"/>
  <c r="E327" i="76" s="1"/>
  <c r="D326" i="76"/>
  <c r="D325" i="76"/>
  <c r="G325" i="76" s="1"/>
  <c r="D324" i="76"/>
  <c r="F324" i="76" s="1"/>
  <c r="D323" i="76"/>
  <c r="G323" i="76" s="1"/>
  <c r="D322" i="76"/>
  <c r="E322" i="76" s="1"/>
  <c r="D321" i="76"/>
  <c r="D320" i="76"/>
  <c r="G320" i="76" s="1"/>
  <c r="D319" i="76"/>
  <c r="D318" i="76"/>
  <c r="D317" i="76"/>
  <c r="G317" i="76" s="1"/>
  <c r="D316" i="76"/>
  <c r="G316" i="76" s="1"/>
  <c r="D315" i="76"/>
  <c r="D314" i="76"/>
  <c r="D313" i="76"/>
  <c r="E313" i="76" s="1"/>
  <c r="D312" i="76"/>
  <c r="D311" i="76"/>
  <c r="F311" i="76" s="1"/>
  <c r="D310" i="76"/>
  <c r="G310" i="76" s="1"/>
  <c r="D309" i="76"/>
  <c r="F309" i="76" s="1"/>
  <c r="D308" i="76"/>
  <c r="D307" i="76"/>
  <c r="E307" i="76" s="1"/>
  <c r="D306" i="76"/>
  <c r="E306" i="76" s="1"/>
  <c r="D305" i="76"/>
  <c r="G305" i="76" s="1"/>
  <c r="D304" i="76"/>
  <c r="D303" i="76"/>
  <c r="D302" i="76"/>
  <c r="G302" i="76" s="1"/>
  <c r="D301" i="76"/>
  <c r="E301" i="76" s="1"/>
  <c r="D300" i="76"/>
  <c r="G300" i="76" s="1"/>
  <c r="D299" i="76"/>
  <c r="G299" i="76" s="1"/>
  <c r="D298" i="76"/>
  <c r="F298" i="76" s="1"/>
  <c r="D297" i="76"/>
  <c r="E297" i="76" s="1"/>
  <c r="D296" i="76"/>
  <c r="D295" i="76"/>
  <c r="G295" i="76" s="1"/>
  <c r="D294" i="76"/>
  <c r="D293" i="76"/>
  <c r="G293" i="76" s="1"/>
  <c r="D292" i="76"/>
  <c r="D291" i="76"/>
  <c r="G291" i="76" s="1"/>
  <c r="D290" i="76"/>
  <c r="G290" i="76" s="1"/>
  <c r="D289" i="76"/>
  <c r="F289" i="76" s="1"/>
  <c r="D288" i="76"/>
  <c r="F288" i="76" s="1"/>
  <c r="D287" i="76"/>
  <c r="D286" i="76"/>
  <c r="F286" i="76" s="1"/>
  <c r="D285" i="76"/>
  <c r="D284" i="76"/>
  <c r="F284" i="76" s="1"/>
  <c r="D283" i="76"/>
  <c r="D282" i="76"/>
  <c r="D281" i="76"/>
  <c r="F281" i="76" s="1"/>
  <c r="D280" i="76"/>
  <c r="D279" i="76"/>
  <c r="D278" i="76"/>
  <c r="D277" i="76"/>
  <c r="D276" i="76"/>
  <c r="G276" i="76" s="1"/>
  <c r="D275" i="76"/>
  <c r="F275" i="76" s="1"/>
  <c r="D274" i="76"/>
  <c r="D273" i="76"/>
  <c r="E273" i="76" s="1"/>
  <c r="D272" i="76"/>
  <c r="D271" i="76"/>
  <c r="D270" i="76"/>
  <c r="E270" i="76" s="1"/>
  <c r="D269" i="76"/>
  <c r="D268" i="76"/>
  <c r="E268" i="76" s="1"/>
  <c r="D267" i="76"/>
  <c r="G267" i="76" s="1"/>
  <c r="D266" i="76"/>
  <c r="D265" i="76"/>
  <c r="O265" i="76" s="1"/>
  <c r="D264" i="76"/>
  <c r="O264" i="76" s="1"/>
  <c r="D263" i="76"/>
  <c r="O263" i="76" s="1"/>
  <c r="C247" i="76"/>
  <c r="D15" i="76"/>
  <c r="D16" i="76"/>
  <c r="D17" i="76"/>
  <c r="D18" i="76"/>
  <c r="D19" i="76"/>
  <c r="D20" i="76"/>
  <c r="D21" i="76"/>
  <c r="D22" i="76"/>
  <c r="D23" i="76"/>
  <c r="D24" i="76"/>
  <c r="D25" i="76"/>
  <c r="D26" i="76"/>
  <c r="D27" i="76"/>
  <c r="D28" i="76"/>
  <c r="D29" i="76"/>
  <c r="D30" i="76"/>
  <c r="D31" i="76"/>
  <c r="D32" i="76"/>
  <c r="D33" i="76"/>
  <c r="D34" i="76"/>
  <c r="D35" i="76"/>
  <c r="D36" i="76"/>
  <c r="D37" i="76"/>
  <c r="D38" i="76"/>
  <c r="D39" i="76"/>
  <c r="D40" i="76"/>
  <c r="D41" i="76"/>
  <c r="D42" i="76"/>
  <c r="D43" i="76"/>
  <c r="D44" i="76"/>
  <c r="D45" i="76"/>
  <c r="D46" i="76"/>
  <c r="D47" i="76"/>
  <c r="D48" i="76"/>
  <c r="D49" i="76"/>
  <c r="D50" i="76"/>
  <c r="D51" i="76"/>
  <c r="D52" i="76"/>
  <c r="D53" i="76"/>
  <c r="D54" i="76"/>
  <c r="D55" i="76"/>
  <c r="D56" i="76"/>
  <c r="D57" i="76"/>
  <c r="D58" i="76"/>
  <c r="D59" i="76"/>
  <c r="D60" i="76"/>
  <c r="D61" i="76"/>
  <c r="D62" i="76"/>
  <c r="D63" i="76"/>
  <c r="D64" i="76"/>
  <c r="D65" i="76"/>
  <c r="D66" i="76"/>
  <c r="D67" i="76"/>
  <c r="D68" i="76"/>
  <c r="D69" i="76"/>
  <c r="D70" i="76"/>
  <c r="D71" i="76"/>
  <c r="D72" i="76"/>
  <c r="D73" i="76"/>
  <c r="D74" i="76"/>
  <c r="D75" i="76"/>
  <c r="D76" i="76"/>
  <c r="D77" i="76"/>
  <c r="D78" i="76"/>
  <c r="D79" i="76"/>
  <c r="D80" i="76"/>
  <c r="D81" i="76"/>
  <c r="D82" i="76"/>
  <c r="D83" i="76"/>
  <c r="D84" i="76"/>
  <c r="D85" i="76"/>
  <c r="D86" i="76"/>
  <c r="D87" i="76"/>
  <c r="D88" i="76"/>
  <c r="D89" i="76"/>
  <c r="D90" i="76"/>
  <c r="D91" i="76"/>
  <c r="D92" i="76"/>
  <c r="D93" i="76"/>
  <c r="D94" i="76"/>
  <c r="D95" i="76"/>
  <c r="D96" i="76"/>
  <c r="D97" i="76"/>
  <c r="D98" i="76"/>
  <c r="D99" i="76"/>
  <c r="D100" i="76"/>
  <c r="D101" i="76"/>
  <c r="D102" i="76"/>
  <c r="D103" i="76"/>
  <c r="D104" i="76"/>
  <c r="D105" i="76"/>
  <c r="D106" i="76"/>
  <c r="D107" i="76"/>
  <c r="D108" i="76"/>
  <c r="D109" i="76"/>
  <c r="D110" i="76"/>
  <c r="D111" i="76"/>
  <c r="D112" i="76"/>
  <c r="D113" i="76"/>
  <c r="D114" i="76"/>
  <c r="D115" i="76"/>
  <c r="D116" i="76"/>
  <c r="D117" i="76"/>
  <c r="D118" i="76"/>
  <c r="D119" i="76"/>
  <c r="D120" i="76"/>
  <c r="D121" i="76"/>
  <c r="D122" i="76"/>
  <c r="D123" i="76"/>
  <c r="D124" i="76"/>
  <c r="D125" i="76"/>
  <c r="D126" i="76"/>
  <c r="D127" i="76"/>
  <c r="D128" i="76"/>
  <c r="D129" i="76"/>
  <c r="D130" i="76"/>
  <c r="D131" i="76"/>
  <c r="D132" i="76"/>
  <c r="D133" i="76"/>
  <c r="D134" i="76"/>
  <c r="D135" i="76"/>
  <c r="D136" i="76"/>
  <c r="D137" i="76"/>
  <c r="D138" i="76"/>
  <c r="D139" i="76"/>
  <c r="D140" i="76"/>
  <c r="D141" i="76"/>
  <c r="D142" i="76"/>
  <c r="D143" i="76"/>
  <c r="D144" i="76"/>
  <c r="D145" i="76"/>
  <c r="D146" i="76"/>
  <c r="D147" i="76"/>
  <c r="D148" i="76"/>
  <c r="D149" i="76"/>
  <c r="D150" i="76"/>
  <c r="D151" i="76"/>
  <c r="D152" i="76"/>
  <c r="D153" i="76"/>
  <c r="D154" i="76"/>
  <c r="D155" i="76"/>
  <c r="D156" i="76"/>
  <c r="D157" i="76"/>
  <c r="D158" i="76"/>
  <c r="D159" i="76"/>
  <c r="D160" i="76"/>
  <c r="D161" i="76"/>
  <c r="D162" i="76"/>
  <c r="D163" i="76"/>
  <c r="D164" i="76"/>
  <c r="D165" i="76"/>
  <c r="D166" i="76"/>
  <c r="D167" i="76"/>
  <c r="D168" i="76"/>
  <c r="D169" i="76"/>
  <c r="D170" i="76"/>
  <c r="D171" i="76"/>
  <c r="D172" i="76"/>
  <c r="D173" i="76"/>
  <c r="D174" i="76"/>
  <c r="D175" i="76"/>
  <c r="D176" i="76"/>
  <c r="D177" i="76"/>
  <c r="D178" i="76"/>
  <c r="D179" i="76"/>
  <c r="D180" i="76"/>
  <c r="D181" i="76"/>
  <c r="D182" i="76"/>
  <c r="D183" i="76"/>
  <c r="D184" i="76"/>
  <c r="D185" i="76"/>
  <c r="D186" i="76"/>
  <c r="D187" i="76"/>
  <c r="D188" i="76"/>
  <c r="D189" i="76"/>
  <c r="D190" i="76"/>
  <c r="D191" i="76"/>
  <c r="D192" i="76"/>
  <c r="D193" i="76"/>
  <c r="D194" i="76"/>
  <c r="D195" i="76"/>
  <c r="D196" i="76"/>
  <c r="D197" i="76"/>
  <c r="D198" i="76"/>
  <c r="D199" i="76"/>
  <c r="D200" i="76"/>
  <c r="D201" i="76"/>
  <c r="D202" i="76"/>
  <c r="D203" i="76"/>
  <c r="D204" i="76"/>
  <c r="D205" i="76"/>
  <c r="D206" i="76"/>
  <c r="D207" i="76"/>
  <c r="D208" i="76"/>
  <c r="D209" i="76"/>
  <c r="D210" i="76"/>
  <c r="D211" i="76"/>
  <c r="D212" i="76"/>
  <c r="D213" i="76"/>
  <c r="D214" i="76"/>
  <c r="D215" i="76"/>
  <c r="D216" i="76"/>
  <c r="D217" i="76"/>
  <c r="D218" i="76"/>
  <c r="D219" i="76"/>
  <c r="D220" i="76"/>
  <c r="D221" i="76"/>
  <c r="D222" i="76"/>
  <c r="D223" i="76"/>
  <c r="D224" i="76"/>
  <c r="D225" i="76"/>
  <c r="D226" i="76"/>
  <c r="D227" i="76"/>
  <c r="D228" i="76"/>
  <c r="D229" i="76"/>
  <c r="D230" i="76"/>
  <c r="D231" i="76"/>
  <c r="D232" i="76"/>
  <c r="D233" i="76"/>
  <c r="D234" i="76"/>
  <c r="D235" i="76"/>
  <c r="D236" i="76"/>
  <c r="D237" i="76"/>
  <c r="D238" i="76"/>
  <c r="D239" i="76"/>
  <c r="D240" i="76"/>
  <c r="D241" i="76"/>
  <c r="D242" i="76"/>
  <c r="D243" i="76"/>
  <c r="D244" i="76"/>
  <c r="D245" i="76"/>
  <c r="D246" i="76"/>
  <c r="D14" i="76"/>
  <c r="F431" i="81" l="1"/>
  <c r="F461" i="81"/>
  <c r="F320" i="81"/>
  <c r="F605" i="81"/>
  <c r="F324" i="81"/>
  <c r="F743" i="81"/>
  <c r="F604" i="81"/>
  <c r="F458" i="81"/>
  <c r="F321" i="81"/>
  <c r="F661" i="81"/>
  <c r="F492" i="81"/>
  <c r="F536" i="81"/>
  <c r="F457" i="81"/>
  <c r="F301" i="81"/>
  <c r="F453" i="81"/>
  <c r="F234" i="81"/>
  <c r="F744" i="81"/>
  <c r="F452" i="81"/>
  <c r="F305" i="81"/>
  <c r="F157" i="81"/>
  <c r="F593" i="81"/>
  <c r="F428" i="81"/>
  <c r="F427" i="81"/>
  <c r="F663" i="81"/>
  <c r="F426" i="81"/>
  <c r="F662" i="81"/>
  <c r="F462" i="81"/>
  <c r="F535" i="81"/>
  <c r="F549" i="81" s="1"/>
  <c r="F731" i="81"/>
  <c r="F729" i="81"/>
  <c r="F732" i="81"/>
  <c r="N263" i="76"/>
  <c r="G275" i="76"/>
  <c r="G395" i="76"/>
  <c r="G475" i="76"/>
  <c r="E475" i="76"/>
  <c r="F464" i="76"/>
  <c r="E493" i="76"/>
  <c r="E276" i="76"/>
  <c r="F276" i="76"/>
  <c r="E464" i="76"/>
  <c r="D745" i="76"/>
  <c r="F357" i="76"/>
  <c r="F347" i="76"/>
  <c r="F299" i="76"/>
  <c r="G336" i="76"/>
  <c r="G347" i="76"/>
  <c r="E377" i="76"/>
  <c r="G407" i="76"/>
  <c r="E417" i="76"/>
  <c r="G289" i="76"/>
  <c r="G417" i="76"/>
  <c r="G454" i="76"/>
  <c r="F268" i="76"/>
  <c r="G313" i="76"/>
  <c r="G378" i="76"/>
  <c r="E398" i="76"/>
  <c r="G408" i="76"/>
  <c r="E477" i="76"/>
  <c r="G477" i="76"/>
  <c r="H477" i="76" s="1"/>
  <c r="D496" i="76"/>
  <c r="D247" i="76"/>
  <c r="F291" i="76"/>
  <c r="F338" i="76"/>
  <c r="F379" i="76"/>
  <c r="E431" i="76"/>
  <c r="G488" i="76"/>
  <c r="G338" i="76"/>
  <c r="G379" i="76"/>
  <c r="G391" i="76"/>
  <c r="E410" i="76"/>
  <c r="F431" i="76"/>
  <c r="F316" i="76"/>
  <c r="F410" i="76"/>
  <c r="E363" i="76"/>
  <c r="E392" i="76"/>
  <c r="E401" i="76"/>
  <c r="G459" i="76"/>
  <c r="G284" i="76"/>
  <c r="F363" i="76"/>
  <c r="E373" i="76"/>
  <c r="F392" i="76"/>
  <c r="E491" i="76"/>
  <c r="E354" i="76"/>
  <c r="F373" i="76"/>
  <c r="E424" i="76"/>
  <c r="G491" i="76"/>
  <c r="G354" i="76"/>
  <c r="F424" i="76"/>
  <c r="E461" i="76"/>
  <c r="E483" i="76"/>
  <c r="F333" i="76"/>
  <c r="E364" i="76"/>
  <c r="F374" i="76"/>
  <c r="F434" i="76"/>
  <c r="F483" i="76"/>
  <c r="E289" i="76"/>
  <c r="E299" i="76"/>
  <c r="F313" i="76"/>
  <c r="E488" i="76"/>
  <c r="G268" i="76"/>
  <c r="G398" i="76"/>
  <c r="G270" i="76"/>
  <c r="G331" i="76"/>
  <c r="E381" i="76"/>
  <c r="F307" i="76"/>
  <c r="F381" i="76"/>
  <c r="G307" i="76"/>
  <c r="F364" i="76"/>
  <c r="N264" i="76"/>
  <c r="G322" i="76"/>
  <c r="F356" i="76"/>
  <c r="F395" i="76"/>
  <c r="G435" i="76"/>
  <c r="E484" i="76"/>
  <c r="E394" i="76"/>
  <c r="G394" i="76"/>
  <c r="F394" i="76"/>
  <c r="F388" i="76"/>
  <c r="F321" i="76"/>
  <c r="G321" i="76"/>
  <c r="E332" i="76"/>
  <c r="G332" i="76"/>
  <c r="F332" i="76"/>
  <c r="G353" i="76"/>
  <c r="E353" i="76"/>
  <c r="E321" i="76"/>
  <c r="F273" i="76"/>
  <c r="G443" i="76"/>
  <c r="F443" i="76"/>
  <c r="E443" i="76"/>
  <c r="G341" i="76"/>
  <c r="F341" i="76"/>
  <c r="E399" i="76"/>
  <c r="F399" i="76"/>
  <c r="G273" i="76"/>
  <c r="F278" i="76"/>
  <c r="G278" i="76"/>
  <c r="E427" i="76"/>
  <c r="E438" i="76"/>
  <c r="G438" i="76"/>
  <c r="E311" i="76"/>
  <c r="E328" i="76"/>
  <c r="G427" i="76"/>
  <c r="F438" i="76"/>
  <c r="G456" i="76"/>
  <c r="E456" i="76"/>
  <c r="G311" i="76"/>
  <c r="G328" i="76"/>
  <c r="G361" i="76"/>
  <c r="F361" i="76"/>
  <c r="F400" i="76"/>
  <c r="G400" i="76"/>
  <c r="E434" i="76"/>
  <c r="F456" i="76"/>
  <c r="E467" i="76"/>
  <c r="G467" i="76"/>
  <c r="F413" i="76"/>
  <c r="G413" i="76"/>
  <c r="F419" i="76"/>
  <c r="F312" i="76"/>
  <c r="E312" i="76"/>
  <c r="G312" i="76"/>
  <c r="E344" i="76"/>
  <c r="F396" i="76"/>
  <c r="E440" i="76"/>
  <c r="G440" i="76"/>
  <c r="F440" i="76"/>
  <c r="G345" i="76"/>
  <c r="F345" i="76"/>
  <c r="G447" i="76"/>
  <c r="E302" i="76"/>
  <c r="G344" i="76"/>
  <c r="G396" i="76"/>
  <c r="F302" i="76"/>
  <c r="E419" i="76"/>
  <c r="F320" i="76"/>
  <c r="E325" i="76"/>
  <c r="E336" i="76"/>
  <c r="F377" i="76"/>
  <c r="F397" i="76"/>
  <c r="E447" i="76"/>
  <c r="E304" i="76"/>
  <c r="G304" i="76"/>
  <c r="F447" i="76"/>
  <c r="F465" i="76"/>
  <c r="G465" i="76"/>
  <c r="F308" i="76"/>
  <c r="G308" i="76"/>
  <c r="G329" i="76"/>
  <c r="E329" i="76"/>
  <c r="F453" i="76"/>
  <c r="G453" i="76"/>
  <c r="E402" i="76"/>
  <c r="E436" i="76"/>
  <c r="E453" i="76"/>
  <c r="G472" i="76"/>
  <c r="F472" i="76"/>
  <c r="E472" i="76"/>
  <c r="F334" i="76"/>
  <c r="E334" i="76"/>
  <c r="E359" i="76"/>
  <c r="F436" i="76"/>
  <c r="E449" i="76"/>
  <c r="F485" i="76"/>
  <c r="F411" i="76"/>
  <c r="E411" i="76"/>
  <c r="G411" i="76"/>
  <c r="G428" i="76"/>
  <c r="E428" i="76"/>
  <c r="F428" i="76"/>
  <c r="G449" i="76"/>
  <c r="G485" i="76"/>
  <c r="E308" i="76"/>
  <c r="E305" i="76"/>
  <c r="F342" i="76"/>
  <c r="F382" i="76"/>
  <c r="E382" i="76"/>
  <c r="E403" i="76"/>
  <c r="G403" i="76"/>
  <c r="E408" i="76"/>
  <c r="F271" i="76"/>
  <c r="G271" i="76"/>
  <c r="E279" i="76"/>
  <c r="G279" i="76"/>
  <c r="E271" i="76"/>
  <c r="F279" i="76"/>
  <c r="F301" i="76"/>
  <c r="F305" i="76"/>
  <c r="E318" i="76"/>
  <c r="G318" i="76"/>
  <c r="F318" i="76"/>
  <c r="G342" i="76"/>
  <c r="G382" i="76"/>
  <c r="E459" i="76"/>
  <c r="G469" i="76"/>
  <c r="E451" i="76"/>
  <c r="G451" i="76"/>
  <c r="G437" i="76"/>
  <c r="F451" i="76"/>
  <c r="F466" i="76"/>
  <c r="F469" i="76"/>
  <c r="G287" i="76"/>
  <c r="E287" i="76"/>
  <c r="F327" i="76"/>
  <c r="F340" i="76"/>
  <c r="F352" i="76"/>
  <c r="G360" i="76"/>
  <c r="E368" i="76"/>
  <c r="G376" i="76"/>
  <c r="E448" i="76"/>
  <c r="F495" i="76"/>
  <c r="E267" i="76"/>
  <c r="F267" i="76"/>
  <c r="E275" i="76"/>
  <c r="H275" i="76" s="1"/>
  <c r="F287" i="76"/>
  <c r="G327" i="76"/>
  <c r="G340" i="76"/>
  <c r="G352" i="76"/>
  <c r="G418" i="76"/>
  <c r="G495" i="76"/>
  <c r="E437" i="76"/>
  <c r="F481" i="76"/>
  <c r="G481" i="76"/>
  <c r="E263" i="76"/>
  <c r="E360" i="76"/>
  <c r="E376" i="76"/>
  <c r="E284" i="76"/>
  <c r="F290" i="76"/>
  <c r="E298" i="76"/>
  <c r="G298" i="76"/>
  <c r="E310" i="76"/>
  <c r="E316" i="76"/>
  <c r="F322" i="76"/>
  <c r="E374" i="76"/>
  <c r="F407" i="76"/>
  <c r="G415" i="76"/>
  <c r="E415" i="76"/>
  <c r="F418" i="76"/>
  <c r="F435" i="76"/>
  <c r="F454" i="76"/>
  <c r="F484" i="76"/>
  <c r="F317" i="76"/>
  <c r="E355" i="76"/>
  <c r="F350" i="76"/>
  <c r="E350" i="76"/>
  <c r="F367" i="76"/>
  <c r="G350" i="76"/>
  <c r="E282" i="76"/>
  <c r="G282" i="76"/>
  <c r="F282" i="76"/>
  <c r="G367" i="76"/>
  <c r="F292" i="76"/>
  <c r="G292" i="76"/>
  <c r="G369" i="76"/>
  <c r="F369" i="76"/>
  <c r="E369" i="76"/>
  <c r="F277" i="76"/>
  <c r="G277" i="76"/>
  <c r="F306" i="76"/>
  <c r="G306" i="76"/>
  <c r="F348" i="76"/>
  <c r="G348" i="76"/>
  <c r="F384" i="76"/>
  <c r="G384" i="76"/>
  <c r="G280" i="76"/>
  <c r="F280" i="76"/>
  <c r="E295" i="76"/>
  <c r="E346" i="76"/>
  <c r="G346" i="76"/>
  <c r="F346" i="76"/>
  <c r="E348" i="76"/>
  <c r="G355" i="76"/>
  <c r="E384" i="76"/>
  <c r="E280" i="76"/>
  <c r="G285" i="76"/>
  <c r="F285" i="76"/>
  <c r="E285" i="76"/>
  <c r="E292" i="76"/>
  <c r="F295" i="76"/>
  <c r="E320" i="76"/>
  <c r="E317" i="76"/>
  <c r="E277" i="76"/>
  <c r="E309" i="76"/>
  <c r="F274" i="76"/>
  <c r="E274" i="76"/>
  <c r="F283" i="76"/>
  <c r="G283" i="76"/>
  <c r="E371" i="76"/>
  <c r="G274" i="76"/>
  <c r="E283" i="76"/>
  <c r="F371" i="76"/>
  <c r="F325" i="76"/>
  <c r="E367" i="76"/>
  <c r="G444" i="76"/>
  <c r="E444" i="76"/>
  <c r="F444" i="76"/>
  <c r="E286" i="76"/>
  <c r="G286" i="76"/>
  <c r="F314" i="76"/>
  <c r="G314" i="76"/>
  <c r="E314" i="76"/>
  <c r="G309" i="76"/>
  <c r="E422" i="76"/>
  <c r="G422" i="76"/>
  <c r="F422" i="76"/>
  <c r="G303" i="76"/>
  <c r="F303" i="76"/>
  <c r="E303" i="76"/>
  <c r="F362" i="76"/>
  <c r="G362" i="76"/>
  <c r="E362" i="76"/>
  <c r="G390" i="76"/>
  <c r="F390" i="76"/>
  <c r="G458" i="76"/>
  <c r="F458" i="76"/>
  <c r="E458" i="76"/>
  <c r="E265" i="76"/>
  <c r="H265" i="76" s="1"/>
  <c r="E300" i="76"/>
  <c r="F330" i="76"/>
  <c r="E330" i="76"/>
  <c r="G420" i="76"/>
  <c r="E420" i="76"/>
  <c r="F420" i="76"/>
  <c r="F294" i="76"/>
  <c r="E294" i="76"/>
  <c r="G297" i="76"/>
  <c r="F300" i="76"/>
  <c r="G330" i="76"/>
  <c r="E335" i="76"/>
  <c r="F359" i="76"/>
  <c r="G388" i="76"/>
  <c r="G399" i="76"/>
  <c r="G401" i="76"/>
  <c r="E445" i="76"/>
  <c r="G445" i="76"/>
  <c r="F445" i="76"/>
  <c r="F297" i="76"/>
  <c r="E343" i="76"/>
  <c r="G343" i="76"/>
  <c r="F270" i="76"/>
  <c r="E291" i="76"/>
  <c r="G294" i="76"/>
  <c r="G324" i="76"/>
  <c r="E324" i="76"/>
  <c r="F335" i="76"/>
  <c r="E345" i="76"/>
  <c r="E378" i="76"/>
  <c r="G412" i="76"/>
  <c r="F412" i="76"/>
  <c r="E490" i="76"/>
  <c r="F490" i="76"/>
  <c r="E288" i="76"/>
  <c r="E337" i="76"/>
  <c r="G383" i="76"/>
  <c r="G452" i="76"/>
  <c r="F452" i="76"/>
  <c r="E296" i="76"/>
  <c r="G326" i="76"/>
  <c r="F326" i="76"/>
  <c r="G337" i="76"/>
  <c r="G349" i="76"/>
  <c r="F349" i="76"/>
  <c r="G351" i="76"/>
  <c r="E351" i="76"/>
  <c r="E385" i="76"/>
  <c r="G385" i="76"/>
  <c r="G409" i="76"/>
  <c r="F409" i="76"/>
  <c r="E409" i="76"/>
  <c r="E421" i="76"/>
  <c r="F421" i="76"/>
  <c r="G288" i="76"/>
  <c r="F310" i="76"/>
  <c r="E326" i="76"/>
  <c r="E349" i="76"/>
  <c r="F351" i="76"/>
  <c r="E370" i="76"/>
  <c r="G370" i="76"/>
  <c r="G372" i="76"/>
  <c r="E372" i="76"/>
  <c r="F383" i="76"/>
  <c r="F385" i="76"/>
  <c r="E387" i="76"/>
  <c r="F387" i="76"/>
  <c r="F439" i="76"/>
  <c r="E439" i="76"/>
  <c r="N265" i="76"/>
  <c r="G296" i="76"/>
  <c r="F329" i="76"/>
  <c r="F370" i="76"/>
  <c r="G425" i="76"/>
  <c r="F425" i="76"/>
  <c r="G439" i="76"/>
  <c r="G450" i="76"/>
  <c r="F450" i="76"/>
  <c r="E450" i="76"/>
  <c r="E486" i="76"/>
  <c r="G486" i="76"/>
  <c r="F486" i="76"/>
  <c r="F296" i="76"/>
  <c r="E266" i="76"/>
  <c r="E293" i="76"/>
  <c r="G269" i="76"/>
  <c r="F269" i="76"/>
  <c r="G272" i="76"/>
  <c r="F293" i="76"/>
  <c r="G356" i="76"/>
  <c r="F368" i="76"/>
  <c r="F372" i="76"/>
  <c r="E380" i="76"/>
  <c r="G387" i="76"/>
  <c r="E406" i="76"/>
  <c r="E264" i="76"/>
  <c r="H264" i="76" s="1"/>
  <c r="F266" i="76"/>
  <c r="E269" i="76"/>
  <c r="E272" i="76"/>
  <c r="E278" i="76"/>
  <c r="E281" i="76"/>
  <c r="F315" i="76"/>
  <c r="E315" i="76"/>
  <c r="E339" i="76"/>
  <c r="G339" i="76"/>
  <c r="F380" i="76"/>
  <c r="F389" i="76"/>
  <c r="E389" i="76"/>
  <c r="G389" i="76"/>
  <c r="E391" i="76"/>
  <c r="F406" i="76"/>
  <c r="E425" i="76"/>
  <c r="F429" i="76"/>
  <c r="G429" i="76"/>
  <c r="E429" i="76"/>
  <c r="G266" i="76"/>
  <c r="F272" i="76"/>
  <c r="G281" i="76"/>
  <c r="E290" i="76"/>
  <c r="G301" i="76"/>
  <c r="F304" i="76"/>
  <c r="G315" i="76"/>
  <c r="E331" i="76"/>
  <c r="F339" i="76"/>
  <c r="E400" i="76"/>
  <c r="F404" i="76"/>
  <c r="G404" i="76"/>
  <c r="G406" i="76"/>
  <c r="E413" i="76"/>
  <c r="G365" i="76"/>
  <c r="E365" i="76"/>
  <c r="E397" i="76"/>
  <c r="G397" i="76"/>
  <c r="E479" i="76"/>
  <c r="G460" i="76"/>
  <c r="E460" i="76"/>
  <c r="G479" i="76"/>
  <c r="F460" i="76"/>
  <c r="G466" i="76"/>
  <c r="E470" i="76"/>
  <c r="F470" i="76"/>
  <c r="G470" i="76"/>
  <c r="E474" i="76"/>
  <c r="G474" i="76"/>
  <c r="E323" i="76"/>
  <c r="F323" i="76"/>
  <c r="G358" i="76"/>
  <c r="E358" i="76"/>
  <c r="G375" i="76"/>
  <c r="E375" i="76"/>
  <c r="E426" i="76"/>
  <c r="F426" i="76"/>
  <c r="F493" i="76"/>
  <c r="F480" i="76"/>
  <c r="G480" i="76"/>
  <c r="G482" i="76"/>
  <c r="E482" i="76"/>
  <c r="G423" i="76"/>
  <c r="E423" i="76"/>
  <c r="F442" i="76"/>
  <c r="F455" i="76"/>
  <c r="E455" i="76"/>
  <c r="E480" i="76"/>
  <c r="F482" i="76"/>
  <c r="F423" i="76"/>
  <c r="E442" i="76"/>
  <c r="G455" i="76"/>
  <c r="F463" i="76"/>
  <c r="G319" i="76"/>
  <c r="E319" i="76"/>
  <c r="G416" i="76"/>
  <c r="E416" i="76"/>
  <c r="G442" i="76"/>
  <c r="E463" i="76"/>
  <c r="F471" i="76"/>
  <c r="G471" i="76"/>
  <c r="E471" i="76"/>
  <c r="F319" i="76"/>
  <c r="E333" i="76"/>
  <c r="E357" i="76"/>
  <c r="F366" i="76"/>
  <c r="G366" i="76"/>
  <c r="G386" i="76"/>
  <c r="E386" i="76"/>
  <c r="F403" i="76"/>
  <c r="F416" i="76"/>
  <c r="E418" i="76"/>
  <c r="F430" i="76"/>
  <c r="E430" i="76"/>
  <c r="G430" i="76"/>
  <c r="F432" i="76"/>
  <c r="E432" i="76"/>
  <c r="G448" i="76"/>
  <c r="G463" i="76"/>
  <c r="E469" i="76"/>
  <c r="F478" i="76"/>
  <c r="E478" i="76"/>
  <c r="G393" i="76"/>
  <c r="F393" i="76"/>
  <c r="E393" i="76"/>
  <c r="E405" i="76"/>
  <c r="F405" i="76"/>
  <c r="F414" i="76"/>
  <c r="E414" i="76"/>
  <c r="G457" i="76"/>
  <c r="F457" i="76"/>
  <c r="E457" i="76"/>
  <c r="F487" i="76"/>
  <c r="E487" i="76"/>
  <c r="G487" i="76"/>
  <c r="G492" i="76"/>
  <c r="F492" i="76"/>
  <c r="E492" i="76"/>
  <c r="F402" i="76"/>
  <c r="F461" i="76"/>
  <c r="G468" i="76"/>
  <c r="E468" i="76"/>
  <c r="F433" i="76"/>
  <c r="E433" i="76"/>
  <c r="G441" i="76"/>
  <c r="F441" i="76"/>
  <c r="F462" i="76"/>
  <c r="E462" i="76"/>
  <c r="G489" i="76"/>
  <c r="F489" i="76"/>
  <c r="F446" i="76"/>
  <c r="E446" i="76"/>
  <c r="F494" i="76"/>
  <c r="E494" i="76"/>
  <c r="G473" i="76"/>
  <c r="F473" i="76"/>
  <c r="G476" i="76"/>
  <c r="E476" i="76"/>
  <c r="F665" i="81" l="1"/>
  <c r="F607" i="81"/>
  <c r="F327" i="81"/>
  <c r="F750" i="81"/>
  <c r="F465" i="81"/>
  <c r="H290" i="76"/>
  <c r="H360" i="76"/>
  <c r="H365" i="76"/>
  <c r="H419" i="76"/>
  <c r="H398" i="76"/>
  <c r="H402" i="76"/>
  <c r="H299" i="76"/>
  <c r="H307" i="76"/>
  <c r="H341" i="76"/>
  <c r="H407" i="76"/>
  <c r="H488" i="76"/>
  <c r="H433" i="76"/>
  <c r="H358" i="76"/>
  <c r="H409" i="76"/>
  <c r="H427" i="76"/>
  <c r="H435" i="76"/>
  <c r="H495" i="76"/>
  <c r="H415" i="76"/>
  <c r="H361" i="76"/>
  <c r="H392" i="76"/>
  <c r="H357" i="76"/>
  <c r="H408" i="76"/>
  <c r="H342" i="76"/>
  <c r="H268" i="76"/>
  <c r="H475" i="76"/>
  <c r="H395" i="76"/>
  <c r="H333" i="76"/>
  <c r="H353" i="76"/>
  <c r="H465" i="76"/>
  <c r="H464" i="76"/>
  <c r="H364" i="76"/>
  <c r="H381" i="76"/>
  <c r="H483" i="76"/>
  <c r="H459" i="76"/>
  <c r="H492" i="76"/>
  <c r="H375" i="76"/>
  <c r="H347" i="76"/>
  <c r="H431" i="76"/>
  <c r="H345" i="76"/>
  <c r="H396" i="76"/>
  <c r="H410" i="76"/>
  <c r="H493" i="76"/>
  <c r="H374" i="76"/>
  <c r="H356" i="76"/>
  <c r="H322" i="76"/>
  <c r="H417" i="76"/>
  <c r="H473" i="76"/>
  <c r="H461" i="76"/>
  <c r="H312" i="76"/>
  <c r="H456" i="76"/>
  <c r="H484" i="76"/>
  <c r="H354" i="76"/>
  <c r="H276" i="76"/>
  <c r="H453" i="76"/>
  <c r="H411" i="76"/>
  <c r="H329" i="76"/>
  <c r="H462" i="76"/>
  <c r="H376" i="76"/>
  <c r="H485" i="76"/>
  <c r="H273" i="76"/>
  <c r="H289" i="76"/>
  <c r="H373" i="76"/>
  <c r="H294" i="76"/>
  <c r="H491" i="76"/>
  <c r="H463" i="76"/>
  <c r="H454" i="76"/>
  <c r="H449" i="76"/>
  <c r="H338" i="76"/>
  <c r="H414" i="76"/>
  <c r="H378" i="76"/>
  <c r="H399" i="76"/>
  <c r="H437" i="76"/>
  <c r="H434" i="76"/>
  <c r="H468" i="76"/>
  <c r="H277" i="76"/>
  <c r="H340" i="76"/>
  <c r="H447" i="76"/>
  <c r="H436" i="76"/>
  <c r="H324" i="76"/>
  <c r="H472" i="76"/>
  <c r="H349" i="76"/>
  <c r="H424" i="76"/>
  <c r="H379" i="76"/>
  <c r="H448" i="76"/>
  <c r="H315" i="76"/>
  <c r="H352" i="76"/>
  <c r="H313" i="76"/>
  <c r="H457" i="76"/>
  <c r="H423" i="76"/>
  <c r="H291" i="76"/>
  <c r="H334" i="76"/>
  <c r="H467" i="76"/>
  <c r="H321" i="76"/>
  <c r="H263" i="76"/>
  <c r="E496" i="76"/>
  <c r="H460" i="76"/>
  <c r="H439" i="76"/>
  <c r="H350" i="76"/>
  <c r="H310" i="76"/>
  <c r="H325" i="76"/>
  <c r="H331" i="76"/>
  <c r="H270" i="76"/>
  <c r="G496" i="76"/>
  <c r="H337" i="76"/>
  <c r="H316" i="76"/>
  <c r="F496" i="76"/>
  <c r="H271" i="76"/>
  <c r="H425" i="76"/>
  <c r="H486" i="76"/>
  <c r="H383" i="76"/>
  <c r="H330" i="76"/>
  <c r="H284" i="76"/>
  <c r="H377" i="76"/>
  <c r="H332" i="76"/>
  <c r="H363" i="76"/>
  <c r="H494" i="76"/>
  <c r="H391" i="76"/>
  <c r="H401" i="76"/>
  <c r="H336" i="76"/>
  <c r="H344" i="76"/>
  <c r="H489" i="76"/>
  <c r="H366" i="76"/>
  <c r="H326" i="76"/>
  <c r="H303" i="76"/>
  <c r="H452" i="76"/>
  <c r="H432" i="76"/>
  <c r="H351" i="76"/>
  <c r="H314" i="76"/>
  <c r="H368" i="76"/>
  <c r="H466" i="76"/>
  <c r="H404" i="76"/>
  <c r="H359" i="76"/>
  <c r="H382" i="76"/>
  <c r="H400" i="76"/>
  <c r="H327" i="76"/>
  <c r="H272" i="76"/>
  <c r="H418" i="76"/>
  <c r="H372" i="76"/>
  <c r="H308" i="76"/>
  <c r="H302" i="76"/>
  <c r="H328" i="76"/>
  <c r="H441" i="76"/>
  <c r="H482" i="76"/>
  <c r="H406" i="76"/>
  <c r="H293" i="76"/>
  <c r="H298" i="76"/>
  <c r="H287" i="76"/>
  <c r="H476" i="76"/>
  <c r="H478" i="76"/>
  <c r="H288" i="76"/>
  <c r="H283" i="76"/>
  <c r="H280" i="76"/>
  <c r="H306" i="76"/>
  <c r="H318" i="76"/>
  <c r="H305" i="76"/>
  <c r="H443" i="76"/>
  <c r="H311" i="76"/>
  <c r="H428" i="76"/>
  <c r="H479" i="76"/>
  <c r="H429" i="76"/>
  <c r="H281" i="76"/>
  <c r="H267" i="76"/>
  <c r="H279" i="76"/>
  <c r="H469" i="76"/>
  <c r="H413" i="76"/>
  <c r="H304" i="76"/>
  <c r="H278" i="76"/>
  <c r="H421" i="76"/>
  <c r="H297" i="76"/>
  <c r="H440" i="76"/>
  <c r="H438" i="76"/>
  <c r="H394" i="76"/>
  <c r="H403" i="76"/>
  <c r="H388" i="76"/>
  <c r="H474" i="76"/>
  <c r="H301" i="76"/>
  <c r="H412" i="76"/>
  <c r="H390" i="76"/>
  <c r="H320" i="76"/>
  <c r="H346" i="76"/>
  <c r="H481" i="76"/>
  <c r="H451" i="76"/>
  <c r="H397" i="76"/>
  <c r="H343" i="76"/>
  <c r="H292" i="76"/>
  <c r="H295" i="76"/>
  <c r="H389" i="76"/>
  <c r="H405" i="76"/>
  <c r="H480" i="76"/>
  <c r="H300" i="76"/>
  <c r="H317" i="76"/>
  <c r="H471" i="76"/>
  <c r="H323" i="76"/>
  <c r="H387" i="76"/>
  <c r="H367" i="76"/>
  <c r="H285" i="76"/>
  <c r="H319" i="76"/>
  <c r="H266" i="76"/>
  <c r="H380" i="76"/>
  <c r="H393" i="76"/>
  <c r="H386" i="76"/>
  <c r="H455" i="76"/>
  <c r="H296" i="76"/>
  <c r="H355" i="76"/>
  <c r="H444" i="76"/>
  <c r="H335" i="76"/>
  <c r="H385" i="76"/>
  <c r="H487" i="76"/>
  <c r="H470" i="76"/>
  <c r="H445" i="76"/>
  <c r="H458" i="76"/>
  <c r="H362" i="76"/>
  <c r="H286" i="76"/>
  <c r="H384" i="76"/>
  <c r="H282" i="76"/>
  <c r="H426" i="76"/>
  <c r="H370" i="76"/>
  <c r="H274" i="76"/>
  <c r="H446" i="76"/>
  <c r="H442" i="76"/>
  <c r="H339" i="76"/>
  <c r="H269" i="76"/>
  <c r="H422" i="76"/>
  <c r="H348" i="76"/>
  <c r="H416" i="76"/>
  <c r="H450" i="76"/>
  <c r="H490" i="76"/>
  <c r="H309" i="76"/>
  <c r="H369" i="76"/>
  <c r="H430" i="76"/>
  <c r="H420" i="76"/>
  <c r="H371" i="76"/>
  <c r="H496" i="76" l="1"/>
  <c r="O84" i="53" l="1"/>
  <c r="O158" i="53"/>
  <c r="K9" i="76"/>
  <c r="J9" i="76"/>
  <c r="I9" i="76"/>
  <c r="O72" i="53" l="1"/>
  <c r="J33" i="76"/>
  <c r="O157" i="53"/>
  <c r="O159" i="53" s="1"/>
  <c r="O29" i="53"/>
  <c r="O55" i="53"/>
  <c r="I31" i="76"/>
  <c r="I36" i="76"/>
  <c r="I90" i="76"/>
  <c r="I132" i="76"/>
  <c r="K27" i="76"/>
  <c r="K191" i="76"/>
  <c r="I220" i="76"/>
  <c r="I219" i="76"/>
  <c r="I181" i="76"/>
  <c r="K146" i="76"/>
  <c r="K105" i="76"/>
  <c r="K61" i="76"/>
  <c r="J228" i="76"/>
  <c r="J188" i="76"/>
  <c r="J149" i="76"/>
  <c r="J118" i="76"/>
  <c r="J117" i="76"/>
  <c r="J77" i="76"/>
  <c r="J37" i="76"/>
  <c r="K223" i="76"/>
  <c r="K59" i="76"/>
  <c r="I218" i="76"/>
  <c r="I33" i="76"/>
  <c r="J35" i="76"/>
  <c r="K177" i="76"/>
  <c r="I76" i="76"/>
  <c r="K219" i="76"/>
  <c r="K218" i="76"/>
  <c r="J213" i="76"/>
  <c r="K174" i="76"/>
  <c r="I203" i="76"/>
  <c r="J101" i="76"/>
  <c r="K84" i="76"/>
  <c r="I70" i="76"/>
  <c r="K212" i="76"/>
  <c r="J246" i="76"/>
  <c r="K40" i="76"/>
  <c r="I239" i="76"/>
  <c r="I200" i="76"/>
  <c r="I150" i="76"/>
  <c r="I109" i="76"/>
  <c r="I58" i="76"/>
  <c r="J245" i="76"/>
  <c r="J207" i="76"/>
  <c r="J168" i="76"/>
  <c r="J127" i="76"/>
  <c r="J97" i="76"/>
  <c r="J57" i="76"/>
  <c r="K241" i="76"/>
  <c r="K202" i="76"/>
  <c r="K169" i="76"/>
  <c r="K125" i="76"/>
  <c r="K80" i="76"/>
  <c r="K36" i="76"/>
  <c r="I168" i="76"/>
  <c r="J223" i="76"/>
  <c r="K132" i="76"/>
  <c r="I205" i="76"/>
  <c r="J184" i="76"/>
  <c r="J63" i="76"/>
  <c r="J141" i="76"/>
  <c r="K88" i="76"/>
  <c r="I72" i="76"/>
  <c r="K128" i="76"/>
  <c r="I202" i="76"/>
  <c r="I113" i="76"/>
  <c r="J170" i="76"/>
  <c r="K244" i="76"/>
  <c r="J209" i="76"/>
  <c r="K170" i="76"/>
  <c r="I237" i="76"/>
  <c r="I198" i="76"/>
  <c r="I149" i="76"/>
  <c r="I108" i="76"/>
  <c r="I56" i="76"/>
  <c r="J244" i="76"/>
  <c r="J205" i="76"/>
  <c r="J166" i="76"/>
  <c r="J125" i="76"/>
  <c r="J95" i="76"/>
  <c r="J56" i="76"/>
  <c r="K240" i="76"/>
  <c r="K201" i="76"/>
  <c r="K157" i="76"/>
  <c r="K123" i="76"/>
  <c r="K79" i="76"/>
  <c r="K34" i="76"/>
  <c r="I131" i="76"/>
  <c r="I34" i="76"/>
  <c r="J148" i="76"/>
  <c r="K222" i="76"/>
  <c r="K104" i="76"/>
  <c r="I169" i="76"/>
  <c r="J225" i="76"/>
  <c r="J75" i="76"/>
  <c r="K100" i="76"/>
  <c r="I128" i="76"/>
  <c r="J145" i="76"/>
  <c r="J105" i="76"/>
  <c r="J31" i="76"/>
  <c r="K98" i="76"/>
  <c r="I166" i="76"/>
  <c r="J20" i="76"/>
  <c r="K56" i="76"/>
  <c r="I73" i="76"/>
  <c r="K129" i="76"/>
  <c r="I242" i="76"/>
  <c r="J181" i="76"/>
  <c r="K216" i="76"/>
  <c r="J139" i="76"/>
  <c r="K171" i="76"/>
  <c r="I201" i="76"/>
  <c r="K81" i="76"/>
  <c r="I236" i="76"/>
  <c r="I187" i="76"/>
  <c r="I148" i="76"/>
  <c r="I107" i="76"/>
  <c r="I53" i="76"/>
  <c r="J243" i="76"/>
  <c r="J204" i="76"/>
  <c r="J165" i="76"/>
  <c r="J124" i="76"/>
  <c r="J85" i="76"/>
  <c r="J53" i="76"/>
  <c r="K239" i="76"/>
  <c r="K200" i="76"/>
  <c r="K155" i="76"/>
  <c r="K122" i="76"/>
  <c r="K78" i="76"/>
  <c r="K33" i="76"/>
  <c r="I75" i="76"/>
  <c r="I19" i="76"/>
  <c r="J222" i="76"/>
  <c r="J104" i="76"/>
  <c r="K130" i="76"/>
  <c r="I125" i="76"/>
  <c r="K217" i="76"/>
  <c r="I114" i="76"/>
  <c r="J212" i="76"/>
  <c r="J60" i="76"/>
  <c r="J59" i="76"/>
  <c r="K127" i="76"/>
  <c r="I112" i="76"/>
  <c r="K126" i="76"/>
  <c r="I235" i="76"/>
  <c r="I186" i="76"/>
  <c r="I147" i="76"/>
  <c r="I96" i="76"/>
  <c r="I52" i="76"/>
  <c r="J233" i="76"/>
  <c r="J203" i="76"/>
  <c r="J164" i="76"/>
  <c r="J123" i="76"/>
  <c r="J84" i="76"/>
  <c r="J42" i="76"/>
  <c r="K238" i="76"/>
  <c r="K196" i="76"/>
  <c r="K154" i="76"/>
  <c r="K110" i="76"/>
  <c r="K77" i="76"/>
  <c r="K32" i="76"/>
  <c r="I180" i="76"/>
  <c r="I89" i="76"/>
  <c r="J187" i="76"/>
  <c r="J36" i="76"/>
  <c r="K145" i="76"/>
  <c r="I77" i="76"/>
  <c r="J186" i="76"/>
  <c r="J106" i="76"/>
  <c r="K221" i="76"/>
  <c r="K58" i="76"/>
  <c r="I217" i="76"/>
  <c r="I32" i="76"/>
  <c r="J74" i="76"/>
  <c r="K57" i="76"/>
  <c r="I127" i="76"/>
  <c r="K175" i="76"/>
  <c r="J182" i="76"/>
  <c r="J102" i="76"/>
  <c r="K52" i="76"/>
  <c r="I164" i="76"/>
  <c r="I17" i="76"/>
  <c r="K173" i="76"/>
  <c r="I241" i="76"/>
  <c r="I15" i="76"/>
  <c r="K41" i="76"/>
  <c r="I240" i="76"/>
  <c r="I59" i="76"/>
  <c r="J58" i="76"/>
  <c r="I224" i="76"/>
  <c r="I185" i="76"/>
  <c r="I146" i="76"/>
  <c r="I95" i="76"/>
  <c r="I51" i="76"/>
  <c r="J232" i="76"/>
  <c r="J202" i="76"/>
  <c r="J163" i="76"/>
  <c r="J122" i="76"/>
  <c r="J83" i="76"/>
  <c r="J41" i="76"/>
  <c r="K237" i="76"/>
  <c r="K194" i="76"/>
  <c r="K153" i="76"/>
  <c r="K109" i="76"/>
  <c r="K75" i="76"/>
  <c r="K31" i="76"/>
  <c r="I165" i="76"/>
  <c r="I18" i="76"/>
  <c r="J61" i="76"/>
  <c r="J18" i="76"/>
  <c r="J211" i="76"/>
  <c r="K82" i="76"/>
  <c r="I162" i="76"/>
  <c r="J169" i="76"/>
  <c r="J99" i="76"/>
  <c r="K242" i="76"/>
  <c r="I223" i="76"/>
  <c r="I184" i="76"/>
  <c r="I145" i="76"/>
  <c r="I93" i="76"/>
  <c r="I38" i="76"/>
  <c r="J230" i="76"/>
  <c r="J191" i="76"/>
  <c r="J161" i="76"/>
  <c r="J121" i="76"/>
  <c r="J81" i="76"/>
  <c r="J40" i="76"/>
  <c r="K225" i="76"/>
  <c r="K193" i="76"/>
  <c r="K152" i="76"/>
  <c r="K107" i="76"/>
  <c r="K63" i="76"/>
  <c r="K30" i="76"/>
  <c r="J227" i="76"/>
  <c r="J76" i="76"/>
  <c r="K178" i="76"/>
  <c r="I130" i="76"/>
  <c r="J147" i="76"/>
  <c r="K144" i="76"/>
  <c r="J185" i="76"/>
  <c r="K176" i="76"/>
  <c r="J143" i="76"/>
  <c r="K97" i="76"/>
  <c r="I204" i="76"/>
  <c r="J19" i="76"/>
  <c r="J140" i="76"/>
  <c r="K50" i="76"/>
  <c r="I163" i="76"/>
  <c r="J100" i="76"/>
  <c r="J138" i="76"/>
  <c r="K203" i="76"/>
  <c r="I221" i="76"/>
  <c r="I182" i="76"/>
  <c r="I144" i="76"/>
  <c r="I91" i="76"/>
  <c r="I37" i="76"/>
  <c r="J229" i="76"/>
  <c r="J189" i="76"/>
  <c r="J159" i="76"/>
  <c r="J120" i="76"/>
  <c r="J79" i="76"/>
  <c r="J38" i="76"/>
  <c r="K224" i="76"/>
  <c r="K192" i="76"/>
  <c r="K148" i="76"/>
  <c r="K106" i="76"/>
  <c r="K62" i="76"/>
  <c r="K29" i="76"/>
  <c r="I129" i="76"/>
  <c r="I111" i="76"/>
  <c r="I92" i="76"/>
  <c r="I74" i="76"/>
  <c r="I54" i="76"/>
  <c r="I35" i="76"/>
  <c r="I16" i="76"/>
  <c r="I234" i="76"/>
  <c r="I216" i="76"/>
  <c r="I197" i="76"/>
  <c r="I179" i="76"/>
  <c r="I161" i="76"/>
  <c r="I143" i="76"/>
  <c r="I124" i="76"/>
  <c r="I106" i="76"/>
  <c r="I88" i="76"/>
  <c r="I69" i="76"/>
  <c r="I50" i="76"/>
  <c r="J54" i="76"/>
  <c r="I23" i="76"/>
  <c r="I39" i="76"/>
  <c r="I55" i="76"/>
  <c r="I71" i="76"/>
  <c r="I87" i="76"/>
  <c r="I103" i="76"/>
  <c r="I119" i="76"/>
  <c r="I135" i="76"/>
  <c r="I151" i="76"/>
  <c r="I167" i="76"/>
  <c r="I183" i="76"/>
  <c r="I199" i="76"/>
  <c r="I215" i="76"/>
  <c r="I231" i="76"/>
  <c r="I14" i="76"/>
  <c r="I25" i="76"/>
  <c r="I41" i="76"/>
  <c r="I57" i="76"/>
  <c r="I30" i="76"/>
  <c r="I46" i="76"/>
  <c r="I62" i="76"/>
  <c r="I78" i="76"/>
  <c r="I94" i="76"/>
  <c r="I110" i="76"/>
  <c r="I126" i="76"/>
  <c r="I142" i="76"/>
  <c r="I158" i="76"/>
  <c r="I174" i="76"/>
  <c r="I190" i="76"/>
  <c r="I206" i="76"/>
  <c r="I222" i="76"/>
  <c r="I238" i="76"/>
  <c r="I141" i="76"/>
  <c r="I29" i="76"/>
  <c r="J29" i="76"/>
  <c r="J46" i="76"/>
  <c r="J62" i="76"/>
  <c r="J78" i="76"/>
  <c r="J94" i="76"/>
  <c r="J110" i="76"/>
  <c r="J126" i="76"/>
  <c r="J142" i="76"/>
  <c r="J158" i="76"/>
  <c r="J174" i="76"/>
  <c r="J190" i="76"/>
  <c r="J206" i="76"/>
  <c r="J32" i="76"/>
  <c r="J48" i="76"/>
  <c r="J64" i="76"/>
  <c r="J80" i="76"/>
  <c r="J96" i="76"/>
  <c r="J112" i="76"/>
  <c r="J128" i="76"/>
  <c r="J144" i="76"/>
  <c r="J160" i="76"/>
  <c r="J176" i="76"/>
  <c r="J192" i="76"/>
  <c r="J208" i="76"/>
  <c r="J224" i="76"/>
  <c r="J240" i="76"/>
  <c r="J34" i="76"/>
  <c r="J50" i="76"/>
  <c r="J66" i="76"/>
  <c r="J82" i="76"/>
  <c r="J98" i="76"/>
  <c r="J114" i="76"/>
  <c r="J130" i="76"/>
  <c r="J146" i="76"/>
  <c r="J162" i="76"/>
  <c r="J178" i="76"/>
  <c r="J194" i="76"/>
  <c r="J210" i="76"/>
  <c r="J226" i="76"/>
  <c r="J242" i="76"/>
  <c r="J22" i="76"/>
  <c r="J39" i="76"/>
  <c r="J55" i="76"/>
  <c r="J71" i="76"/>
  <c r="J87" i="76"/>
  <c r="J103" i="76"/>
  <c r="J119" i="76"/>
  <c r="J135" i="76"/>
  <c r="J151" i="76"/>
  <c r="J167" i="76"/>
  <c r="J183" i="76"/>
  <c r="J199" i="76"/>
  <c r="J215" i="76"/>
  <c r="J231" i="76"/>
  <c r="J17" i="76"/>
  <c r="I232" i="76"/>
  <c r="I213" i="76"/>
  <c r="I195" i="76"/>
  <c r="I177" i="76"/>
  <c r="I159" i="76"/>
  <c r="I140" i="76"/>
  <c r="I122" i="76"/>
  <c r="I104" i="76"/>
  <c r="I85" i="76"/>
  <c r="I67" i="76"/>
  <c r="I48" i="76"/>
  <c r="I28" i="76"/>
  <c r="J241" i="76"/>
  <c r="J221" i="76"/>
  <c r="J201" i="76"/>
  <c r="J180" i="76"/>
  <c r="J157" i="76"/>
  <c r="J137" i="76"/>
  <c r="J116" i="76"/>
  <c r="J93" i="76"/>
  <c r="J73" i="76"/>
  <c r="J52" i="76"/>
  <c r="J28" i="76"/>
  <c r="K190" i="76"/>
  <c r="K168" i="76"/>
  <c r="K143" i="76"/>
  <c r="K121" i="76"/>
  <c r="K96" i="76"/>
  <c r="K74" i="76"/>
  <c r="K49" i="76"/>
  <c r="I196" i="76"/>
  <c r="I105" i="76"/>
  <c r="K19" i="76"/>
  <c r="K35" i="76"/>
  <c r="K51" i="76"/>
  <c r="K67" i="76"/>
  <c r="K83" i="76"/>
  <c r="K99" i="76"/>
  <c r="K115" i="76"/>
  <c r="K131" i="76"/>
  <c r="K147" i="76"/>
  <c r="K163" i="76"/>
  <c r="K179" i="76"/>
  <c r="K195" i="76"/>
  <c r="K211" i="76"/>
  <c r="K227" i="76"/>
  <c r="K243" i="76"/>
  <c r="K21" i="76"/>
  <c r="K37" i="76"/>
  <c r="K53" i="76"/>
  <c r="K69" i="76"/>
  <c r="K85" i="76"/>
  <c r="K101" i="76"/>
  <c r="K117" i="76"/>
  <c r="K133" i="76"/>
  <c r="K149" i="76"/>
  <c r="K165" i="76"/>
  <c r="K181" i="76"/>
  <c r="K197" i="76"/>
  <c r="K213" i="76"/>
  <c r="K229" i="76"/>
  <c r="K245" i="76"/>
  <c r="K22" i="76"/>
  <c r="K38" i="76"/>
  <c r="K54" i="76"/>
  <c r="K70" i="76"/>
  <c r="K86" i="76"/>
  <c r="K102" i="76"/>
  <c r="K118" i="76"/>
  <c r="K134" i="76"/>
  <c r="K150" i="76"/>
  <c r="K166" i="76"/>
  <c r="K182" i="76"/>
  <c r="K198" i="76"/>
  <c r="K214" i="76"/>
  <c r="K230" i="76"/>
  <c r="K246" i="76"/>
  <c r="K23" i="76"/>
  <c r="K39" i="76"/>
  <c r="K55" i="76"/>
  <c r="K71" i="76"/>
  <c r="K87" i="76"/>
  <c r="K103" i="76"/>
  <c r="K119" i="76"/>
  <c r="K135" i="76"/>
  <c r="K151" i="76"/>
  <c r="K167" i="76"/>
  <c r="K183" i="76"/>
  <c r="K199" i="76"/>
  <c r="K215" i="76"/>
  <c r="K231" i="76"/>
  <c r="K17" i="76"/>
  <c r="K28" i="76"/>
  <c r="K44" i="76"/>
  <c r="K60" i="76"/>
  <c r="K76" i="76"/>
  <c r="K92" i="76"/>
  <c r="K108" i="76"/>
  <c r="K124" i="76"/>
  <c r="K140" i="76"/>
  <c r="K156" i="76"/>
  <c r="K172" i="76"/>
  <c r="K188" i="76"/>
  <c r="K204" i="76"/>
  <c r="K220" i="76"/>
  <c r="K236" i="76"/>
  <c r="I230" i="76"/>
  <c r="I212" i="76"/>
  <c r="I194" i="76"/>
  <c r="I176" i="76"/>
  <c r="I157" i="76"/>
  <c r="I139" i="76"/>
  <c r="I121" i="76"/>
  <c r="I102" i="76"/>
  <c r="I84" i="76"/>
  <c r="I66" i="76"/>
  <c r="I47" i="76"/>
  <c r="I27" i="76"/>
  <c r="J239" i="76"/>
  <c r="J220" i="76"/>
  <c r="J200" i="76"/>
  <c r="J179" i="76"/>
  <c r="J156" i="76"/>
  <c r="J136" i="76"/>
  <c r="J115" i="76"/>
  <c r="J92" i="76"/>
  <c r="J72" i="76"/>
  <c r="J51" i="76"/>
  <c r="J27" i="76"/>
  <c r="K235" i="76"/>
  <c r="K210" i="76"/>
  <c r="K189" i="76"/>
  <c r="K164" i="76"/>
  <c r="K142" i="76"/>
  <c r="K120" i="76"/>
  <c r="K95" i="76"/>
  <c r="K73" i="76"/>
  <c r="K48" i="76"/>
  <c r="K26" i="76"/>
  <c r="I160" i="76"/>
  <c r="I229" i="76"/>
  <c r="I211" i="76"/>
  <c r="I193" i="76"/>
  <c r="I175" i="76"/>
  <c r="I156" i="76"/>
  <c r="I138" i="76"/>
  <c r="I120" i="76"/>
  <c r="I101" i="76"/>
  <c r="I83" i="76"/>
  <c r="I65" i="76"/>
  <c r="I45" i="76"/>
  <c r="I26" i="76"/>
  <c r="J238" i="76"/>
  <c r="J219" i="76"/>
  <c r="J198" i="76"/>
  <c r="J177" i="76"/>
  <c r="J155" i="76"/>
  <c r="J134" i="76"/>
  <c r="J113" i="76"/>
  <c r="J91" i="76"/>
  <c r="J70" i="76"/>
  <c r="J49" i="76"/>
  <c r="J26" i="76"/>
  <c r="K234" i="76"/>
  <c r="K209" i="76"/>
  <c r="K187" i="76"/>
  <c r="K162" i="76"/>
  <c r="K141" i="76"/>
  <c r="K116" i="76"/>
  <c r="K94" i="76"/>
  <c r="K72" i="76"/>
  <c r="K47" i="76"/>
  <c r="K25" i="76"/>
  <c r="I214" i="76"/>
  <c r="I49" i="76"/>
  <c r="I246" i="76"/>
  <c r="I228" i="76"/>
  <c r="I210" i="76"/>
  <c r="I192" i="76"/>
  <c r="I173" i="76"/>
  <c r="I155" i="76"/>
  <c r="I137" i="76"/>
  <c r="I118" i="76"/>
  <c r="I100" i="76"/>
  <c r="I82" i="76"/>
  <c r="I64" i="76"/>
  <c r="I44" i="76"/>
  <c r="I24" i="76"/>
  <c r="J237" i="76"/>
  <c r="J218" i="76"/>
  <c r="J197" i="76"/>
  <c r="J175" i="76"/>
  <c r="J154" i="76"/>
  <c r="J133" i="76"/>
  <c r="J111" i="76"/>
  <c r="J90" i="76"/>
  <c r="J69" i="76"/>
  <c r="J47" i="76"/>
  <c r="J25" i="76"/>
  <c r="K233" i="76"/>
  <c r="K208" i="76"/>
  <c r="K186" i="76"/>
  <c r="K161" i="76"/>
  <c r="K139" i="76"/>
  <c r="K114" i="76"/>
  <c r="K93" i="76"/>
  <c r="K68" i="76"/>
  <c r="K46" i="76"/>
  <c r="K24" i="76"/>
  <c r="I178" i="76"/>
  <c r="I86" i="76"/>
  <c r="I245" i="76"/>
  <c r="I227" i="76"/>
  <c r="I209" i="76"/>
  <c r="I191" i="76"/>
  <c r="I172" i="76"/>
  <c r="I154" i="76"/>
  <c r="I136" i="76"/>
  <c r="I117" i="76"/>
  <c r="I99" i="76"/>
  <c r="I81" i="76"/>
  <c r="I63" i="76"/>
  <c r="I43" i="76"/>
  <c r="I22" i="76"/>
  <c r="J236" i="76"/>
  <c r="J217" i="76"/>
  <c r="J196" i="76"/>
  <c r="J173" i="76"/>
  <c r="J153" i="76"/>
  <c r="J132" i="76"/>
  <c r="J109" i="76"/>
  <c r="J89" i="76"/>
  <c r="J68" i="76"/>
  <c r="J45" i="76"/>
  <c r="J24" i="76"/>
  <c r="K232" i="76"/>
  <c r="K207" i="76"/>
  <c r="K185" i="76"/>
  <c r="K160" i="76"/>
  <c r="K138" i="76"/>
  <c r="K113" i="76"/>
  <c r="K91" i="76"/>
  <c r="K66" i="76"/>
  <c r="K45" i="76"/>
  <c r="K20" i="76"/>
  <c r="I123" i="76"/>
  <c r="I244" i="76"/>
  <c r="I226" i="76"/>
  <c r="I208" i="76"/>
  <c r="I189" i="76"/>
  <c r="I171" i="76"/>
  <c r="I153" i="76"/>
  <c r="I134" i="76"/>
  <c r="I116" i="76"/>
  <c r="I98" i="76"/>
  <c r="I80" i="76"/>
  <c r="I61" i="76"/>
  <c r="I42" i="76"/>
  <c r="I21" i="76"/>
  <c r="J235" i="76"/>
  <c r="J216" i="76"/>
  <c r="J195" i="76"/>
  <c r="J172" i="76"/>
  <c r="J152" i="76"/>
  <c r="J131" i="76"/>
  <c r="J108" i="76"/>
  <c r="J88" i="76"/>
  <c r="J67" i="76"/>
  <c r="J44" i="76"/>
  <c r="J23" i="76"/>
  <c r="K228" i="76"/>
  <c r="K206" i="76"/>
  <c r="K184" i="76"/>
  <c r="K159" i="76"/>
  <c r="K137" i="76"/>
  <c r="K112" i="76"/>
  <c r="K90" i="76"/>
  <c r="K65" i="76"/>
  <c r="K43" i="76"/>
  <c r="K18" i="76"/>
  <c r="I233" i="76"/>
  <c r="I68" i="76"/>
  <c r="I243" i="76"/>
  <c r="I225" i="76"/>
  <c r="I207" i="76"/>
  <c r="I188" i="76"/>
  <c r="I170" i="76"/>
  <c r="I152" i="76"/>
  <c r="I133" i="76"/>
  <c r="I115" i="76"/>
  <c r="I97" i="76"/>
  <c r="I79" i="76"/>
  <c r="I60" i="76"/>
  <c r="I40" i="76"/>
  <c r="I20" i="76"/>
  <c r="J234" i="76"/>
  <c r="J214" i="76"/>
  <c r="J193" i="76"/>
  <c r="J171" i="76"/>
  <c r="J150" i="76"/>
  <c r="J129" i="76"/>
  <c r="J107" i="76"/>
  <c r="J86" i="76"/>
  <c r="J65" i="76"/>
  <c r="J43" i="76"/>
  <c r="J21" i="76"/>
  <c r="K226" i="76"/>
  <c r="K205" i="76"/>
  <c r="K180" i="76"/>
  <c r="K158" i="76"/>
  <c r="K136" i="76"/>
  <c r="K111" i="76"/>
  <c r="K89" i="76"/>
  <c r="K64" i="76"/>
  <c r="K42" i="76"/>
  <c r="J30" i="76"/>
  <c r="L226" i="76" l="1"/>
  <c r="L91" i="76"/>
  <c r="L209" i="76"/>
  <c r="L72" i="76"/>
  <c r="L123" i="76"/>
  <c r="L244" i="76"/>
  <c r="L238" i="76"/>
  <c r="L137" i="76"/>
  <c r="L211" i="76"/>
  <c r="L197" i="76"/>
  <c r="L172" i="76"/>
  <c r="L20" i="76"/>
  <c r="L45" i="76"/>
  <c r="L165" i="76"/>
  <c r="L191" i="76"/>
  <c r="L92" i="76"/>
  <c r="L112" i="76"/>
  <c r="L40" i="76"/>
  <c r="L176" i="76"/>
  <c r="L68" i="76"/>
  <c r="L100" i="76"/>
  <c r="L203" i="76"/>
  <c r="L63" i="76"/>
  <c r="L214" i="76"/>
  <c r="L24" i="76"/>
  <c r="L243" i="76"/>
  <c r="L222" i="76"/>
  <c r="L38" i="76"/>
  <c r="L177" i="76"/>
  <c r="L140" i="76"/>
  <c r="L14" i="76"/>
  <c r="L231" i="76"/>
  <c r="L130" i="76"/>
  <c r="L84" i="76"/>
  <c r="L199" i="76"/>
  <c r="L106" i="76"/>
  <c r="L56" i="76"/>
  <c r="L178" i="76"/>
  <c r="L60" i="76"/>
  <c r="L182" i="76"/>
  <c r="L79" i="76"/>
  <c r="L21" i="76"/>
  <c r="L192" i="76"/>
  <c r="L145" i="76"/>
  <c r="L242" i="76"/>
  <c r="L138" i="76"/>
  <c r="L102" i="76"/>
  <c r="L61" i="76"/>
  <c r="L143" i="76"/>
  <c r="L223" i="76"/>
  <c r="L15" i="76"/>
  <c r="L27" i="76"/>
  <c r="L50" i="76"/>
  <c r="L224" i="76"/>
  <c r="L227" i="76"/>
  <c r="L83" i="76"/>
  <c r="L159" i="76"/>
  <c r="L206" i="76"/>
  <c r="L129" i="76"/>
  <c r="L169" i="76"/>
  <c r="L207" i="76"/>
  <c r="L81" i="76"/>
  <c r="L229" i="76"/>
  <c r="L194" i="76"/>
  <c r="L16" i="76"/>
  <c r="L26" i="76"/>
  <c r="L104" i="76"/>
  <c r="L41" i="76"/>
  <c r="L23" i="76"/>
  <c r="L74" i="76"/>
  <c r="L37" i="76"/>
  <c r="L146" i="76"/>
  <c r="L127" i="76"/>
  <c r="L201" i="76"/>
  <c r="L122" i="76"/>
  <c r="L32" i="76"/>
  <c r="L245" i="76"/>
  <c r="L173" i="76"/>
  <c r="L101" i="76"/>
  <c r="L66" i="76"/>
  <c r="L190" i="76"/>
  <c r="L215" i="76"/>
  <c r="L88" i="76"/>
  <c r="L221" i="76"/>
  <c r="L93" i="76"/>
  <c r="L59" i="76"/>
  <c r="L217" i="76"/>
  <c r="L118" i="76"/>
  <c r="L185" i="76"/>
  <c r="L144" i="76"/>
  <c r="L47" i="76"/>
  <c r="L97" i="76"/>
  <c r="L86" i="76"/>
  <c r="L120" i="76"/>
  <c r="L195" i="76"/>
  <c r="L240" i="76"/>
  <c r="L213" i="76"/>
  <c r="L158" i="76"/>
  <c r="L183" i="76"/>
  <c r="L124" i="76"/>
  <c r="L184" i="76"/>
  <c r="L114" i="76"/>
  <c r="L108" i="76"/>
  <c r="L205" i="76"/>
  <c r="L58" i="76"/>
  <c r="L76" i="76"/>
  <c r="L133" i="76"/>
  <c r="L228" i="76"/>
  <c r="L156" i="76"/>
  <c r="L121" i="76"/>
  <c r="L232" i="76"/>
  <c r="L142" i="76"/>
  <c r="L167" i="76"/>
  <c r="L73" i="76"/>
  <c r="L34" i="76"/>
  <c r="L149" i="76"/>
  <c r="L109" i="76"/>
  <c r="L181" i="76"/>
  <c r="L152" i="76"/>
  <c r="L80" i="76"/>
  <c r="L22" i="76"/>
  <c r="L246" i="76"/>
  <c r="L175" i="76"/>
  <c r="L139" i="76"/>
  <c r="L105" i="76"/>
  <c r="L126" i="76"/>
  <c r="L151" i="76"/>
  <c r="L161" i="76"/>
  <c r="L163" i="76"/>
  <c r="L241" i="76"/>
  <c r="L125" i="76"/>
  <c r="L131" i="76"/>
  <c r="L198" i="76"/>
  <c r="L150" i="76"/>
  <c r="L219" i="76"/>
  <c r="L170" i="76"/>
  <c r="L98" i="76"/>
  <c r="L43" i="76"/>
  <c r="L49" i="76"/>
  <c r="L193" i="76"/>
  <c r="L157" i="76"/>
  <c r="L196" i="76"/>
  <c r="L110" i="76"/>
  <c r="L135" i="76"/>
  <c r="L179" i="76"/>
  <c r="L77" i="76"/>
  <c r="L237" i="76"/>
  <c r="L168" i="76"/>
  <c r="L200" i="76"/>
  <c r="L33" i="76"/>
  <c r="L220" i="76"/>
  <c r="L65" i="76"/>
  <c r="L42" i="76"/>
  <c r="L116" i="76"/>
  <c r="L94" i="76"/>
  <c r="L119" i="76"/>
  <c r="L17" i="76"/>
  <c r="L53" i="76"/>
  <c r="L166" i="76"/>
  <c r="L239" i="76"/>
  <c r="L218" i="76"/>
  <c r="L141" i="76"/>
  <c r="L174" i="76"/>
  <c r="L78" i="76"/>
  <c r="L103" i="76"/>
  <c r="L216" i="76"/>
  <c r="L162" i="76"/>
  <c r="L164" i="76"/>
  <c r="L52" i="76"/>
  <c r="L107" i="76"/>
  <c r="L25" i="76"/>
  <c r="L134" i="76"/>
  <c r="L153" i="76"/>
  <c r="L28" i="76"/>
  <c r="L62" i="76"/>
  <c r="L234" i="76"/>
  <c r="L204" i="76"/>
  <c r="L96" i="76"/>
  <c r="L19" i="76"/>
  <c r="L148" i="76"/>
  <c r="L132" i="76"/>
  <c r="L115" i="76"/>
  <c r="L188" i="76"/>
  <c r="L99" i="76"/>
  <c r="L212" i="76"/>
  <c r="L171" i="76"/>
  <c r="L71" i="76"/>
  <c r="L90" i="76"/>
  <c r="L225" i="76"/>
  <c r="L18" i="76"/>
  <c r="L111" i="76"/>
  <c r="L155" i="76"/>
  <c r="L69" i="76"/>
  <c r="L210" i="76"/>
  <c r="L160" i="76"/>
  <c r="L87" i="76"/>
  <c r="L117" i="76"/>
  <c r="L44" i="76"/>
  <c r="L230" i="76"/>
  <c r="L48" i="76"/>
  <c r="L46" i="76"/>
  <c r="L89" i="76"/>
  <c r="L147" i="76"/>
  <c r="L75" i="76"/>
  <c r="L187" i="76"/>
  <c r="L189" i="76"/>
  <c r="L136" i="76"/>
  <c r="L64" i="76"/>
  <c r="L67" i="76"/>
  <c r="L30" i="76"/>
  <c r="L55" i="76"/>
  <c r="L35" i="76"/>
  <c r="L51" i="76"/>
  <c r="L180" i="76"/>
  <c r="L186" i="76"/>
  <c r="L236" i="76"/>
  <c r="L113" i="76"/>
  <c r="L70" i="76"/>
  <c r="L36" i="76"/>
  <c r="L233" i="76"/>
  <c r="L208" i="76"/>
  <c r="L154" i="76"/>
  <c r="L82" i="76"/>
  <c r="L85" i="76"/>
  <c r="L29" i="76"/>
  <c r="L57" i="76"/>
  <c r="L39" i="76"/>
  <c r="L54" i="76"/>
  <c r="L95" i="76"/>
  <c r="L235" i="76"/>
  <c r="L128" i="76"/>
  <c r="L202" i="76"/>
  <c r="L31" i="76"/>
  <c r="O118" i="76" l="1"/>
  <c r="M118" i="76"/>
  <c r="N118" i="76"/>
  <c r="M246" i="76"/>
  <c r="N246" i="76"/>
  <c r="O246" i="76"/>
  <c r="M134" i="76"/>
  <c r="N134" i="76"/>
  <c r="O134" i="76"/>
  <c r="O70" i="76"/>
  <c r="M70" i="76"/>
  <c r="N70" i="76"/>
  <c r="N197" i="76"/>
  <c r="O197" i="76"/>
  <c r="M197" i="76"/>
  <c r="N133" i="76"/>
  <c r="O133" i="76"/>
  <c r="M133" i="76"/>
  <c r="O85" i="76"/>
  <c r="M85" i="76"/>
  <c r="N85" i="76"/>
  <c r="M148" i="76"/>
  <c r="N148" i="76"/>
  <c r="O148" i="76"/>
  <c r="O52" i="76"/>
  <c r="M52" i="76"/>
  <c r="N52" i="76"/>
  <c r="M195" i="76"/>
  <c r="N195" i="76"/>
  <c r="O195" i="76"/>
  <c r="N19" i="76"/>
  <c r="M19" i="76"/>
  <c r="O19" i="76"/>
  <c r="M162" i="76"/>
  <c r="N162" i="76"/>
  <c r="O162" i="76"/>
  <c r="N82" i="76"/>
  <c r="M82" i="76"/>
  <c r="O82" i="76"/>
  <c r="N225" i="76"/>
  <c r="M225" i="76"/>
  <c r="O225" i="76"/>
  <c r="N113" i="76"/>
  <c r="O113" i="76"/>
  <c r="M113" i="76"/>
  <c r="M65" i="76"/>
  <c r="O65" i="76"/>
  <c r="N65" i="76"/>
  <c r="M192" i="76"/>
  <c r="N192" i="76"/>
  <c r="O192" i="76"/>
  <c r="M80" i="76"/>
  <c r="N80" i="76"/>
  <c r="O80" i="76"/>
  <c r="M207" i="76"/>
  <c r="O207" i="76"/>
  <c r="N207" i="76"/>
  <c r="N111" i="76"/>
  <c r="O111" i="76"/>
  <c r="M111" i="76"/>
  <c r="M238" i="76"/>
  <c r="N238" i="76"/>
  <c r="O238" i="76"/>
  <c r="M142" i="76"/>
  <c r="O142" i="76"/>
  <c r="N142" i="76"/>
  <c r="O62" i="76"/>
  <c r="M62" i="76"/>
  <c r="N62" i="76"/>
  <c r="M92" i="76"/>
  <c r="N92" i="76"/>
  <c r="O92" i="76"/>
  <c r="N214" i="76"/>
  <c r="M214" i="76"/>
  <c r="O214" i="76"/>
  <c r="N86" i="76"/>
  <c r="M86" i="76"/>
  <c r="O86" i="76"/>
  <c r="M245" i="76"/>
  <c r="O245" i="76"/>
  <c r="N245" i="76"/>
  <c r="N149" i="76"/>
  <c r="O149" i="76"/>
  <c r="M149" i="76"/>
  <c r="M228" i="76"/>
  <c r="N228" i="76"/>
  <c r="O228" i="76"/>
  <c r="O132" i="76"/>
  <c r="N132" i="76"/>
  <c r="M132" i="76"/>
  <c r="M20" i="76"/>
  <c r="O20" i="76"/>
  <c r="N20" i="76"/>
  <c r="M227" i="76"/>
  <c r="N227" i="76"/>
  <c r="O227" i="76"/>
  <c r="N131" i="76"/>
  <c r="M131" i="76"/>
  <c r="O131" i="76"/>
  <c r="N99" i="76"/>
  <c r="M99" i="76"/>
  <c r="O99" i="76"/>
  <c r="O226" i="76"/>
  <c r="N226" i="76"/>
  <c r="M226" i="76"/>
  <c r="N18" i="76"/>
  <c r="M18" i="76"/>
  <c r="O18" i="76"/>
  <c r="M177" i="76"/>
  <c r="N177" i="76"/>
  <c r="O177" i="76"/>
  <c r="N81" i="76"/>
  <c r="M81" i="76"/>
  <c r="O81" i="76"/>
  <c r="M208" i="76"/>
  <c r="O208" i="76"/>
  <c r="N208" i="76"/>
  <c r="O64" i="76"/>
  <c r="M64" i="76"/>
  <c r="N64" i="76"/>
  <c r="O191" i="76"/>
  <c r="N191" i="76"/>
  <c r="M191" i="76"/>
  <c r="M31" i="76"/>
  <c r="N31" i="76"/>
  <c r="O31" i="76"/>
  <c r="N206" i="76"/>
  <c r="O206" i="76"/>
  <c r="M206" i="76"/>
  <c r="M173" i="76"/>
  <c r="N173" i="76"/>
  <c r="O173" i="76"/>
  <c r="O198" i="76"/>
  <c r="M198" i="76"/>
  <c r="N198" i="76"/>
  <c r="O38" i="76"/>
  <c r="M38" i="76"/>
  <c r="N38" i="76"/>
  <c r="O165" i="76"/>
  <c r="M165" i="76"/>
  <c r="N165" i="76"/>
  <c r="N69" i="76"/>
  <c r="M69" i="76"/>
  <c r="O69" i="76"/>
  <c r="N244" i="76"/>
  <c r="M244" i="76"/>
  <c r="O244" i="76"/>
  <c r="M180" i="76"/>
  <c r="O180" i="76"/>
  <c r="N180" i="76"/>
  <c r="O84" i="76"/>
  <c r="N84" i="76"/>
  <c r="M84" i="76"/>
  <c r="M211" i="76"/>
  <c r="N211" i="76"/>
  <c r="O211" i="76"/>
  <c r="O115" i="76"/>
  <c r="M115" i="76"/>
  <c r="N115" i="76"/>
  <c r="O83" i="76"/>
  <c r="M83" i="76"/>
  <c r="N83" i="76"/>
  <c r="O194" i="76"/>
  <c r="N194" i="76"/>
  <c r="M194" i="76"/>
  <c r="M114" i="76"/>
  <c r="N114" i="76"/>
  <c r="O114" i="76"/>
  <c r="M66" i="76"/>
  <c r="N66" i="76"/>
  <c r="O66" i="76"/>
  <c r="N193" i="76"/>
  <c r="M193" i="76"/>
  <c r="O193" i="76"/>
  <c r="M49" i="76"/>
  <c r="O49" i="76"/>
  <c r="N49" i="76"/>
  <c r="M160" i="76"/>
  <c r="N160" i="76"/>
  <c r="O160" i="76"/>
  <c r="M96" i="76"/>
  <c r="O96" i="76"/>
  <c r="N96" i="76"/>
  <c r="M239" i="76"/>
  <c r="O239" i="76"/>
  <c r="N239" i="76"/>
  <c r="O127" i="76"/>
  <c r="N127" i="76"/>
  <c r="M127" i="76"/>
  <c r="M63" i="76"/>
  <c r="N63" i="76"/>
  <c r="O63" i="76"/>
  <c r="M158" i="76"/>
  <c r="N158" i="76"/>
  <c r="O158" i="76"/>
  <c r="N78" i="76"/>
  <c r="M78" i="76"/>
  <c r="O78" i="76"/>
  <c r="M189" i="76"/>
  <c r="O189" i="76"/>
  <c r="N189" i="76"/>
  <c r="N93" i="76"/>
  <c r="O93" i="76"/>
  <c r="M93" i="76"/>
  <c r="M45" i="76"/>
  <c r="O45" i="76"/>
  <c r="N45" i="76"/>
  <c r="M188" i="76"/>
  <c r="N188" i="76"/>
  <c r="O188" i="76"/>
  <c r="O60" i="76"/>
  <c r="N60" i="76"/>
  <c r="M60" i="76"/>
  <c r="O171" i="76"/>
  <c r="M171" i="76"/>
  <c r="N171" i="76"/>
  <c r="O75" i="76"/>
  <c r="M75" i="76"/>
  <c r="N75" i="76"/>
  <c r="N202" i="76"/>
  <c r="M202" i="76"/>
  <c r="O202" i="76"/>
  <c r="O90" i="76"/>
  <c r="M90" i="76"/>
  <c r="N90" i="76"/>
  <c r="M26" i="76"/>
  <c r="N26" i="76"/>
  <c r="O26" i="76"/>
  <c r="O182" i="76"/>
  <c r="N182" i="76"/>
  <c r="M182" i="76"/>
  <c r="N54" i="76"/>
  <c r="O54" i="76"/>
  <c r="M54" i="76"/>
  <c r="N181" i="76"/>
  <c r="O181" i="76"/>
  <c r="M181" i="76"/>
  <c r="M37" i="76"/>
  <c r="O37" i="76"/>
  <c r="N37" i="76"/>
  <c r="O164" i="76"/>
  <c r="N164" i="76"/>
  <c r="M164" i="76"/>
  <c r="N100" i="76"/>
  <c r="M100" i="76"/>
  <c r="O100" i="76"/>
  <c r="O163" i="76"/>
  <c r="M163" i="76"/>
  <c r="N163" i="76"/>
  <c r="N51" i="76"/>
  <c r="O51" i="76"/>
  <c r="M51" i="76"/>
  <c r="O178" i="76"/>
  <c r="N178" i="76"/>
  <c r="M178" i="76"/>
  <c r="M98" i="76"/>
  <c r="N98" i="76"/>
  <c r="O98" i="76"/>
  <c r="O241" i="76"/>
  <c r="N241" i="76"/>
  <c r="M241" i="76"/>
  <c r="M209" i="76"/>
  <c r="O209" i="76"/>
  <c r="N209" i="76"/>
  <c r="O129" i="76"/>
  <c r="M129" i="76"/>
  <c r="N129" i="76"/>
  <c r="N97" i="76"/>
  <c r="O97" i="76"/>
  <c r="M97" i="76"/>
  <c r="P97" i="76" s="1"/>
  <c r="N240" i="76"/>
  <c r="O240" i="76"/>
  <c r="M240" i="76"/>
  <c r="N128" i="76"/>
  <c r="M128" i="76"/>
  <c r="O128" i="76"/>
  <c r="N48" i="76"/>
  <c r="M48" i="76"/>
  <c r="O48" i="76"/>
  <c r="O143" i="76"/>
  <c r="M143" i="76"/>
  <c r="N143" i="76"/>
  <c r="O47" i="76"/>
  <c r="M47" i="76"/>
  <c r="N47" i="76"/>
  <c r="O174" i="76"/>
  <c r="M174" i="76"/>
  <c r="N174" i="76"/>
  <c r="M94" i="76"/>
  <c r="O94" i="76"/>
  <c r="N94" i="76"/>
  <c r="M205" i="76"/>
  <c r="O205" i="76"/>
  <c r="N205" i="76"/>
  <c r="N109" i="76"/>
  <c r="O109" i="76"/>
  <c r="M109" i="76"/>
  <c r="N61" i="76"/>
  <c r="O61" i="76"/>
  <c r="M61" i="76"/>
  <c r="M236" i="76"/>
  <c r="N236" i="76"/>
  <c r="O236" i="76"/>
  <c r="M140" i="76"/>
  <c r="O140" i="76"/>
  <c r="N140" i="76"/>
  <c r="O44" i="76"/>
  <c r="N44" i="76"/>
  <c r="M44" i="76"/>
  <c r="N235" i="76"/>
  <c r="O235" i="76"/>
  <c r="M235" i="76"/>
  <c r="N139" i="76"/>
  <c r="O139" i="76"/>
  <c r="M139" i="76"/>
  <c r="M43" i="76"/>
  <c r="N43" i="76"/>
  <c r="O43" i="76"/>
  <c r="N234" i="76"/>
  <c r="O234" i="76"/>
  <c r="M234" i="76"/>
  <c r="O138" i="76"/>
  <c r="M138" i="76"/>
  <c r="N138" i="76"/>
  <c r="O58" i="76"/>
  <c r="M58" i="76"/>
  <c r="N58" i="76"/>
  <c r="N201" i="76"/>
  <c r="M201" i="76"/>
  <c r="O201" i="76"/>
  <c r="O153" i="76"/>
  <c r="N153" i="76"/>
  <c r="M153" i="76"/>
  <c r="M105" i="76"/>
  <c r="N105" i="76"/>
  <c r="O105" i="76"/>
  <c r="M73" i="76"/>
  <c r="N73" i="76"/>
  <c r="O73" i="76"/>
  <c r="M57" i="76"/>
  <c r="O57" i="76"/>
  <c r="N57" i="76"/>
  <c r="O41" i="76"/>
  <c r="M41" i="76"/>
  <c r="N41" i="76"/>
  <c r="M25" i="76"/>
  <c r="N25" i="76"/>
  <c r="O25" i="76"/>
  <c r="M230" i="76"/>
  <c r="O230" i="76"/>
  <c r="N230" i="76"/>
  <c r="N166" i="76"/>
  <c r="M166" i="76"/>
  <c r="O166" i="76"/>
  <c r="O102" i="76"/>
  <c r="N102" i="76"/>
  <c r="M102" i="76"/>
  <c r="M229" i="76"/>
  <c r="N229" i="76"/>
  <c r="O229" i="76"/>
  <c r="N117" i="76"/>
  <c r="M117" i="76"/>
  <c r="O117" i="76"/>
  <c r="O53" i="76"/>
  <c r="N53" i="76"/>
  <c r="M53" i="76"/>
  <c r="P53" i="76" s="1"/>
  <c r="N196" i="76"/>
  <c r="M196" i="76"/>
  <c r="O196" i="76"/>
  <c r="O36" i="76"/>
  <c r="N36" i="76"/>
  <c r="M36" i="76"/>
  <c r="O179" i="76"/>
  <c r="M179" i="76"/>
  <c r="N179" i="76"/>
  <c r="O67" i="76"/>
  <c r="M67" i="76"/>
  <c r="N67" i="76"/>
  <c r="M242" i="76"/>
  <c r="N242" i="76"/>
  <c r="O242" i="76"/>
  <c r="M146" i="76"/>
  <c r="O146" i="76"/>
  <c r="N146" i="76"/>
  <c r="M50" i="76"/>
  <c r="O50" i="76"/>
  <c r="N50" i="76"/>
  <c r="N145" i="76"/>
  <c r="M145" i="76"/>
  <c r="O145" i="76"/>
  <c r="N33" i="76"/>
  <c r="O33" i="76"/>
  <c r="M33" i="76"/>
  <c r="M224" i="76"/>
  <c r="O224" i="76"/>
  <c r="N224" i="76"/>
  <c r="M144" i="76"/>
  <c r="N144" i="76"/>
  <c r="O144" i="76"/>
  <c r="M32" i="76"/>
  <c r="O32" i="76"/>
  <c r="N32" i="76"/>
  <c r="M175" i="76"/>
  <c r="O175" i="76"/>
  <c r="N175" i="76"/>
  <c r="O95" i="76"/>
  <c r="M95" i="76"/>
  <c r="N95" i="76"/>
  <c r="O222" i="76"/>
  <c r="M222" i="76"/>
  <c r="N222" i="76"/>
  <c r="N126" i="76"/>
  <c r="M126" i="76"/>
  <c r="O126" i="76"/>
  <c r="M30" i="76"/>
  <c r="N30" i="76"/>
  <c r="O30" i="76"/>
  <c r="O221" i="76"/>
  <c r="M221" i="76"/>
  <c r="N221" i="76"/>
  <c r="M141" i="76"/>
  <c r="N141" i="76"/>
  <c r="O141" i="76"/>
  <c r="O29" i="76"/>
  <c r="M29" i="76"/>
  <c r="N29" i="76"/>
  <c r="N204" i="76"/>
  <c r="M204" i="76"/>
  <c r="O204" i="76"/>
  <c r="M156" i="76"/>
  <c r="O156" i="76"/>
  <c r="N156" i="76"/>
  <c r="O124" i="76"/>
  <c r="N124" i="76"/>
  <c r="M124" i="76"/>
  <c r="O76" i="76"/>
  <c r="N76" i="76"/>
  <c r="M76" i="76"/>
  <c r="M203" i="76"/>
  <c r="O203" i="76"/>
  <c r="N203" i="76"/>
  <c r="M155" i="76"/>
  <c r="O155" i="76"/>
  <c r="N155" i="76"/>
  <c r="O91" i="76"/>
  <c r="M91" i="76"/>
  <c r="N91" i="76"/>
  <c r="O27" i="76"/>
  <c r="M27" i="76"/>
  <c r="N27" i="76"/>
  <c r="N218" i="76"/>
  <c r="O218" i="76"/>
  <c r="M218" i="76"/>
  <c r="N170" i="76"/>
  <c r="O170" i="76"/>
  <c r="M170" i="76"/>
  <c r="N106" i="76"/>
  <c r="M106" i="76"/>
  <c r="O106" i="76"/>
  <c r="M42" i="76"/>
  <c r="O42" i="76"/>
  <c r="N42" i="76"/>
  <c r="N217" i="76"/>
  <c r="O217" i="76"/>
  <c r="M217" i="76"/>
  <c r="O169" i="76"/>
  <c r="N169" i="76"/>
  <c r="M169" i="76"/>
  <c r="M121" i="76"/>
  <c r="N121" i="76"/>
  <c r="O121" i="76"/>
  <c r="O89" i="76"/>
  <c r="N89" i="76"/>
  <c r="M89" i="76"/>
  <c r="N232" i="76"/>
  <c r="O232" i="76"/>
  <c r="M232" i="76"/>
  <c r="N216" i="76"/>
  <c r="M216" i="76"/>
  <c r="O216" i="76"/>
  <c r="O200" i="76"/>
  <c r="M200" i="76"/>
  <c r="N200" i="76"/>
  <c r="M184" i="76"/>
  <c r="N184" i="76"/>
  <c r="O184" i="76"/>
  <c r="M168" i="76"/>
  <c r="O168" i="76"/>
  <c r="N168" i="76"/>
  <c r="O152" i="76"/>
  <c r="N152" i="76"/>
  <c r="M152" i="76"/>
  <c r="N136" i="76"/>
  <c r="O136" i="76"/>
  <c r="M136" i="76"/>
  <c r="M120" i="76"/>
  <c r="N120" i="76"/>
  <c r="O120" i="76"/>
  <c r="O104" i="76"/>
  <c r="N104" i="76"/>
  <c r="M104" i="76"/>
  <c r="O88" i="76"/>
  <c r="M88" i="76"/>
  <c r="N88" i="76"/>
  <c r="N72" i="76"/>
  <c r="M72" i="76"/>
  <c r="O72" i="76"/>
  <c r="O56" i="76"/>
  <c r="M56" i="76"/>
  <c r="N56" i="76"/>
  <c r="O40" i="76"/>
  <c r="N40" i="76"/>
  <c r="M40" i="76"/>
  <c r="M24" i="76"/>
  <c r="O24" i="76"/>
  <c r="N24" i="76"/>
  <c r="O150" i="76"/>
  <c r="M150" i="76"/>
  <c r="N150" i="76"/>
  <c r="N22" i="76"/>
  <c r="M22" i="76"/>
  <c r="O22" i="76"/>
  <c r="O213" i="76"/>
  <c r="N213" i="76"/>
  <c r="M213" i="76"/>
  <c r="O101" i="76"/>
  <c r="M101" i="76"/>
  <c r="N101" i="76"/>
  <c r="N21" i="76"/>
  <c r="O21" i="76"/>
  <c r="M21" i="76"/>
  <c r="P21" i="76" s="1"/>
  <c r="O212" i="76"/>
  <c r="N212" i="76"/>
  <c r="M212" i="76"/>
  <c r="O116" i="76"/>
  <c r="M116" i="76"/>
  <c r="N116" i="76"/>
  <c r="M68" i="76"/>
  <c r="O68" i="76"/>
  <c r="N68" i="76"/>
  <c r="N243" i="76"/>
  <c r="M243" i="76"/>
  <c r="O243" i="76"/>
  <c r="O147" i="76"/>
  <c r="N147" i="76"/>
  <c r="M147" i="76"/>
  <c r="O35" i="76"/>
  <c r="M35" i="76"/>
  <c r="N35" i="76"/>
  <c r="M210" i="76"/>
  <c r="O210" i="76"/>
  <c r="N210" i="76"/>
  <c r="N130" i="76"/>
  <c r="M130" i="76"/>
  <c r="O130" i="76"/>
  <c r="M34" i="76"/>
  <c r="N34" i="76"/>
  <c r="O34" i="76"/>
  <c r="N161" i="76"/>
  <c r="O161" i="76"/>
  <c r="M161" i="76"/>
  <c r="N17" i="76"/>
  <c r="O17" i="76"/>
  <c r="M17" i="76"/>
  <c r="N176" i="76"/>
  <c r="M176" i="76"/>
  <c r="O176" i="76"/>
  <c r="M112" i="76"/>
  <c r="O112" i="76"/>
  <c r="N112" i="76"/>
  <c r="E16" i="76"/>
  <c r="H16" i="76" s="1"/>
  <c r="N16" i="76"/>
  <c r="O16" i="76"/>
  <c r="M16" i="76"/>
  <c r="P16" i="76" s="1"/>
  <c r="N223" i="76"/>
  <c r="O223" i="76"/>
  <c r="M223" i="76"/>
  <c r="N159" i="76"/>
  <c r="O159" i="76"/>
  <c r="M159" i="76"/>
  <c r="O79" i="76"/>
  <c r="M79" i="76"/>
  <c r="N79" i="76"/>
  <c r="N190" i="76"/>
  <c r="M190" i="76"/>
  <c r="O190" i="76"/>
  <c r="N110" i="76"/>
  <c r="O110" i="76"/>
  <c r="M110" i="76"/>
  <c r="O46" i="76"/>
  <c r="M46" i="76"/>
  <c r="N46" i="76"/>
  <c r="M237" i="76"/>
  <c r="O237" i="76"/>
  <c r="N237" i="76"/>
  <c r="O157" i="76"/>
  <c r="N157" i="76"/>
  <c r="M157" i="76"/>
  <c r="N125" i="76"/>
  <c r="M125" i="76"/>
  <c r="O125" i="76"/>
  <c r="O77" i="76"/>
  <c r="N77" i="76"/>
  <c r="M77" i="76"/>
  <c r="M220" i="76"/>
  <c r="N220" i="76"/>
  <c r="O220" i="76"/>
  <c r="N172" i="76"/>
  <c r="M172" i="76"/>
  <c r="O172" i="76"/>
  <c r="M108" i="76"/>
  <c r="N108" i="76"/>
  <c r="O108" i="76"/>
  <c r="N28" i="76"/>
  <c r="M28" i="76"/>
  <c r="O28" i="76"/>
  <c r="M219" i="76"/>
  <c r="O219" i="76"/>
  <c r="N219" i="76"/>
  <c r="O187" i="76"/>
  <c r="N187" i="76"/>
  <c r="M187" i="76"/>
  <c r="P187" i="76" s="1"/>
  <c r="N123" i="76"/>
  <c r="O123" i="76"/>
  <c r="M123" i="76"/>
  <c r="N107" i="76"/>
  <c r="O107" i="76"/>
  <c r="M107" i="76"/>
  <c r="O59" i="76"/>
  <c r="M59" i="76"/>
  <c r="N59" i="76"/>
  <c r="N186" i="76"/>
  <c r="O186" i="76"/>
  <c r="M186" i="76"/>
  <c r="N154" i="76"/>
  <c r="O154" i="76"/>
  <c r="M154" i="76"/>
  <c r="O122" i="76"/>
  <c r="M122" i="76"/>
  <c r="N122" i="76"/>
  <c r="N74" i="76"/>
  <c r="O74" i="76"/>
  <c r="M74" i="76"/>
  <c r="P74" i="76" s="1"/>
  <c r="M233" i="76"/>
  <c r="O233" i="76"/>
  <c r="N233" i="76"/>
  <c r="O185" i="76"/>
  <c r="N185" i="76"/>
  <c r="M185" i="76"/>
  <c r="O137" i="76"/>
  <c r="N137" i="76"/>
  <c r="M137" i="76"/>
  <c r="E14" i="76"/>
  <c r="O14" i="76"/>
  <c r="N14" i="76"/>
  <c r="M14" i="76"/>
  <c r="O231" i="76"/>
  <c r="M231" i="76"/>
  <c r="N231" i="76"/>
  <c r="M215" i="76"/>
  <c r="N215" i="76"/>
  <c r="O215" i="76"/>
  <c r="N199" i="76"/>
  <c r="O199" i="76"/>
  <c r="M199" i="76"/>
  <c r="O183" i="76"/>
  <c r="N183" i="76"/>
  <c r="M183" i="76"/>
  <c r="O167" i="76"/>
  <c r="N167" i="76"/>
  <c r="M167" i="76"/>
  <c r="M151" i="76"/>
  <c r="N151" i="76"/>
  <c r="O151" i="76"/>
  <c r="O135" i="76"/>
  <c r="M135" i="76"/>
  <c r="N135" i="76"/>
  <c r="N119" i="76"/>
  <c r="O119" i="76"/>
  <c r="M119" i="76"/>
  <c r="M103" i="76"/>
  <c r="N103" i="76"/>
  <c r="O103" i="76"/>
  <c r="M87" i="76"/>
  <c r="O87" i="76"/>
  <c r="N87" i="76"/>
  <c r="M71" i="76"/>
  <c r="O71" i="76"/>
  <c r="N71" i="76"/>
  <c r="O55" i="76"/>
  <c r="N55" i="76"/>
  <c r="M55" i="76"/>
  <c r="M39" i="76"/>
  <c r="O39" i="76"/>
  <c r="N39" i="76"/>
  <c r="N23" i="76"/>
  <c r="M23" i="76"/>
  <c r="O23" i="76"/>
  <c r="E166" i="76"/>
  <c r="F166" i="76"/>
  <c r="G166" i="76"/>
  <c r="G85" i="76"/>
  <c r="E85" i="76"/>
  <c r="F85" i="76"/>
  <c r="G226" i="76"/>
  <c r="F226" i="76"/>
  <c r="E226" i="76"/>
  <c r="F246" i="76"/>
  <c r="G246" i="76"/>
  <c r="E246" i="76"/>
  <c r="G150" i="76"/>
  <c r="E150" i="76"/>
  <c r="F150" i="76"/>
  <c r="F229" i="76"/>
  <c r="E229" i="76"/>
  <c r="G229" i="76"/>
  <c r="E21" i="76"/>
  <c r="G21" i="76"/>
  <c r="F21" i="76"/>
  <c r="F164" i="76"/>
  <c r="G164" i="76"/>
  <c r="E164" i="76"/>
  <c r="G100" i="76"/>
  <c r="E100" i="76"/>
  <c r="F100" i="76"/>
  <c r="F243" i="76"/>
  <c r="G243" i="76"/>
  <c r="E243" i="76"/>
  <c r="G83" i="76"/>
  <c r="E83" i="76"/>
  <c r="F83" i="76"/>
  <c r="G242" i="76"/>
  <c r="F242" i="76"/>
  <c r="E242" i="76"/>
  <c r="H242" i="76" s="1"/>
  <c r="E98" i="76"/>
  <c r="F98" i="76"/>
  <c r="G98" i="76"/>
  <c r="F193" i="76"/>
  <c r="G193" i="76"/>
  <c r="E193" i="76"/>
  <c r="E49" i="76"/>
  <c r="G49" i="76"/>
  <c r="F49" i="76"/>
  <c r="F112" i="76"/>
  <c r="E112" i="76"/>
  <c r="G112" i="76"/>
  <c r="E31" i="76"/>
  <c r="G31" i="76"/>
  <c r="F31" i="76"/>
  <c r="F198" i="76"/>
  <c r="G198" i="76"/>
  <c r="E198" i="76"/>
  <c r="E38" i="76"/>
  <c r="G38" i="76"/>
  <c r="F38" i="76"/>
  <c r="F165" i="76"/>
  <c r="G165" i="76"/>
  <c r="E165" i="76"/>
  <c r="F228" i="76"/>
  <c r="E228" i="76"/>
  <c r="G228" i="76"/>
  <c r="G20" i="76"/>
  <c r="E20" i="76"/>
  <c r="F20" i="76"/>
  <c r="E115" i="76"/>
  <c r="G115" i="76"/>
  <c r="F115" i="76"/>
  <c r="F178" i="76"/>
  <c r="G178" i="76"/>
  <c r="E178" i="76"/>
  <c r="G82" i="76"/>
  <c r="E82" i="76"/>
  <c r="F82" i="76"/>
  <c r="F177" i="76"/>
  <c r="E177" i="76"/>
  <c r="G177" i="76"/>
  <c r="E33" i="76"/>
  <c r="G33" i="76"/>
  <c r="F33" i="76"/>
  <c r="F176" i="76"/>
  <c r="G176" i="76"/>
  <c r="E176" i="76"/>
  <c r="H176" i="76" s="1"/>
  <c r="F96" i="76"/>
  <c r="E96" i="76"/>
  <c r="G96" i="76"/>
  <c r="G223" i="76"/>
  <c r="E223" i="76"/>
  <c r="F223" i="76"/>
  <c r="E79" i="76"/>
  <c r="F79" i="76"/>
  <c r="G79" i="76"/>
  <c r="G238" i="76"/>
  <c r="E238" i="76"/>
  <c r="F238" i="76"/>
  <c r="G222" i="76"/>
  <c r="E222" i="76"/>
  <c r="F222" i="76"/>
  <c r="G206" i="76"/>
  <c r="E206" i="76"/>
  <c r="F206" i="76"/>
  <c r="G190" i="76"/>
  <c r="E190" i="76"/>
  <c r="F190" i="76"/>
  <c r="G174" i="76"/>
  <c r="E174" i="76"/>
  <c r="F174" i="76"/>
  <c r="G158" i="76"/>
  <c r="E158" i="76"/>
  <c r="F158" i="76"/>
  <c r="F142" i="76"/>
  <c r="G142" i="76"/>
  <c r="E142" i="76"/>
  <c r="F126" i="76"/>
  <c r="G126" i="76"/>
  <c r="E126" i="76"/>
  <c r="F110" i="76"/>
  <c r="G110" i="76"/>
  <c r="E110" i="76"/>
  <c r="F94" i="76"/>
  <c r="E94" i="76"/>
  <c r="G94" i="76"/>
  <c r="F78" i="76"/>
  <c r="E78" i="76"/>
  <c r="G78" i="76"/>
  <c r="F62" i="76"/>
  <c r="E62" i="76"/>
  <c r="G62" i="76"/>
  <c r="G46" i="76"/>
  <c r="E46" i="76"/>
  <c r="F46" i="76"/>
  <c r="E30" i="76"/>
  <c r="G30" i="76"/>
  <c r="F30" i="76"/>
  <c r="G102" i="76"/>
  <c r="E102" i="76"/>
  <c r="F102" i="76"/>
  <c r="G37" i="76"/>
  <c r="E37" i="76"/>
  <c r="F37" i="76"/>
  <c r="E132" i="76"/>
  <c r="F132" i="76"/>
  <c r="G132" i="76"/>
  <c r="G35" i="76"/>
  <c r="E35" i="76"/>
  <c r="F35" i="76"/>
  <c r="F130" i="76"/>
  <c r="G130" i="76"/>
  <c r="E130" i="76"/>
  <c r="F17" i="76"/>
  <c r="G17" i="76"/>
  <c r="G205" i="76"/>
  <c r="E205" i="76"/>
  <c r="F205" i="76"/>
  <c r="E118" i="76"/>
  <c r="G118" i="76"/>
  <c r="F118" i="76"/>
  <c r="G53" i="76"/>
  <c r="E53" i="76"/>
  <c r="F53" i="76"/>
  <c r="F244" i="76"/>
  <c r="G244" i="76"/>
  <c r="E244" i="76"/>
  <c r="H244" i="76" s="1"/>
  <c r="F148" i="76"/>
  <c r="E148" i="76"/>
  <c r="G148" i="76"/>
  <c r="E19" i="76"/>
  <c r="G19" i="76"/>
  <c r="F19" i="76"/>
  <c r="F210" i="76"/>
  <c r="G210" i="76"/>
  <c r="E210" i="76"/>
  <c r="F146" i="76"/>
  <c r="G146" i="76"/>
  <c r="E146" i="76"/>
  <c r="E239" i="76"/>
  <c r="G239" i="76"/>
  <c r="F239" i="76"/>
  <c r="E127" i="76"/>
  <c r="F127" i="76"/>
  <c r="G127" i="76"/>
  <c r="E111" i="76"/>
  <c r="F111" i="76"/>
  <c r="G111" i="76"/>
  <c r="G157" i="76"/>
  <c r="E157" i="76"/>
  <c r="F157" i="76"/>
  <c r="E236" i="76"/>
  <c r="G236" i="76"/>
  <c r="F236" i="76"/>
  <c r="G220" i="76"/>
  <c r="E220" i="76"/>
  <c r="F220" i="76"/>
  <c r="G204" i="76"/>
  <c r="E204" i="76"/>
  <c r="F204" i="76"/>
  <c r="G188" i="76"/>
  <c r="E188" i="76"/>
  <c r="F188" i="76"/>
  <c r="E172" i="76"/>
  <c r="G172" i="76"/>
  <c r="F172" i="76"/>
  <c r="G156" i="76"/>
  <c r="E156" i="76"/>
  <c r="F156" i="76"/>
  <c r="G140" i="76"/>
  <c r="E140" i="76"/>
  <c r="F140" i="76"/>
  <c r="G124" i="76"/>
  <c r="F124" i="76"/>
  <c r="E124" i="76"/>
  <c r="H124" i="76" s="1"/>
  <c r="F108" i="76"/>
  <c r="G108" i="76"/>
  <c r="E108" i="76"/>
  <c r="F92" i="76"/>
  <c r="E92" i="76"/>
  <c r="G92" i="76"/>
  <c r="F76" i="76"/>
  <c r="G76" i="76"/>
  <c r="E76" i="76"/>
  <c r="F60" i="76"/>
  <c r="E60" i="76"/>
  <c r="G60" i="76"/>
  <c r="F44" i="76"/>
  <c r="E44" i="76"/>
  <c r="G44" i="76"/>
  <c r="G28" i="76"/>
  <c r="F28" i="76"/>
  <c r="E28" i="76"/>
  <c r="G134" i="76"/>
  <c r="E134" i="76"/>
  <c r="F134" i="76"/>
  <c r="F245" i="76"/>
  <c r="G245" i="76"/>
  <c r="E245" i="76"/>
  <c r="G117" i="76"/>
  <c r="E117" i="76"/>
  <c r="F117" i="76"/>
  <c r="F180" i="76"/>
  <c r="G180" i="76"/>
  <c r="E180" i="76"/>
  <c r="G84" i="76"/>
  <c r="E84" i="76"/>
  <c r="F84" i="76"/>
  <c r="F211" i="76"/>
  <c r="G211" i="76"/>
  <c r="E211" i="76"/>
  <c r="G99" i="76"/>
  <c r="E99" i="76"/>
  <c r="F99" i="76"/>
  <c r="E34" i="76"/>
  <c r="G34" i="76"/>
  <c r="F34" i="76"/>
  <c r="F145" i="76"/>
  <c r="G145" i="76"/>
  <c r="E145" i="76"/>
  <c r="F97" i="76"/>
  <c r="E97" i="76"/>
  <c r="G97" i="76"/>
  <c r="G208" i="76"/>
  <c r="F208" i="76"/>
  <c r="E208" i="76"/>
  <c r="F80" i="76"/>
  <c r="E80" i="76"/>
  <c r="G80" i="76"/>
  <c r="E159" i="76"/>
  <c r="F159" i="76"/>
  <c r="G159" i="76"/>
  <c r="G221" i="76"/>
  <c r="E221" i="76"/>
  <c r="F221" i="76"/>
  <c r="G125" i="76"/>
  <c r="F125" i="76"/>
  <c r="E125" i="76"/>
  <c r="H125" i="76" s="1"/>
  <c r="G45" i="76"/>
  <c r="F45" i="76"/>
  <c r="E45" i="76"/>
  <c r="G235" i="76"/>
  <c r="E235" i="76"/>
  <c r="F235" i="76"/>
  <c r="G219" i="76"/>
  <c r="E219" i="76"/>
  <c r="F219" i="76"/>
  <c r="E203" i="76"/>
  <c r="G203" i="76"/>
  <c r="F203" i="76"/>
  <c r="G187" i="76"/>
  <c r="E187" i="76"/>
  <c r="F187" i="76"/>
  <c r="G171" i="76"/>
  <c r="E171" i="76"/>
  <c r="F171" i="76"/>
  <c r="E155" i="76"/>
  <c r="G155" i="76"/>
  <c r="F155" i="76"/>
  <c r="G139" i="76"/>
  <c r="E139" i="76"/>
  <c r="F139" i="76"/>
  <c r="G123" i="76"/>
  <c r="E123" i="76"/>
  <c r="F123" i="76"/>
  <c r="G107" i="76"/>
  <c r="F107" i="76"/>
  <c r="E107" i="76"/>
  <c r="F91" i="76"/>
  <c r="G91" i="76"/>
  <c r="E91" i="76"/>
  <c r="H91" i="76" s="1"/>
  <c r="F75" i="76"/>
  <c r="E75" i="76"/>
  <c r="G75" i="76"/>
  <c r="F59" i="76"/>
  <c r="G59" i="76"/>
  <c r="E59" i="76"/>
  <c r="F43" i="76"/>
  <c r="G43" i="76"/>
  <c r="E43" i="76"/>
  <c r="G27" i="76"/>
  <c r="F27" i="76"/>
  <c r="E27" i="76"/>
  <c r="F182" i="76"/>
  <c r="E182" i="76"/>
  <c r="G182" i="76"/>
  <c r="G86" i="76"/>
  <c r="E86" i="76"/>
  <c r="F86" i="76"/>
  <c r="F197" i="76"/>
  <c r="G197" i="76"/>
  <c r="E197" i="76"/>
  <c r="G101" i="76"/>
  <c r="E101" i="76"/>
  <c r="F101" i="76"/>
  <c r="F212" i="76"/>
  <c r="G212" i="76"/>
  <c r="E212" i="76"/>
  <c r="G116" i="76"/>
  <c r="E116" i="76"/>
  <c r="F116" i="76"/>
  <c r="F179" i="76"/>
  <c r="G179" i="76"/>
  <c r="E179" i="76"/>
  <c r="E51" i="76"/>
  <c r="G51" i="76"/>
  <c r="F51" i="76"/>
  <c r="G66" i="76"/>
  <c r="E66" i="76"/>
  <c r="F66" i="76"/>
  <c r="G241" i="76"/>
  <c r="E241" i="76"/>
  <c r="F241" i="76"/>
  <c r="F161" i="76"/>
  <c r="G161" i="76"/>
  <c r="E161" i="76"/>
  <c r="G240" i="76"/>
  <c r="E240" i="76"/>
  <c r="F240" i="76"/>
  <c r="F144" i="76"/>
  <c r="G144" i="76"/>
  <c r="E144" i="76"/>
  <c r="E48" i="76"/>
  <c r="G48" i="76"/>
  <c r="F48" i="76"/>
  <c r="E143" i="76"/>
  <c r="F143" i="76"/>
  <c r="G143" i="76"/>
  <c r="E63" i="76"/>
  <c r="F63" i="76"/>
  <c r="G63" i="76"/>
  <c r="G189" i="76"/>
  <c r="E189" i="76"/>
  <c r="F189" i="76"/>
  <c r="G77" i="76"/>
  <c r="F77" i="76"/>
  <c r="E77" i="76"/>
  <c r="E234" i="76"/>
  <c r="F234" i="76"/>
  <c r="G234" i="76"/>
  <c r="G218" i="76"/>
  <c r="E218" i="76"/>
  <c r="F218" i="76"/>
  <c r="G202" i="76"/>
  <c r="E202" i="76"/>
  <c r="F202" i="76"/>
  <c r="E186" i="76"/>
  <c r="G186" i="76"/>
  <c r="F186" i="76"/>
  <c r="G170" i="76"/>
  <c r="E170" i="76"/>
  <c r="F170" i="76"/>
  <c r="G154" i="76"/>
  <c r="E154" i="76"/>
  <c r="F154" i="76"/>
  <c r="E138" i="76"/>
  <c r="G138" i="76"/>
  <c r="F138" i="76"/>
  <c r="G122" i="76"/>
  <c r="E122" i="76"/>
  <c r="F122" i="76"/>
  <c r="G106" i="76"/>
  <c r="E106" i="76"/>
  <c r="F106" i="76"/>
  <c r="G90" i="76"/>
  <c r="F90" i="76"/>
  <c r="E90" i="76"/>
  <c r="H90" i="76" s="1"/>
  <c r="F74" i="76"/>
  <c r="E74" i="76"/>
  <c r="G74" i="76"/>
  <c r="F58" i="76"/>
  <c r="G58" i="76"/>
  <c r="E58" i="76"/>
  <c r="F42" i="76"/>
  <c r="G42" i="76"/>
  <c r="E42" i="76"/>
  <c r="F26" i="76"/>
  <c r="E26" i="76"/>
  <c r="G26" i="76"/>
  <c r="F22" i="76"/>
  <c r="E22" i="76"/>
  <c r="G22" i="76"/>
  <c r="F213" i="76"/>
  <c r="G213" i="76"/>
  <c r="E213" i="76"/>
  <c r="E149" i="76"/>
  <c r="G149" i="76"/>
  <c r="F149" i="76"/>
  <c r="G36" i="76"/>
  <c r="E36" i="76"/>
  <c r="F36" i="76"/>
  <c r="F163" i="76"/>
  <c r="E163" i="76"/>
  <c r="G163" i="76"/>
  <c r="E67" i="76"/>
  <c r="G67" i="76"/>
  <c r="F67" i="76"/>
  <c r="F114" i="76"/>
  <c r="E114" i="76"/>
  <c r="G114" i="76"/>
  <c r="G209" i="76"/>
  <c r="E209" i="76"/>
  <c r="F209" i="76"/>
  <c r="E81" i="76"/>
  <c r="F81" i="76"/>
  <c r="G81" i="76"/>
  <c r="F160" i="76"/>
  <c r="G160" i="76"/>
  <c r="E160" i="76"/>
  <c r="G64" i="76"/>
  <c r="E64" i="76"/>
  <c r="F64" i="76"/>
  <c r="E175" i="76"/>
  <c r="G175" i="76"/>
  <c r="F175" i="76"/>
  <c r="E95" i="76"/>
  <c r="F95" i="76"/>
  <c r="G95" i="76"/>
  <c r="G141" i="76"/>
  <c r="E141" i="76"/>
  <c r="F141" i="76"/>
  <c r="G61" i="76"/>
  <c r="F61" i="76"/>
  <c r="E61" i="76"/>
  <c r="E233" i="76"/>
  <c r="F233" i="76"/>
  <c r="G233" i="76"/>
  <c r="E217" i="76"/>
  <c r="F217" i="76"/>
  <c r="G217" i="76"/>
  <c r="G201" i="76"/>
  <c r="E201" i="76"/>
  <c r="F201" i="76"/>
  <c r="G185" i="76"/>
  <c r="E185" i="76"/>
  <c r="F185" i="76"/>
  <c r="G169" i="76"/>
  <c r="E169" i="76"/>
  <c r="F169" i="76"/>
  <c r="G153" i="76"/>
  <c r="E153" i="76"/>
  <c r="F153" i="76"/>
  <c r="G137" i="76"/>
  <c r="E137" i="76"/>
  <c r="F137" i="76"/>
  <c r="E121" i="76"/>
  <c r="G121" i="76"/>
  <c r="F121" i="76"/>
  <c r="G105" i="76"/>
  <c r="E105" i="76"/>
  <c r="F105" i="76"/>
  <c r="G89" i="76"/>
  <c r="E89" i="76"/>
  <c r="F89" i="76"/>
  <c r="G73" i="76"/>
  <c r="F73" i="76"/>
  <c r="E73" i="76"/>
  <c r="F57" i="76"/>
  <c r="E57" i="76"/>
  <c r="G57" i="76"/>
  <c r="F41" i="76"/>
  <c r="G41" i="76"/>
  <c r="E41" i="76"/>
  <c r="H41" i="76" s="1"/>
  <c r="F25" i="76"/>
  <c r="E25" i="76"/>
  <c r="G25" i="76"/>
  <c r="F230" i="76"/>
  <c r="E230" i="76"/>
  <c r="G230" i="76"/>
  <c r="G54" i="76"/>
  <c r="F54" i="76"/>
  <c r="E54" i="76"/>
  <c r="G133" i="76"/>
  <c r="E133" i="76"/>
  <c r="F133" i="76"/>
  <c r="G68" i="76"/>
  <c r="E68" i="76"/>
  <c r="F68" i="76"/>
  <c r="F147" i="76"/>
  <c r="E147" i="76"/>
  <c r="G147" i="76"/>
  <c r="F162" i="76"/>
  <c r="G162" i="76"/>
  <c r="E162" i="76"/>
  <c r="E50" i="76"/>
  <c r="G50" i="76"/>
  <c r="F50" i="76"/>
  <c r="F129" i="76"/>
  <c r="E129" i="76"/>
  <c r="G129" i="76"/>
  <c r="G224" i="76"/>
  <c r="E224" i="76"/>
  <c r="F224" i="76"/>
  <c r="F128" i="76"/>
  <c r="G128" i="76"/>
  <c r="E128" i="76"/>
  <c r="E207" i="76"/>
  <c r="G207" i="76"/>
  <c r="F207" i="76"/>
  <c r="E47" i="76"/>
  <c r="G47" i="76"/>
  <c r="F47" i="76"/>
  <c r="G173" i="76"/>
  <c r="E173" i="76"/>
  <c r="F173" i="76"/>
  <c r="G93" i="76"/>
  <c r="F93" i="76"/>
  <c r="E93" i="76"/>
  <c r="F232" i="76"/>
  <c r="E232" i="76"/>
  <c r="G232" i="76"/>
  <c r="F216" i="76"/>
  <c r="E216" i="76"/>
  <c r="G216" i="76"/>
  <c r="E200" i="76"/>
  <c r="F200" i="76"/>
  <c r="G200" i="76"/>
  <c r="G184" i="76"/>
  <c r="E184" i="76"/>
  <c r="F184" i="76"/>
  <c r="G168" i="76"/>
  <c r="E168" i="76"/>
  <c r="F168" i="76"/>
  <c r="G152" i="76"/>
  <c r="E152" i="76"/>
  <c r="F152" i="76"/>
  <c r="G136" i="76"/>
  <c r="E136" i="76"/>
  <c r="F136" i="76"/>
  <c r="G120" i="76"/>
  <c r="E120" i="76"/>
  <c r="F120" i="76"/>
  <c r="G104" i="76"/>
  <c r="E104" i="76"/>
  <c r="F104" i="76"/>
  <c r="G88" i="76"/>
  <c r="E88" i="76"/>
  <c r="F88" i="76"/>
  <c r="G72" i="76"/>
  <c r="E72" i="76"/>
  <c r="F72" i="76"/>
  <c r="G56" i="76"/>
  <c r="E56" i="76"/>
  <c r="F56" i="76"/>
  <c r="F40" i="76"/>
  <c r="G40" i="76"/>
  <c r="E40" i="76"/>
  <c r="F24" i="76"/>
  <c r="E24" i="76"/>
  <c r="G24" i="76"/>
  <c r="F214" i="76"/>
  <c r="G214" i="76"/>
  <c r="E214" i="76"/>
  <c r="E70" i="76"/>
  <c r="G70" i="76"/>
  <c r="F70" i="76"/>
  <c r="F181" i="76"/>
  <c r="E181" i="76"/>
  <c r="G181" i="76"/>
  <c r="G69" i="76"/>
  <c r="E69" i="76"/>
  <c r="F69" i="76"/>
  <c r="F196" i="76"/>
  <c r="G196" i="76"/>
  <c r="E196" i="76"/>
  <c r="G52" i="76"/>
  <c r="E52" i="76"/>
  <c r="F52" i="76"/>
  <c r="F227" i="76"/>
  <c r="G227" i="76"/>
  <c r="E227" i="76"/>
  <c r="F195" i="76"/>
  <c r="G195" i="76"/>
  <c r="E195" i="76"/>
  <c r="H195" i="76" s="1"/>
  <c r="F131" i="76"/>
  <c r="G131" i="76"/>
  <c r="E131" i="76"/>
  <c r="F194" i="76"/>
  <c r="E194" i="76"/>
  <c r="G194" i="76"/>
  <c r="E18" i="76"/>
  <c r="G18" i="76"/>
  <c r="F18" i="76"/>
  <c r="G225" i="76"/>
  <c r="E225" i="76"/>
  <c r="F225" i="76"/>
  <c r="F113" i="76"/>
  <c r="G113" i="76"/>
  <c r="E113" i="76"/>
  <c r="G65" i="76"/>
  <c r="E65" i="76"/>
  <c r="F65" i="76"/>
  <c r="G192" i="76"/>
  <c r="E192" i="76"/>
  <c r="F192" i="76"/>
  <c r="E32" i="76"/>
  <c r="G32" i="76"/>
  <c r="F32" i="76"/>
  <c r="E191" i="76"/>
  <c r="G191" i="76"/>
  <c r="F191" i="76"/>
  <c r="G237" i="76"/>
  <c r="E237" i="76"/>
  <c r="F237" i="76"/>
  <c r="G109" i="76"/>
  <c r="F109" i="76"/>
  <c r="E109" i="76"/>
  <c r="H109" i="76" s="1"/>
  <c r="G29" i="76"/>
  <c r="E29" i="76"/>
  <c r="F29" i="76"/>
  <c r="F231" i="76"/>
  <c r="G231" i="76"/>
  <c r="E231" i="76"/>
  <c r="F215" i="76"/>
  <c r="E215" i="76"/>
  <c r="G215" i="76"/>
  <c r="F199" i="76"/>
  <c r="G199" i="76"/>
  <c r="E199" i="76"/>
  <c r="F183" i="76"/>
  <c r="E183" i="76"/>
  <c r="G183" i="76"/>
  <c r="F167" i="76"/>
  <c r="G167" i="76"/>
  <c r="E167" i="76"/>
  <c r="F151" i="76"/>
  <c r="G151" i="76"/>
  <c r="E151" i="76"/>
  <c r="F135" i="76"/>
  <c r="E135" i="76"/>
  <c r="G135" i="76"/>
  <c r="F119" i="76"/>
  <c r="G119" i="76"/>
  <c r="E119" i="76"/>
  <c r="F103" i="76"/>
  <c r="G103" i="76"/>
  <c r="E103" i="76"/>
  <c r="F87" i="76"/>
  <c r="E87" i="76"/>
  <c r="G87" i="76"/>
  <c r="F71" i="76"/>
  <c r="G71" i="76"/>
  <c r="E71" i="76"/>
  <c r="F55" i="76"/>
  <c r="G55" i="76"/>
  <c r="E55" i="76"/>
  <c r="F39" i="76"/>
  <c r="E39" i="76"/>
  <c r="G39" i="76"/>
  <c r="F23" i="76"/>
  <c r="G23" i="76"/>
  <c r="E23" i="76"/>
  <c r="H113" i="76" l="1"/>
  <c r="H103" i="76"/>
  <c r="H54" i="76"/>
  <c r="H61" i="76"/>
  <c r="H42" i="76"/>
  <c r="H43" i="76"/>
  <c r="H76" i="76"/>
  <c r="H210" i="76"/>
  <c r="H226" i="76"/>
  <c r="P151" i="76"/>
  <c r="P120" i="76"/>
  <c r="P32" i="76"/>
  <c r="P140" i="76"/>
  <c r="P98" i="76"/>
  <c r="P142" i="76"/>
  <c r="H128" i="76"/>
  <c r="H179" i="76"/>
  <c r="H126" i="76"/>
  <c r="P167" i="76"/>
  <c r="P136" i="76"/>
  <c r="P178" i="76"/>
  <c r="P197" i="76"/>
  <c r="H180" i="76"/>
  <c r="H142" i="76"/>
  <c r="H23" i="76"/>
  <c r="H93" i="76"/>
  <c r="H161" i="76"/>
  <c r="H107" i="76"/>
  <c r="H145" i="76"/>
  <c r="H193" i="76"/>
  <c r="P36" i="76"/>
  <c r="P149" i="76"/>
  <c r="H66" i="76"/>
  <c r="H24" i="76"/>
  <c r="H199" i="76"/>
  <c r="H227" i="76"/>
  <c r="H27" i="76"/>
  <c r="H146" i="76"/>
  <c r="P186" i="76"/>
  <c r="P89" i="76"/>
  <c r="P54" i="76"/>
  <c r="P132" i="76"/>
  <c r="H205" i="76"/>
  <c r="H94" i="76"/>
  <c r="H95" i="76"/>
  <c r="H86" i="76"/>
  <c r="H30" i="76"/>
  <c r="H98" i="76"/>
  <c r="H173" i="76"/>
  <c r="H122" i="76"/>
  <c r="H203" i="76"/>
  <c r="H156" i="76"/>
  <c r="H236" i="76"/>
  <c r="H78" i="76"/>
  <c r="H177" i="76"/>
  <c r="H245" i="76"/>
  <c r="H165" i="76"/>
  <c r="H246" i="76"/>
  <c r="H136" i="76"/>
  <c r="H206" i="76"/>
  <c r="H39" i="76"/>
  <c r="H241" i="76"/>
  <c r="H123" i="76"/>
  <c r="P104" i="76"/>
  <c r="P218" i="76"/>
  <c r="P102" i="76"/>
  <c r="P44" i="76"/>
  <c r="P241" i="76"/>
  <c r="P60" i="76"/>
  <c r="P194" i="76"/>
  <c r="H85" i="76"/>
  <c r="H138" i="76"/>
  <c r="H172" i="76"/>
  <c r="H48" i="76"/>
  <c r="H235" i="76"/>
  <c r="H211" i="76"/>
  <c r="H134" i="76"/>
  <c r="H19" i="76"/>
  <c r="H110" i="76"/>
  <c r="H190" i="76"/>
  <c r="H164" i="76"/>
  <c r="H147" i="76"/>
  <c r="H201" i="76"/>
  <c r="H47" i="76"/>
  <c r="H81" i="76"/>
  <c r="H71" i="76"/>
  <c r="H200" i="76"/>
  <c r="H192" i="76"/>
  <c r="H105" i="76"/>
  <c r="H209" i="76"/>
  <c r="H149" i="76"/>
  <c r="H188" i="76"/>
  <c r="H38" i="76"/>
  <c r="H56" i="76"/>
  <c r="H84" i="76"/>
  <c r="H127" i="76"/>
  <c r="H240" i="76"/>
  <c r="H21" i="76"/>
  <c r="H68" i="76"/>
  <c r="H175" i="76"/>
  <c r="H182" i="76"/>
  <c r="H44" i="76"/>
  <c r="H217" i="76"/>
  <c r="H220" i="76"/>
  <c r="H239" i="76"/>
  <c r="H20" i="76"/>
  <c r="H64" i="76"/>
  <c r="H186" i="76"/>
  <c r="H140" i="76"/>
  <c r="H83" i="76"/>
  <c r="H70" i="76"/>
  <c r="H168" i="76"/>
  <c r="H133" i="76"/>
  <c r="H26" i="76"/>
  <c r="H212" i="76"/>
  <c r="H221" i="76"/>
  <c r="H60" i="76"/>
  <c r="H238" i="76"/>
  <c r="H33" i="76"/>
  <c r="H112" i="76"/>
  <c r="P199" i="76"/>
  <c r="P185" i="76"/>
  <c r="P33" i="76"/>
  <c r="P109" i="76"/>
  <c r="P84" i="76"/>
  <c r="P226" i="76"/>
  <c r="H181" i="76"/>
  <c r="H97" i="76"/>
  <c r="H14" i="76"/>
  <c r="H189" i="76"/>
  <c r="H35" i="76"/>
  <c r="H222" i="76"/>
  <c r="H72" i="76"/>
  <c r="H187" i="76"/>
  <c r="H237" i="76"/>
  <c r="H57" i="76"/>
  <c r="H67" i="76"/>
  <c r="H106" i="76"/>
  <c r="H53" i="76"/>
  <c r="H62" i="76"/>
  <c r="H119" i="76"/>
  <c r="H225" i="76"/>
  <c r="H214" i="76"/>
  <c r="H88" i="76"/>
  <c r="H129" i="76"/>
  <c r="H73" i="76"/>
  <c r="H153" i="76"/>
  <c r="H233" i="76"/>
  <c r="H160" i="76"/>
  <c r="H163" i="76"/>
  <c r="H202" i="76"/>
  <c r="H63" i="76"/>
  <c r="H117" i="76"/>
  <c r="H132" i="76"/>
  <c r="H158" i="76"/>
  <c r="H228" i="76"/>
  <c r="H243" i="76"/>
  <c r="H150" i="76"/>
  <c r="P119" i="76"/>
  <c r="P170" i="76"/>
  <c r="P235" i="76"/>
  <c r="H114" i="76"/>
  <c r="H46" i="76"/>
  <c r="H22" i="76"/>
  <c r="H170" i="76"/>
  <c r="H204" i="76"/>
  <c r="H166" i="76"/>
  <c r="H184" i="76"/>
  <c r="H87" i="76"/>
  <c r="H171" i="76"/>
  <c r="H232" i="76"/>
  <c r="H183" i="76"/>
  <c r="H118" i="76"/>
  <c r="H55" i="76"/>
  <c r="H135" i="76"/>
  <c r="H104" i="76"/>
  <c r="H169" i="76"/>
  <c r="H36" i="76"/>
  <c r="H218" i="76"/>
  <c r="H143" i="76"/>
  <c r="H101" i="76"/>
  <c r="H219" i="76"/>
  <c r="H159" i="76"/>
  <c r="H157" i="76"/>
  <c r="H174" i="76"/>
  <c r="H79" i="76"/>
  <c r="H49" i="76"/>
  <c r="H116" i="76"/>
  <c r="H229" i="76"/>
  <c r="H191" i="76"/>
  <c r="H34" i="76"/>
  <c r="H231" i="76"/>
  <c r="H18" i="76"/>
  <c r="H196" i="76"/>
  <c r="H50" i="76"/>
  <c r="H89" i="76"/>
  <c r="H58" i="76"/>
  <c r="H59" i="76"/>
  <c r="H139" i="76"/>
  <c r="H99" i="76"/>
  <c r="H82" i="76"/>
  <c r="H100" i="76"/>
  <c r="P17" i="76"/>
  <c r="H224" i="76"/>
  <c r="H151" i="76"/>
  <c r="H32" i="76"/>
  <c r="H162" i="76"/>
  <c r="H230" i="76"/>
  <c r="H141" i="76"/>
  <c r="H197" i="76"/>
  <c r="H80" i="76"/>
  <c r="H92" i="76"/>
  <c r="H102" i="76"/>
  <c r="H223" i="76"/>
  <c r="P124" i="76"/>
  <c r="H194" i="76"/>
  <c r="H40" i="76"/>
  <c r="H120" i="76"/>
  <c r="H185" i="76"/>
  <c r="G247" i="76"/>
  <c r="H178" i="76"/>
  <c r="H121" i="76"/>
  <c r="H152" i="76"/>
  <c r="H137" i="76"/>
  <c r="H31" i="76"/>
  <c r="H52" i="76"/>
  <c r="H37" i="76"/>
  <c r="H154" i="76"/>
  <c r="H234" i="76"/>
  <c r="H144" i="76"/>
  <c r="H208" i="76"/>
  <c r="H108" i="76"/>
  <c r="H111" i="76"/>
  <c r="F247" i="76"/>
  <c r="H65" i="76"/>
  <c r="H115" i="76"/>
  <c r="H215" i="76"/>
  <c r="H167" i="76"/>
  <c r="H29" i="76"/>
  <c r="H131" i="76"/>
  <c r="H69" i="76"/>
  <c r="H216" i="76"/>
  <c r="H207" i="76"/>
  <c r="H25" i="76"/>
  <c r="H213" i="76"/>
  <c r="H74" i="76"/>
  <c r="H77" i="76"/>
  <c r="H51" i="76"/>
  <c r="H75" i="76"/>
  <c r="H155" i="76"/>
  <c r="H45" i="76"/>
  <c r="H28" i="76"/>
  <c r="H148" i="76"/>
  <c r="H130" i="76"/>
  <c r="H96" i="76"/>
  <c r="H198" i="76"/>
  <c r="H17" i="76"/>
  <c r="P154" i="76"/>
  <c r="P110" i="76"/>
  <c r="P213" i="76"/>
  <c r="P232" i="76"/>
  <c r="P153" i="76"/>
  <c r="P181" i="76"/>
  <c r="P127" i="76"/>
  <c r="P113" i="76"/>
  <c r="P55" i="76"/>
  <c r="P107" i="76"/>
  <c r="P159" i="76"/>
  <c r="P139" i="76"/>
  <c r="P191" i="76"/>
  <c r="P18" i="76"/>
  <c r="P70" i="76"/>
  <c r="P39" i="76"/>
  <c r="P121" i="76"/>
  <c r="P141" i="76"/>
  <c r="P145" i="76"/>
  <c r="P100" i="76"/>
  <c r="P78" i="76"/>
  <c r="P96" i="76"/>
  <c r="P99" i="76"/>
  <c r="P228" i="76"/>
  <c r="P244" i="76"/>
  <c r="P131" i="76"/>
  <c r="P118" i="76"/>
  <c r="P14" i="76"/>
  <c r="P196" i="76"/>
  <c r="P90" i="76"/>
  <c r="P188" i="76"/>
  <c r="P19" i="76"/>
  <c r="P65" i="76"/>
  <c r="P202" i="76"/>
  <c r="P45" i="76"/>
  <c r="P193" i="76"/>
  <c r="P87" i="76"/>
  <c r="P183" i="76"/>
  <c r="P137" i="76"/>
  <c r="P77" i="76"/>
  <c r="P34" i="76"/>
  <c r="P152" i="76"/>
  <c r="P42" i="76"/>
  <c r="P204" i="76"/>
  <c r="P43" i="76"/>
  <c r="P61" i="76"/>
  <c r="P47" i="76"/>
  <c r="P51" i="76"/>
  <c r="P93" i="76"/>
  <c r="P165" i="76"/>
  <c r="P31" i="76"/>
  <c r="P111" i="76"/>
  <c r="P195" i="76"/>
  <c r="P69" i="76"/>
  <c r="P71" i="76"/>
  <c r="P46" i="76"/>
  <c r="P101" i="76"/>
  <c r="P156" i="76"/>
  <c r="P105" i="76"/>
  <c r="P37" i="76"/>
  <c r="P63" i="76"/>
  <c r="P115" i="76"/>
  <c r="P220" i="76"/>
  <c r="P56" i="76"/>
  <c r="P144" i="76"/>
  <c r="P242" i="76"/>
  <c r="P130" i="76"/>
  <c r="P106" i="76"/>
  <c r="P224" i="76"/>
  <c r="P25" i="76"/>
  <c r="P129" i="76"/>
  <c r="P52" i="76"/>
  <c r="P143" i="76"/>
  <c r="P66" i="76"/>
  <c r="P38" i="76"/>
  <c r="P125" i="76"/>
  <c r="P112" i="76"/>
  <c r="P116" i="76"/>
  <c r="P41" i="76"/>
  <c r="P163" i="76"/>
  <c r="P239" i="76"/>
  <c r="P28" i="76"/>
  <c r="P88" i="76"/>
  <c r="P168" i="76"/>
  <c r="P203" i="76"/>
  <c r="P95" i="76"/>
  <c r="P182" i="76"/>
  <c r="P171" i="76"/>
  <c r="P189" i="76"/>
  <c r="P64" i="76"/>
  <c r="P207" i="76"/>
  <c r="P134" i="76"/>
  <c r="P122" i="76"/>
  <c r="P177" i="76"/>
  <c r="P20" i="76"/>
  <c r="P22" i="76"/>
  <c r="P201" i="76"/>
  <c r="P59" i="76"/>
  <c r="P157" i="76"/>
  <c r="P79" i="76"/>
  <c r="P176" i="76"/>
  <c r="P210" i="76"/>
  <c r="P212" i="76"/>
  <c r="P150" i="76"/>
  <c r="P76" i="76"/>
  <c r="P179" i="76"/>
  <c r="P229" i="76"/>
  <c r="P58" i="76"/>
  <c r="P48" i="76"/>
  <c r="P209" i="76"/>
  <c r="P114" i="76"/>
  <c r="P198" i="76"/>
  <c r="P92" i="76"/>
  <c r="P82" i="76"/>
  <c r="P148" i="76"/>
  <c r="P245" i="76"/>
  <c r="P227" i="76"/>
  <c r="P214" i="76"/>
  <c r="P86" i="76"/>
  <c r="P23" i="76"/>
  <c r="P135" i="76"/>
  <c r="P215" i="76"/>
  <c r="P233" i="76"/>
  <c r="P35" i="76"/>
  <c r="P184" i="76"/>
  <c r="P169" i="76"/>
  <c r="P57" i="76"/>
  <c r="P205" i="76"/>
  <c r="P180" i="76"/>
  <c r="P62" i="76"/>
  <c r="P80" i="76"/>
  <c r="P85" i="76"/>
  <c r="P246" i="76"/>
  <c r="P238" i="76"/>
  <c r="P222" i="76"/>
  <c r="P190" i="76"/>
  <c r="P108" i="76"/>
  <c r="P221" i="76"/>
  <c r="P175" i="76"/>
  <c r="P138" i="76"/>
  <c r="P128" i="76"/>
  <c r="P164" i="76"/>
  <c r="P208" i="76"/>
  <c r="P72" i="76"/>
  <c r="P231" i="76"/>
  <c r="P147" i="76"/>
  <c r="P24" i="76"/>
  <c r="P200" i="76"/>
  <c r="P26" i="76"/>
  <c r="P160" i="76"/>
  <c r="P173" i="76"/>
  <c r="P162" i="76"/>
  <c r="P133" i="76"/>
  <c r="P216" i="76"/>
  <c r="P30" i="76"/>
  <c r="P174" i="76"/>
  <c r="P49" i="76"/>
  <c r="P243" i="76"/>
  <c r="P91" i="76"/>
  <c r="P146" i="76"/>
  <c r="P126" i="76"/>
  <c r="P230" i="76"/>
  <c r="P236" i="76"/>
  <c r="P68" i="76"/>
  <c r="P155" i="76"/>
  <c r="P117" i="76"/>
  <c r="P75" i="76"/>
  <c r="P211" i="76"/>
  <c r="P103" i="76"/>
  <c r="P219" i="76"/>
  <c r="P29" i="76"/>
  <c r="P67" i="76"/>
  <c r="P225" i="76"/>
  <c r="P123" i="76"/>
  <c r="P172" i="76"/>
  <c r="P237" i="76"/>
  <c r="P223" i="76"/>
  <c r="P161" i="76"/>
  <c r="P40" i="76"/>
  <c r="P217" i="76"/>
  <c r="P27" i="76"/>
  <c r="P50" i="76"/>
  <c r="P166" i="76"/>
  <c r="P73" i="76"/>
  <c r="P234" i="76"/>
  <c r="P94" i="76"/>
  <c r="P240" i="76"/>
  <c r="P158" i="76"/>
  <c r="P83" i="76"/>
  <c r="P206" i="76"/>
  <c r="P81" i="76"/>
  <c r="P192" i="76"/>
  <c r="E15" i="76" l="1"/>
  <c r="N15" i="76"/>
  <c r="N247" i="76" s="1"/>
  <c r="O15" i="76"/>
  <c r="O247" i="76" s="1"/>
  <c r="M15" i="76"/>
  <c r="H15" i="76" l="1"/>
  <c r="H247" i="76" s="1"/>
  <c r="E247" i="76"/>
  <c r="P15" i="76"/>
  <c r="P247" i="76" s="1"/>
  <c r="M247" i="76"/>
  <c r="L48" i="84" l="1"/>
  <c r="L47" i="84"/>
  <c r="M38" i="84"/>
  <c r="M39" i="84"/>
  <c r="M40" i="84"/>
  <c r="M41" i="84"/>
  <c r="M42" i="84"/>
  <c r="M43" i="84"/>
  <c r="M44" i="84"/>
  <c r="M45" i="84"/>
  <c r="M46" i="84"/>
  <c r="M37" i="84"/>
  <c r="N37" i="84"/>
  <c r="N38" i="84" s="1"/>
  <c r="N39" i="84" s="1"/>
  <c r="N40" i="84" s="1"/>
  <c r="N41" i="84" s="1"/>
  <c r="N42" i="84" s="1"/>
  <c r="N43" i="84" s="1"/>
  <c r="N44" i="84" s="1"/>
  <c r="N45" i="84" s="1"/>
  <c r="O37" i="84" l="1"/>
  <c r="O38" i="84" s="1"/>
  <c r="O39" i="84" s="1"/>
  <c r="O40" i="84" s="1"/>
  <c r="O41" i="84" s="1"/>
  <c r="O42" i="84" s="1"/>
  <c r="O43" i="84" s="1"/>
  <c r="O44" i="84" s="1"/>
  <c r="O45" i="84" s="1"/>
  <c r="O46" i="84" s="1"/>
  <c r="F548" i="40" l="1"/>
  <c r="P111" i="53" l="1"/>
  <c r="P127" i="53"/>
  <c r="K548" i="40" l="1"/>
  <c r="L548" i="40"/>
  <c r="M548" i="40"/>
  <c r="J548" i="40"/>
  <c r="J77" i="81" l="1"/>
  <c r="I13" i="81"/>
  <c r="D70" i="73"/>
  <c r="D66" i="73"/>
  <c r="C45" i="84" s="1"/>
  <c r="F45" i="84" s="1"/>
  <c r="E20" i="73"/>
  <c r="P158" i="53"/>
  <c r="D65" i="73"/>
  <c r="E65" i="73" s="1"/>
  <c r="D64" i="73"/>
  <c r="C44" i="84" s="1"/>
  <c r="F44" i="84" s="1"/>
  <c r="D19" i="73"/>
  <c r="D18" i="73"/>
  <c r="D17" i="73"/>
  <c r="D16" i="73"/>
  <c r="D15" i="73"/>
  <c r="D14" i="73"/>
  <c r="D13" i="73"/>
  <c r="D60" i="73"/>
  <c r="C39" i="84" s="1"/>
  <c r="F39" i="84" s="1"/>
  <c r="D55" i="73"/>
  <c r="C36" i="84" s="1"/>
  <c r="F36" i="84" s="1"/>
  <c r="D54" i="73"/>
  <c r="C35" i="84" s="1"/>
  <c r="D53" i="73"/>
  <c r="C34" i="84" s="1"/>
  <c r="F34" i="84" s="1"/>
  <c r="D52" i="73"/>
  <c r="C33" i="84" s="1"/>
  <c r="F33" i="84" s="1"/>
  <c r="D51" i="73"/>
  <c r="C32" i="84" s="1"/>
  <c r="F32" i="84" s="1"/>
  <c r="D50" i="73"/>
  <c r="C31" i="84" s="1"/>
  <c r="F31" i="84" s="1"/>
  <c r="D49" i="73"/>
  <c r="C30" i="84" s="1"/>
  <c r="F30" i="84" s="1"/>
  <c r="D48" i="73"/>
  <c r="C29" i="84" s="1"/>
  <c r="F29" i="84" s="1"/>
  <c r="D47" i="73"/>
  <c r="C28" i="84" s="1"/>
  <c r="F28" i="84" s="1"/>
  <c r="D46" i="73"/>
  <c r="C27" i="84" s="1"/>
  <c r="F27" i="84" s="1"/>
  <c r="D45" i="73"/>
  <c r="C26" i="84" s="1"/>
  <c r="F26" i="84" s="1"/>
  <c r="D44" i="73"/>
  <c r="C25" i="84" s="1"/>
  <c r="F25" i="84" s="1"/>
  <c r="D43" i="73"/>
  <c r="C24" i="84" s="1"/>
  <c r="F24" i="84" s="1"/>
  <c r="D42" i="73"/>
  <c r="D41" i="73"/>
  <c r="D40" i="73"/>
  <c r="C21" i="84" s="1"/>
  <c r="F21" i="84" s="1"/>
  <c r="D39" i="73"/>
  <c r="C20" i="84" s="1"/>
  <c r="F20" i="84" s="1"/>
  <c r="D38" i="73"/>
  <c r="C19" i="84" s="1"/>
  <c r="F19" i="84" s="1"/>
  <c r="D37" i="73"/>
  <c r="C18" i="84" s="1"/>
  <c r="F18" i="84" s="1"/>
  <c r="D36" i="73"/>
  <c r="C17" i="84" s="1"/>
  <c r="F17" i="84" s="1"/>
  <c r="D35" i="73"/>
  <c r="D34" i="73"/>
  <c r="D33" i="73"/>
  <c r="D32" i="73"/>
  <c r="C13" i="84" s="1"/>
  <c r="F13" i="84" s="1"/>
  <c r="D31" i="73"/>
  <c r="C12" i="84" s="1"/>
  <c r="D30" i="73"/>
  <c r="C11" i="84" s="1"/>
  <c r="D29" i="73"/>
  <c r="C10" i="84" s="1"/>
  <c r="F10" i="84" s="1"/>
  <c r="D28" i="73"/>
  <c r="C9" i="84" s="1"/>
  <c r="F9" i="84" s="1"/>
  <c r="D27" i="73"/>
  <c r="C8" i="84" s="1"/>
  <c r="F8" i="84" s="1"/>
  <c r="D26" i="73"/>
  <c r="C7" i="84" s="1"/>
  <c r="F7" i="84" s="1"/>
  <c r="D25" i="73"/>
  <c r="C6" i="84" s="1"/>
  <c r="F6" i="84" s="1"/>
  <c r="D24" i="73"/>
  <c r="C5" i="84" s="1"/>
  <c r="F5" i="84" s="1"/>
  <c r="D23" i="73"/>
  <c r="C4" i="84" s="1"/>
  <c r="H83" i="56"/>
  <c r="E81" i="56"/>
  <c r="E55" i="56"/>
  <c r="E83" i="56" s="1"/>
  <c r="D55" i="56"/>
  <c r="G14" i="56"/>
  <c r="I14" i="56" s="1"/>
  <c r="J14" i="56" s="1"/>
  <c r="E35" i="73" l="1"/>
  <c r="C16" i="84"/>
  <c r="F11" i="84"/>
  <c r="L30" i="84"/>
  <c r="E34" i="73"/>
  <c r="C15" i="84"/>
  <c r="F15" i="84" s="1"/>
  <c r="L29" i="84"/>
  <c r="F12" i="84"/>
  <c r="L20" i="84"/>
  <c r="L21" i="84" s="1"/>
  <c r="F35" i="84"/>
  <c r="E33" i="73"/>
  <c r="C14" i="84"/>
  <c r="E41" i="73"/>
  <c r="G41" i="73" s="1"/>
  <c r="D22" i="84" s="1"/>
  <c r="M27" i="84" s="1"/>
  <c r="C22" i="84"/>
  <c r="C14" i="70"/>
  <c r="C51" i="84"/>
  <c r="C43" i="84"/>
  <c r="F43" i="84" s="1"/>
  <c r="C17" i="70"/>
  <c r="E42" i="73"/>
  <c r="C23" i="84"/>
  <c r="F4" i="84"/>
  <c r="L24" i="84"/>
  <c r="G65" i="73"/>
  <c r="D20" i="73"/>
  <c r="D67" i="73"/>
  <c r="C37" i="84" l="1"/>
  <c r="C40" i="84" s="1"/>
  <c r="E22" i="84"/>
  <c r="L6" i="84" s="1"/>
  <c r="C53" i="84"/>
  <c r="L28" i="84"/>
  <c r="F23" i="84"/>
  <c r="F16" i="84"/>
  <c r="L25" i="84"/>
  <c r="L27" i="84"/>
  <c r="F22" i="84"/>
  <c r="L26" i="84"/>
  <c r="F14" i="84"/>
  <c r="G22" i="84"/>
  <c r="D56" i="73"/>
  <c r="F37" i="84" l="1"/>
  <c r="F40" i="84"/>
  <c r="C47" i="84"/>
  <c r="C49" i="84" s="1"/>
  <c r="L31" i="84" s="1"/>
  <c r="L32" i="84" s="1"/>
  <c r="G13" i="73"/>
  <c r="S15" i="81"/>
  <c r="F47" i="84" l="1"/>
  <c r="T27" i="81"/>
  <c r="T28" i="81"/>
  <c r="T26" i="81"/>
  <c r="P528" i="81"/>
  <c r="I34" i="81"/>
  <c r="J34" i="81" s="1"/>
  <c r="S14" i="81"/>
  <c r="S21" i="81"/>
  <c r="S18" i="81"/>
  <c r="S17" i="81"/>
  <c r="S16" i="81"/>
  <c r="H748" i="81"/>
  <c r="H747" i="81"/>
  <c r="H746" i="81"/>
  <c r="H744" i="81"/>
  <c r="H743" i="81"/>
  <c r="H740" i="81"/>
  <c r="I740" i="81"/>
  <c r="H739" i="81"/>
  <c r="I739" i="81"/>
  <c r="H738" i="81"/>
  <c r="I738" i="81"/>
  <c r="H737" i="81"/>
  <c r="I737" i="81"/>
  <c r="H736" i="81"/>
  <c r="I736" i="81"/>
  <c r="H735" i="81"/>
  <c r="I735" i="81"/>
  <c r="H732" i="81"/>
  <c r="H731" i="81"/>
  <c r="H730" i="81"/>
  <c r="H728" i="81"/>
  <c r="H727" i="81"/>
  <c r="H724" i="81"/>
  <c r="H723" i="81"/>
  <c r="H722" i="81"/>
  <c r="H720" i="81"/>
  <c r="H719" i="81"/>
  <c r="J716" i="81"/>
  <c r="H716" i="81"/>
  <c r="J715" i="81"/>
  <c r="H715" i="81"/>
  <c r="J714" i="81"/>
  <c r="H714" i="81"/>
  <c r="J713" i="81"/>
  <c r="H713" i="81"/>
  <c r="J712" i="81"/>
  <c r="H712" i="81"/>
  <c r="J711" i="81"/>
  <c r="H711" i="81"/>
  <c r="I708" i="81"/>
  <c r="J708" i="81" s="1"/>
  <c r="I707" i="81"/>
  <c r="J707" i="81" s="1"/>
  <c r="I706" i="81"/>
  <c r="J706" i="81" s="1"/>
  <c r="H705" i="81"/>
  <c r="I705" i="81" s="1"/>
  <c r="I704" i="81"/>
  <c r="J704" i="81" s="1"/>
  <c r="I703" i="81"/>
  <c r="J703" i="81" s="1"/>
  <c r="J700" i="81"/>
  <c r="H700" i="81"/>
  <c r="J699" i="81"/>
  <c r="H699" i="81"/>
  <c r="J698" i="81"/>
  <c r="H698" i="81"/>
  <c r="J697" i="81"/>
  <c r="H697" i="81"/>
  <c r="J696" i="81"/>
  <c r="H696" i="81"/>
  <c r="J695" i="81"/>
  <c r="H695" i="81"/>
  <c r="M692" i="81"/>
  <c r="M700" i="81" s="1"/>
  <c r="M708" i="81" s="1"/>
  <c r="M716" i="81" s="1"/>
  <c r="M724" i="81" s="1"/>
  <c r="M732" i="81" s="1"/>
  <c r="M740" i="81" s="1"/>
  <c r="M748" i="81" s="1"/>
  <c r="K692" i="81"/>
  <c r="K700" i="81" s="1"/>
  <c r="K708" i="81" s="1"/>
  <c r="K716" i="81" s="1"/>
  <c r="K724" i="81" s="1"/>
  <c r="K732" i="81" s="1"/>
  <c r="K740" i="81" s="1"/>
  <c r="I692" i="81"/>
  <c r="J692" i="81" s="1"/>
  <c r="M691" i="81"/>
  <c r="M699" i="81" s="1"/>
  <c r="M707" i="81" s="1"/>
  <c r="M715" i="81" s="1"/>
  <c r="M723" i="81" s="1"/>
  <c r="M731" i="81" s="1"/>
  <c r="M739" i="81" s="1"/>
  <c r="M747" i="81" s="1"/>
  <c r="K691" i="81"/>
  <c r="K699" i="81" s="1"/>
  <c r="K707" i="81" s="1"/>
  <c r="K715" i="81" s="1"/>
  <c r="K723" i="81" s="1"/>
  <c r="K731" i="81" s="1"/>
  <c r="K739" i="81" s="1"/>
  <c r="I691" i="81"/>
  <c r="J691" i="81" s="1"/>
  <c r="M690" i="81"/>
  <c r="M698" i="81" s="1"/>
  <c r="M706" i="81" s="1"/>
  <c r="M714" i="81" s="1"/>
  <c r="M722" i="81" s="1"/>
  <c r="M730" i="81" s="1"/>
  <c r="M738" i="81" s="1"/>
  <c r="M746" i="81" s="1"/>
  <c r="K690" i="81"/>
  <c r="K698" i="81" s="1"/>
  <c r="K706" i="81" s="1"/>
  <c r="K714" i="81" s="1"/>
  <c r="K722" i="81" s="1"/>
  <c r="K730" i="81" s="1"/>
  <c r="K738" i="81" s="1"/>
  <c r="I690" i="81"/>
  <c r="J690" i="81" s="1"/>
  <c r="M689" i="81"/>
  <c r="M697" i="81" s="1"/>
  <c r="M705" i="81" s="1"/>
  <c r="M713" i="81" s="1"/>
  <c r="M721" i="81" s="1"/>
  <c r="M729" i="81" s="1"/>
  <c r="M737" i="81" s="1"/>
  <c r="M745" i="81" s="1"/>
  <c r="K689" i="81"/>
  <c r="K697" i="81" s="1"/>
  <c r="K705" i="81" s="1"/>
  <c r="K713" i="81" s="1"/>
  <c r="K721" i="81" s="1"/>
  <c r="K729" i="81" s="1"/>
  <c r="K737" i="81" s="1"/>
  <c r="H689" i="81"/>
  <c r="I689" i="81" s="1"/>
  <c r="M688" i="81"/>
  <c r="M696" i="81" s="1"/>
  <c r="M704" i="81" s="1"/>
  <c r="M712" i="81" s="1"/>
  <c r="M720" i="81" s="1"/>
  <c r="M728" i="81" s="1"/>
  <c r="M736" i="81" s="1"/>
  <c r="M744" i="81" s="1"/>
  <c r="K688" i="81"/>
  <c r="K696" i="81" s="1"/>
  <c r="K704" i="81" s="1"/>
  <c r="K712" i="81" s="1"/>
  <c r="K720" i="81" s="1"/>
  <c r="K728" i="81" s="1"/>
  <c r="K736" i="81" s="1"/>
  <c r="L736" i="81" s="1"/>
  <c r="I688" i="81"/>
  <c r="J688" i="81" s="1"/>
  <c r="M687" i="81"/>
  <c r="M695" i="81" s="1"/>
  <c r="M703" i="81" s="1"/>
  <c r="M711" i="81" s="1"/>
  <c r="M719" i="81" s="1"/>
  <c r="M727" i="81" s="1"/>
  <c r="M735" i="81" s="1"/>
  <c r="M743" i="81" s="1"/>
  <c r="K687" i="81"/>
  <c r="K695" i="81" s="1"/>
  <c r="K703" i="81" s="1"/>
  <c r="K711" i="81" s="1"/>
  <c r="K719" i="81" s="1"/>
  <c r="K727" i="81" s="1"/>
  <c r="K735" i="81" s="1"/>
  <c r="L735" i="81" s="1"/>
  <c r="I687" i="81"/>
  <c r="J687" i="81" s="1"/>
  <c r="I684" i="81"/>
  <c r="J684" i="81" s="1"/>
  <c r="I683" i="81"/>
  <c r="J683" i="81" s="1"/>
  <c r="I682" i="81"/>
  <c r="J682" i="81" s="1"/>
  <c r="H681" i="81"/>
  <c r="I680" i="81"/>
  <c r="J680" i="81" s="1"/>
  <c r="I679" i="81"/>
  <c r="J679" i="81" s="1"/>
  <c r="L679" i="81" s="1"/>
  <c r="H663" i="81"/>
  <c r="H661" i="81"/>
  <c r="H658" i="81"/>
  <c r="I658" i="81"/>
  <c r="H657" i="81"/>
  <c r="I657" i="81"/>
  <c r="H656" i="81"/>
  <c r="I656" i="81"/>
  <c r="H653" i="81"/>
  <c r="H651" i="81"/>
  <c r="H648" i="81"/>
  <c r="H647" i="81"/>
  <c r="H646" i="81"/>
  <c r="J643" i="81"/>
  <c r="H643" i="81"/>
  <c r="J642" i="81"/>
  <c r="H642" i="81"/>
  <c r="J641" i="81"/>
  <c r="H641" i="81"/>
  <c r="I638" i="81"/>
  <c r="J638" i="81" s="1"/>
  <c r="I637" i="81"/>
  <c r="J637" i="81" s="1"/>
  <c r="I636" i="81"/>
  <c r="J636" i="81" s="1"/>
  <c r="J633" i="81"/>
  <c r="H633" i="81"/>
  <c r="J632" i="81"/>
  <c r="H632" i="81"/>
  <c r="J631" i="81"/>
  <c r="H631" i="81"/>
  <c r="M628" i="81"/>
  <c r="M633" i="81" s="1"/>
  <c r="M638" i="81" s="1"/>
  <c r="M643" i="81" s="1"/>
  <c r="M648" i="81" s="1"/>
  <c r="M653" i="81" s="1"/>
  <c r="M658" i="81" s="1"/>
  <c r="M663" i="81" s="1"/>
  <c r="K628" i="81"/>
  <c r="K633" i="81" s="1"/>
  <c r="K638" i="81" s="1"/>
  <c r="K643" i="81" s="1"/>
  <c r="I628" i="81"/>
  <c r="J628" i="81" s="1"/>
  <c r="M627" i="81"/>
  <c r="M632" i="81" s="1"/>
  <c r="M637" i="81" s="1"/>
  <c r="M642" i="81" s="1"/>
  <c r="M647" i="81" s="1"/>
  <c r="M652" i="81" s="1"/>
  <c r="M657" i="81" s="1"/>
  <c r="M662" i="81" s="1"/>
  <c r="K627" i="81"/>
  <c r="K632" i="81" s="1"/>
  <c r="K637" i="81" s="1"/>
  <c r="K642" i="81" s="1"/>
  <c r="K647" i="81" s="1"/>
  <c r="K652" i="81" s="1"/>
  <c r="K657" i="81" s="1"/>
  <c r="M626" i="81"/>
  <c r="M631" i="81" s="1"/>
  <c r="M636" i="81" s="1"/>
  <c r="M641" i="81" s="1"/>
  <c r="M646" i="81" s="1"/>
  <c r="M651" i="81" s="1"/>
  <c r="M656" i="81" s="1"/>
  <c r="M661" i="81" s="1"/>
  <c r="K626" i="81"/>
  <c r="K631" i="81" s="1"/>
  <c r="K636" i="81" s="1"/>
  <c r="K641" i="81" s="1"/>
  <c r="K646" i="81" s="1"/>
  <c r="K651" i="81" s="1"/>
  <c r="K656" i="81" s="1"/>
  <c r="I626" i="81"/>
  <c r="J626" i="81" s="1"/>
  <c r="I623" i="81"/>
  <c r="J623" i="81" s="1"/>
  <c r="L623" i="81" s="1"/>
  <c r="N623" i="81" s="1"/>
  <c r="P623" i="81" s="1"/>
  <c r="H622" i="81"/>
  <c r="I621" i="81"/>
  <c r="H603" i="81"/>
  <c r="H600" i="81"/>
  <c r="I600" i="81"/>
  <c r="H599" i="81"/>
  <c r="I599" i="81"/>
  <c r="H598" i="81"/>
  <c r="I598" i="81"/>
  <c r="H593" i="81"/>
  <c r="H590" i="81"/>
  <c r="H588" i="81"/>
  <c r="J585" i="81"/>
  <c r="H585" i="81"/>
  <c r="J584" i="81"/>
  <c r="I584" i="81" s="1"/>
  <c r="J583" i="81"/>
  <c r="H583" i="81"/>
  <c r="I580" i="81"/>
  <c r="J580" i="81" s="1"/>
  <c r="I579" i="81"/>
  <c r="J579" i="81" s="1"/>
  <c r="I578" i="81"/>
  <c r="J578" i="81" s="1"/>
  <c r="J575" i="81"/>
  <c r="H575" i="81"/>
  <c r="J574" i="81"/>
  <c r="H574" i="81"/>
  <c r="J573" i="81"/>
  <c r="H573" i="81"/>
  <c r="M570" i="81"/>
  <c r="M575" i="81" s="1"/>
  <c r="M580" i="81" s="1"/>
  <c r="M585" i="81" s="1"/>
  <c r="M590" i="81" s="1"/>
  <c r="M595" i="81" s="1"/>
  <c r="M600" i="81" s="1"/>
  <c r="M605" i="81" s="1"/>
  <c r="K570" i="81"/>
  <c r="K575" i="81" s="1"/>
  <c r="K580" i="81" s="1"/>
  <c r="K585" i="81" s="1"/>
  <c r="K590" i="81" s="1"/>
  <c r="K595" i="81" s="1"/>
  <c r="K600" i="81" s="1"/>
  <c r="M569" i="81"/>
  <c r="M574" i="81" s="1"/>
  <c r="M579" i="81" s="1"/>
  <c r="M584" i="81" s="1"/>
  <c r="M589" i="81" s="1"/>
  <c r="M594" i="81" s="1"/>
  <c r="M599" i="81" s="1"/>
  <c r="M604" i="81" s="1"/>
  <c r="K569" i="81"/>
  <c r="K574" i="81" s="1"/>
  <c r="K579" i="81" s="1"/>
  <c r="K584" i="81" s="1"/>
  <c r="K589" i="81" s="1"/>
  <c r="K594" i="81" s="1"/>
  <c r="K599" i="81" s="1"/>
  <c r="I569" i="81"/>
  <c r="J569" i="81" s="1"/>
  <c r="M568" i="81"/>
  <c r="M573" i="81" s="1"/>
  <c r="M578" i="81" s="1"/>
  <c r="M583" i="81" s="1"/>
  <c r="M588" i="81" s="1"/>
  <c r="M593" i="81" s="1"/>
  <c r="M598" i="81" s="1"/>
  <c r="M603" i="81" s="1"/>
  <c r="K568" i="81"/>
  <c r="K573" i="81" s="1"/>
  <c r="K578" i="81" s="1"/>
  <c r="I568" i="81"/>
  <c r="J568" i="81" s="1"/>
  <c r="H565" i="81"/>
  <c r="H564" i="81"/>
  <c r="H604" i="81" s="1"/>
  <c r="I563" i="81"/>
  <c r="J563" i="81" s="1"/>
  <c r="L563" i="81" s="1"/>
  <c r="H547" i="81"/>
  <c r="H545" i="81"/>
  <c r="H542" i="81"/>
  <c r="I542" i="81"/>
  <c r="H541" i="81"/>
  <c r="I541" i="81"/>
  <c r="H540" i="81"/>
  <c r="I540" i="81"/>
  <c r="H537" i="81"/>
  <c r="H535" i="81"/>
  <c r="H532" i="81"/>
  <c r="H531" i="81"/>
  <c r="H530" i="81"/>
  <c r="J527" i="81"/>
  <c r="H527" i="81"/>
  <c r="J526" i="81"/>
  <c r="H526" i="81"/>
  <c r="J525" i="81"/>
  <c r="H525" i="81"/>
  <c r="I522" i="81"/>
  <c r="J522" i="81" s="1"/>
  <c r="I521" i="81"/>
  <c r="J521" i="81" s="1"/>
  <c r="I520" i="81"/>
  <c r="J520" i="81" s="1"/>
  <c r="J517" i="81"/>
  <c r="H517" i="81"/>
  <c r="J516" i="81"/>
  <c r="H516" i="81"/>
  <c r="J515" i="81"/>
  <c r="H515" i="81"/>
  <c r="M512" i="81"/>
  <c r="M517" i="81" s="1"/>
  <c r="M522" i="81" s="1"/>
  <c r="M527" i="81" s="1"/>
  <c r="M532" i="81" s="1"/>
  <c r="M537" i="81" s="1"/>
  <c r="M542" i="81" s="1"/>
  <c r="M547" i="81" s="1"/>
  <c r="K512" i="81"/>
  <c r="K517" i="81" s="1"/>
  <c r="K522" i="81" s="1"/>
  <c r="K527" i="81" s="1"/>
  <c r="K532" i="81" s="1"/>
  <c r="K537" i="81" s="1"/>
  <c r="K542" i="81" s="1"/>
  <c r="I512" i="81"/>
  <c r="J512" i="81" s="1"/>
  <c r="M511" i="81"/>
  <c r="M516" i="81" s="1"/>
  <c r="M521" i="81" s="1"/>
  <c r="M526" i="81" s="1"/>
  <c r="M531" i="81" s="1"/>
  <c r="M536" i="81" s="1"/>
  <c r="M541" i="81" s="1"/>
  <c r="M546" i="81" s="1"/>
  <c r="K511" i="81"/>
  <c r="K516" i="81" s="1"/>
  <c r="K521" i="81" s="1"/>
  <c r="K526" i="81" s="1"/>
  <c r="K531" i="81" s="1"/>
  <c r="K536" i="81" s="1"/>
  <c r="K541" i="81" s="1"/>
  <c r="H511" i="81"/>
  <c r="H546" i="81" s="1"/>
  <c r="M510" i="81"/>
  <c r="M515" i="81" s="1"/>
  <c r="M520" i="81" s="1"/>
  <c r="M525" i="81" s="1"/>
  <c r="M530" i="81" s="1"/>
  <c r="M535" i="81" s="1"/>
  <c r="M540" i="81" s="1"/>
  <c r="M545" i="81" s="1"/>
  <c r="K510" i="81"/>
  <c r="K515" i="81" s="1"/>
  <c r="K520" i="81" s="1"/>
  <c r="K525" i="81" s="1"/>
  <c r="K530" i="81" s="1"/>
  <c r="K535" i="81" s="1"/>
  <c r="K540" i="81" s="1"/>
  <c r="I510" i="81"/>
  <c r="J510" i="81" s="1"/>
  <c r="I507" i="81"/>
  <c r="J507" i="81" s="1"/>
  <c r="J537" i="81" s="1"/>
  <c r="I506" i="81"/>
  <c r="J506" i="81" s="1"/>
  <c r="I505" i="81"/>
  <c r="J505" i="81" s="1"/>
  <c r="H490" i="81"/>
  <c r="H487" i="81"/>
  <c r="I484" i="81"/>
  <c r="J484" i="81" s="1"/>
  <c r="M481" i="81"/>
  <c r="M484" i="81" s="1"/>
  <c r="M487" i="81" s="1"/>
  <c r="M490" i="81" s="1"/>
  <c r="K481" i="81"/>
  <c r="K484" i="81" s="1"/>
  <c r="K487" i="81" s="1"/>
  <c r="K490" i="81" s="1"/>
  <c r="J481" i="81"/>
  <c r="H481" i="81"/>
  <c r="J478" i="81"/>
  <c r="H463" i="81"/>
  <c r="I463" i="81" s="1"/>
  <c r="H457" i="81"/>
  <c r="H456" i="81"/>
  <c r="H455" i="81"/>
  <c r="H454" i="81"/>
  <c r="I449" i="81"/>
  <c r="H448" i="81"/>
  <c r="I448" i="81"/>
  <c r="H447" i="81"/>
  <c r="I447" i="81"/>
  <c r="H446" i="81"/>
  <c r="I446" i="81"/>
  <c r="H445" i="81"/>
  <c r="I445" i="81"/>
  <c r="H444" i="81"/>
  <c r="I444" i="81"/>
  <c r="H443" i="81"/>
  <c r="I443" i="81"/>
  <c r="H442" i="81"/>
  <c r="I442" i="81"/>
  <c r="H441" i="81"/>
  <c r="I441" i="81"/>
  <c r="H440" i="81"/>
  <c r="I440" i="81"/>
  <c r="H439" i="81"/>
  <c r="I439" i="81"/>
  <c r="H438" i="81"/>
  <c r="I438" i="81"/>
  <c r="H435" i="81"/>
  <c r="H429" i="81"/>
  <c r="H428" i="81"/>
  <c r="H427" i="81"/>
  <c r="H426" i="81"/>
  <c r="I421" i="81"/>
  <c r="H420" i="81"/>
  <c r="H419" i="81"/>
  <c r="H418" i="81"/>
  <c r="H417" i="81"/>
  <c r="H416" i="81"/>
  <c r="H415" i="81"/>
  <c r="H414" i="81"/>
  <c r="H413" i="81"/>
  <c r="H412" i="81"/>
  <c r="H411" i="81"/>
  <c r="H410" i="81"/>
  <c r="I407" i="81"/>
  <c r="J406" i="81"/>
  <c r="H406" i="81"/>
  <c r="J405" i="81"/>
  <c r="H405" i="81"/>
  <c r="J404" i="81"/>
  <c r="H404" i="81"/>
  <c r="J403" i="81"/>
  <c r="H403" i="81"/>
  <c r="J402" i="81"/>
  <c r="H402" i="81"/>
  <c r="J401" i="81"/>
  <c r="H401" i="81"/>
  <c r="J400" i="81"/>
  <c r="H400" i="81"/>
  <c r="J399" i="81"/>
  <c r="H399" i="81"/>
  <c r="J398" i="81"/>
  <c r="H398" i="81"/>
  <c r="J397" i="81"/>
  <c r="H397" i="81"/>
  <c r="J396" i="81"/>
  <c r="H396" i="81"/>
  <c r="I393" i="81"/>
  <c r="J393" i="81" s="1"/>
  <c r="I392" i="81"/>
  <c r="J392" i="81" s="1"/>
  <c r="I391" i="81"/>
  <c r="J391" i="81" s="1"/>
  <c r="I390" i="81"/>
  <c r="J390" i="81" s="1"/>
  <c r="I389" i="81"/>
  <c r="J389" i="81" s="1"/>
  <c r="I388" i="81"/>
  <c r="J388" i="81" s="1"/>
  <c r="I387" i="81"/>
  <c r="J387" i="81" s="1"/>
  <c r="I386" i="81"/>
  <c r="J386" i="81" s="1"/>
  <c r="I385" i="81"/>
  <c r="J385" i="81" s="1"/>
  <c r="I384" i="81"/>
  <c r="J384" i="81" s="1"/>
  <c r="I383" i="81"/>
  <c r="J383" i="81" s="1"/>
  <c r="I382" i="81"/>
  <c r="J382" i="81" s="1"/>
  <c r="M379" i="81"/>
  <c r="M393" i="81" s="1"/>
  <c r="M407" i="81" s="1"/>
  <c r="M421" i="81" s="1"/>
  <c r="M435" i="81" s="1"/>
  <c r="M449" i="81" s="1"/>
  <c r="M463" i="81" s="1"/>
  <c r="K379" i="81"/>
  <c r="I379" i="81"/>
  <c r="J378" i="81"/>
  <c r="H378" i="81"/>
  <c r="J377" i="81"/>
  <c r="H377" i="81"/>
  <c r="J376" i="81"/>
  <c r="H376" i="81"/>
  <c r="J375" i="81"/>
  <c r="H375" i="81"/>
  <c r="J374" i="81"/>
  <c r="H374" i="81"/>
  <c r="J373" i="81"/>
  <c r="H373" i="81"/>
  <c r="J372" i="81"/>
  <c r="H372" i="81"/>
  <c r="J371" i="81"/>
  <c r="H371" i="81"/>
  <c r="J370" i="81"/>
  <c r="H370" i="81"/>
  <c r="J369" i="81"/>
  <c r="H369" i="81"/>
  <c r="J368" i="81"/>
  <c r="H368" i="81"/>
  <c r="I365" i="81"/>
  <c r="J365" i="81" s="1"/>
  <c r="J435" i="81" s="1"/>
  <c r="M364" i="81"/>
  <c r="M378" i="81" s="1"/>
  <c r="M392" i="81" s="1"/>
  <c r="M406" i="81" s="1"/>
  <c r="M420" i="81" s="1"/>
  <c r="M434" i="81" s="1"/>
  <c r="M448" i="81" s="1"/>
  <c r="M462" i="81" s="1"/>
  <c r="K364" i="81"/>
  <c r="K378" i="81" s="1"/>
  <c r="K392" i="81" s="1"/>
  <c r="K406" i="81" s="1"/>
  <c r="K420" i="81" s="1"/>
  <c r="K434" i="81" s="1"/>
  <c r="K448" i="81" s="1"/>
  <c r="M363" i="81"/>
  <c r="M377" i="81" s="1"/>
  <c r="M391" i="81" s="1"/>
  <c r="M405" i="81" s="1"/>
  <c r="M419" i="81" s="1"/>
  <c r="M433" i="81" s="1"/>
  <c r="M447" i="81" s="1"/>
  <c r="M461" i="81" s="1"/>
  <c r="K363" i="81"/>
  <c r="K377" i="81" s="1"/>
  <c r="M362" i="81"/>
  <c r="M376" i="81" s="1"/>
  <c r="M390" i="81" s="1"/>
  <c r="M404" i="81" s="1"/>
  <c r="M418" i="81" s="1"/>
  <c r="M432" i="81" s="1"/>
  <c r="M446" i="81" s="1"/>
  <c r="M460" i="81" s="1"/>
  <c r="K362" i="81"/>
  <c r="K376" i="81" s="1"/>
  <c r="K390" i="81" s="1"/>
  <c r="K404" i="81" s="1"/>
  <c r="K418" i="81" s="1"/>
  <c r="K432" i="81" s="1"/>
  <c r="K446" i="81" s="1"/>
  <c r="I362" i="81"/>
  <c r="J362" i="81" s="1"/>
  <c r="M361" i="81"/>
  <c r="M375" i="81" s="1"/>
  <c r="M389" i="81" s="1"/>
  <c r="M403" i="81" s="1"/>
  <c r="M417" i="81" s="1"/>
  <c r="M431" i="81" s="1"/>
  <c r="M445" i="81" s="1"/>
  <c r="M459" i="81" s="1"/>
  <c r="K361" i="81"/>
  <c r="K375" i="81" s="1"/>
  <c r="K389" i="81" s="1"/>
  <c r="K403" i="81" s="1"/>
  <c r="I361" i="81"/>
  <c r="J361" i="81" s="1"/>
  <c r="M360" i="81"/>
  <c r="M374" i="81" s="1"/>
  <c r="M388" i="81" s="1"/>
  <c r="M402" i="81" s="1"/>
  <c r="M416" i="81" s="1"/>
  <c r="M430" i="81" s="1"/>
  <c r="M444" i="81" s="1"/>
  <c r="M458" i="81" s="1"/>
  <c r="K360" i="81"/>
  <c r="K374" i="81" s="1"/>
  <c r="K388" i="81" s="1"/>
  <c r="K402" i="81" s="1"/>
  <c r="K416" i="81" s="1"/>
  <c r="K430" i="81" s="1"/>
  <c r="K444" i="81" s="1"/>
  <c r="L444" i="81" s="1"/>
  <c r="M359" i="81"/>
  <c r="M373" i="81" s="1"/>
  <c r="M387" i="81" s="1"/>
  <c r="M401" i="81" s="1"/>
  <c r="M415" i="81" s="1"/>
  <c r="M429" i="81" s="1"/>
  <c r="M443" i="81" s="1"/>
  <c r="M457" i="81" s="1"/>
  <c r="K359" i="81"/>
  <c r="K373" i="81" s="1"/>
  <c r="K387" i="81" s="1"/>
  <c r="K401" i="81" s="1"/>
  <c r="I359" i="81"/>
  <c r="J359" i="81" s="1"/>
  <c r="M358" i="81"/>
  <c r="M372" i="81" s="1"/>
  <c r="M386" i="81" s="1"/>
  <c r="M400" i="81" s="1"/>
  <c r="M414" i="81" s="1"/>
  <c r="M428" i="81" s="1"/>
  <c r="M442" i="81" s="1"/>
  <c r="M456" i="81" s="1"/>
  <c r="K358" i="81"/>
  <c r="K372" i="81" s="1"/>
  <c r="K386" i="81" s="1"/>
  <c r="K400" i="81" s="1"/>
  <c r="I358" i="81"/>
  <c r="J358" i="81" s="1"/>
  <c r="M357" i="81"/>
  <c r="M371" i="81" s="1"/>
  <c r="M385" i="81" s="1"/>
  <c r="M399" i="81" s="1"/>
  <c r="M413" i="81" s="1"/>
  <c r="M427" i="81" s="1"/>
  <c r="M441" i="81" s="1"/>
  <c r="M455" i="81" s="1"/>
  <c r="K357" i="81"/>
  <c r="K371" i="81" s="1"/>
  <c r="I357" i="81"/>
  <c r="J357" i="81" s="1"/>
  <c r="M356" i="81"/>
  <c r="M370" i="81" s="1"/>
  <c r="M384" i="81" s="1"/>
  <c r="M398" i="81" s="1"/>
  <c r="M412" i="81" s="1"/>
  <c r="M426" i="81" s="1"/>
  <c r="M440" i="81" s="1"/>
  <c r="M454" i="81" s="1"/>
  <c r="K356" i="81"/>
  <c r="I356" i="81"/>
  <c r="J356" i="81" s="1"/>
  <c r="M355" i="81"/>
  <c r="M369" i="81" s="1"/>
  <c r="M383" i="81" s="1"/>
  <c r="M397" i="81" s="1"/>
  <c r="M411" i="81" s="1"/>
  <c r="M425" i="81" s="1"/>
  <c r="M439" i="81" s="1"/>
  <c r="M453" i="81" s="1"/>
  <c r="K355" i="81"/>
  <c r="K369" i="81" s="1"/>
  <c r="K383" i="81" s="1"/>
  <c r="K397" i="81" s="1"/>
  <c r="I355" i="81"/>
  <c r="J355" i="81" s="1"/>
  <c r="M354" i="81"/>
  <c r="M368" i="81" s="1"/>
  <c r="M382" i="81" s="1"/>
  <c r="M396" i="81" s="1"/>
  <c r="M410" i="81" s="1"/>
  <c r="M424" i="81" s="1"/>
  <c r="M438" i="81" s="1"/>
  <c r="M452" i="81" s="1"/>
  <c r="K354" i="81"/>
  <c r="K368" i="81" s="1"/>
  <c r="L351" i="81"/>
  <c r="N351" i="81" s="1"/>
  <c r="P351" i="81" s="1"/>
  <c r="I351" i="81"/>
  <c r="H350" i="81"/>
  <c r="H349" i="81"/>
  <c r="H348" i="81"/>
  <c r="H347" i="81"/>
  <c r="H431" i="81" s="1"/>
  <c r="H346" i="81"/>
  <c r="H360" i="81" s="1"/>
  <c r="I345" i="81"/>
  <c r="J345" i="81" s="1"/>
  <c r="L345" i="81" s="1"/>
  <c r="N345" i="81" s="1"/>
  <c r="P345" i="81" s="1"/>
  <c r="I344" i="81"/>
  <c r="J344" i="81" s="1"/>
  <c r="I343" i="81"/>
  <c r="J343" i="81" s="1"/>
  <c r="I342" i="81"/>
  <c r="J342" i="81" s="1"/>
  <c r="L342" i="81" s="1"/>
  <c r="N342" i="81" s="1"/>
  <c r="P342" i="81" s="1"/>
  <c r="H341" i="81"/>
  <c r="H425" i="81" s="1"/>
  <c r="H340" i="81"/>
  <c r="I354" i="81" s="1"/>
  <c r="H325" i="81"/>
  <c r="I325" i="81" s="1"/>
  <c r="H324" i="81"/>
  <c r="H323" i="81"/>
  <c r="H322" i="81"/>
  <c r="H321" i="81"/>
  <c r="H319" i="81"/>
  <c r="H315" i="81"/>
  <c r="I315" i="81" s="1"/>
  <c r="H314" i="81"/>
  <c r="I314" i="81" s="1"/>
  <c r="H313" i="81"/>
  <c r="I313" i="81" s="1"/>
  <c r="H312" i="81"/>
  <c r="I312" i="81" s="1"/>
  <c r="H311" i="81"/>
  <c r="I311" i="81" s="1"/>
  <c r="H310" i="81"/>
  <c r="I310" i="81" s="1"/>
  <c r="K307" i="81"/>
  <c r="K316" i="81" s="1"/>
  <c r="J307" i="81"/>
  <c r="H307" i="81"/>
  <c r="H306" i="81"/>
  <c r="H305" i="81"/>
  <c r="H304" i="81"/>
  <c r="H303" i="81"/>
  <c r="H301" i="81"/>
  <c r="L298" i="81"/>
  <c r="H297" i="81"/>
  <c r="H296" i="81"/>
  <c r="H295" i="81"/>
  <c r="H294" i="81"/>
  <c r="H293" i="81"/>
  <c r="H292" i="81"/>
  <c r="I289" i="81"/>
  <c r="J288" i="81"/>
  <c r="H288" i="81"/>
  <c r="J287" i="81"/>
  <c r="H287" i="81"/>
  <c r="J286" i="81"/>
  <c r="H286" i="81"/>
  <c r="J285" i="81"/>
  <c r="H285" i="81"/>
  <c r="J284" i="81"/>
  <c r="H284" i="81"/>
  <c r="J283" i="81"/>
  <c r="H283" i="81"/>
  <c r="I280" i="81"/>
  <c r="J280" i="81" s="1"/>
  <c r="I279" i="81"/>
  <c r="J279" i="81" s="1"/>
  <c r="I278" i="81"/>
  <c r="J278" i="81" s="1"/>
  <c r="I277" i="81"/>
  <c r="J277" i="81" s="1"/>
  <c r="I276" i="81"/>
  <c r="J276" i="81" s="1"/>
  <c r="I275" i="81"/>
  <c r="J275" i="81" s="1"/>
  <c r="I274" i="81"/>
  <c r="J274" i="81" s="1"/>
  <c r="J270" i="81"/>
  <c r="H270" i="81"/>
  <c r="J269" i="81"/>
  <c r="H269" i="81"/>
  <c r="J268" i="81"/>
  <c r="H268" i="81"/>
  <c r="J267" i="81"/>
  <c r="H267" i="81"/>
  <c r="J266" i="81"/>
  <c r="H266" i="81"/>
  <c r="J265" i="81"/>
  <c r="H265" i="81"/>
  <c r="M262" i="81"/>
  <c r="M271" i="81" s="1"/>
  <c r="M280" i="81" s="1"/>
  <c r="M289" i="81" s="1"/>
  <c r="M298" i="81" s="1"/>
  <c r="M307" i="81" s="1"/>
  <c r="M316" i="81" s="1"/>
  <c r="M325" i="81" s="1"/>
  <c r="K262" i="81"/>
  <c r="K271" i="81" s="1"/>
  <c r="M261" i="81"/>
  <c r="M270" i="81" s="1"/>
  <c r="M279" i="81" s="1"/>
  <c r="M288" i="81" s="1"/>
  <c r="M297" i="81" s="1"/>
  <c r="M306" i="81" s="1"/>
  <c r="M315" i="81" s="1"/>
  <c r="M324" i="81" s="1"/>
  <c r="K261" i="81"/>
  <c r="I261" i="81"/>
  <c r="J261" i="81" s="1"/>
  <c r="M260" i="81"/>
  <c r="M269" i="81" s="1"/>
  <c r="M278" i="81" s="1"/>
  <c r="M287" i="81" s="1"/>
  <c r="M296" i="81" s="1"/>
  <c r="M305" i="81" s="1"/>
  <c r="M314" i="81" s="1"/>
  <c r="M323" i="81" s="1"/>
  <c r="K260" i="81"/>
  <c r="K269" i="81" s="1"/>
  <c r="K278" i="81" s="1"/>
  <c r="K287" i="81" s="1"/>
  <c r="K296" i="81" s="1"/>
  <c r="K305" i="81" s="1"/>
  <c r="K314" i="81" s="1"/>
  <c r="L314" i="81" s="1"/>
  <c r="I260" i="81"/>
  <c r="J260" i="81" s="1"/>
  <c r="M259" i="81"/>
  <c r="M268" i="81" s="1"/>
  <c r="M277" i="81" s="1"/>
  <c r="M286" i="81" s="1"/>
  <c r="M295" i="81" s="1"/>
  <c r="M304" i="81" s="1"/>
  <c r="M313" i="81" s="1"/>
  <c r="M322" i="81" s="1"/>
  <c r="K259" i="81"/>
  <c r="K268" i="81" s="1"/>
  <c r="K277" i="81" s="1"/>
  <c r="K286" i="81" s="1"/>
  <c r="K295" i="81" s="1"/>
  <c r="K304" i="81" s="1"/>
  <c r="K313" i="81" s="1"/>
  <c r="I259" i="81"/>
  <c r="J259" i="81" s="1"/>
  <c r="M258" i="81"/>
  <c r="M267" i="81" s="1"/>
  <c r="M276" i="81" s="1"/>
  <c r="M285" i="81" s="1"/>
  <c r="M294" i="81" s="1"/>
  <c r="M303" i="81" s="1"/>
  <c r="M312" i="81" s="1"/>
  <c r="M321" i="81" s="1"/>
  <c r="K258" i="81"/>
  <c r="K267" i="81" s="1"/>
  <c r="K276" i="81" s="1"/>
  <c r="K285" i="81" s="1"/>
  <c r="K294" i="81" s="1"/>
  <c r="K303" i="81" s="1"/>
  <c r="K312" i="81" s="1"/>
  <c r="K321" i="81" s="1"/>
  <c r="I258" i="81"/>
  <c r="J258" i="81" s="1"/>
  <c r="M257" i="81"/>
  <c r="M266" i="81" s="1"/>
  <c r="M275" i="81" s="1"/>
  <c r="M284" i="81" s="1"/>
  <c r="M293" i="81" s="1"/>
  <c r="M302" i="81" s="1"/>
  <c r="M311" i="81" s="1"/>
  <c r="M320" i="81" s="1"/>
  <c r="K257" i="81"/>
  <c r="K266" i="81" s="1"/>
  <c r="K275" i="81" s="1"/>
  <c r="K284" i="81" s="1"/>
  <c r="K293" i="81" s="1"/>
  <c r="K302" i="81" s="1"/>
  <c r="K311" i="81" s="1"/>
  <c r="L311" i="81" s="1"/>
  <c r="H257" i="81"/>
  <c r="M256" i="81"/>
  <c r="M265" i="81" s="1"/>
  <c r="M274" i="81" s="1"/>
  <c r="M283" i="81" s="1"/>
  <c r="M292" i="81" s="1"/>
  <c r="M301" i="81" s="1"/>
  <c r="M310" i="81" s="1"/>
  <c r="M319" i="81" s="1"/>
  <c r="K256" i="81"/>
  <c r="K265" i="81" s="1"/>
  <c r="K274" i="81" s="1"/>
  <c r="I256" i="81"/>
  <c r="J256" i="81" s="1"/>
  <c r="L253" i="81"/>
  <c r="N253" i="81" s="1"/>
  <c r="P253" i="81" s="1"/>
  <c r="I252" i="81"/>
  <c r="J252" i="81" s="1"/>
  <c r="I251" i="81"/>
  <c r="J251" i="81" s="1"/>
  <c r="I250" i="81"/>
  <c r="J250" i="81" s="1"/>
  <c r="L250" i="81" s="1"/>
  <c r="N250" i="81" s="1"/>
  <c r="P250" i="81" s="1"/>
  <c r="I249" i="81"/>
  <c r="J249" i="81" s="1"/>
  <c r="H248" i="81"/>
  <c r="I247" i="81"/>
  <c r="J247" i="81" s="1"/>
  <c r="J231" i="81"/>
  <c r="J229" i="81"/>
  <c r="H225" i="81"/>
  <c r="I225" i="81" s="1"/>
  <c r="H224" i="81"/>
  <c r="I224" i="81" s="1"/>
  <c r="J223" i="81"/>
  <c r="H223" i="81"/>
  <c r="J222" i="81"/>
  <c r="H222" i="81"/>
  <c r="J221" i="81"/>
  <c r="H221" i="81"/>
  <c r="J217" i="81"/>
  <c r="J215" i="81"/>
  <c r="J211" i="81"/>
  <c r="J210" i="81"/>
  <c r="J209" i="81"/>
  <c r="J208" i="81"/>
  <c r="J204" i="81"/>
  <c r="I204" i="81" s="1"/>
  <c r="J203" i="81"/>
  <c r="J202" i="81"/>
  <c r="H202" i="81"/>
  <c r="J201" i="81"/>
  <c r="H201" i="81"/>
  <c r="J200" i="81"/>
  <c r="H200" i="81"/>
  <c r="I197" i="81"/>
  <c r="J197" i="81" s="1"/>
  <c r="I196" i="81"/>
  <c r="J196" i="81" s="1"/>
  <c r="I195" i="81"/>
  <c r="J195" i="81" s="1"/>
  <c r="I194" i="81"/>
  <c r="J194" i="81" s="1"/>
  <c r="I193" i="81"/>
  <c r="J190" i="81"/>
  <c r="I190" i="81" s="1"/>
  <c r="J189" i="81"/>
  <c r="I189" i="81" s="1"/>
  <c r="J188" i="81"/>
  <c r="H188" i="81"/>
  <c r="J187" i="81"/>
  <c r="H187" i="81"/>
  <c r="H186" i="81"/>
  <c r="I186" i="81" s="1"/>
  <c r="M183" i="81"/>
  <c r="M190" i="81" s="1"/>
  <c r="M197" i="81" s="1"/>
  <c r="M204" i="81" s="1"/>
  <c r="M211" i="81" s="1"/>
  <c r="M218" i="81" s="1"/>
  <c r="M225" i="81" s="1"/>
  <c r="M232" i="81" s="1"/>
  <c r="K183" i="81"/>
  <c r="K190" i="81" s="1"/>
  <c r="K197" i="81" s="1"/>
  <c r="K204" i="81" s="1"/>
  <c r="K211" i="81" s="1"/>
  <c r="J183" i="81"/>
  <c r="M182" i="81"/>
  <c r="M189" i="81" s="1"/>
  <c r="M196" i="81" s="1"/>
  <c r="M203" i="81" s="1"/>
  <c r="M210" i="81" s="1"/>
  <c r="M217" i="81" s="1"/>
  <c r="M224" i="81" s="1"/>
  <c r="M231" i="81" s="1"/>
  <c r="K182" i="81"/>
  <c r="K189" i="81" s="1"/>
  <c r="K196" i="81" s="1"/>
  <c r="K203" i="81" s="1"/>
  <c r="K210" i="81" s="1"/>
  <c r="K217" i="81" s="1"/>
  <c r="K224" i="81" s="1"/>
  <c r="J182" i="81"/>
  <c r="M181" i="81"/>
  <c r="M188" i="81" s="1"/>
  <c r="M195" i="81" s="1"/>
  <c r="M202" i="81" s="1"/>
  <c r="M209" i="81" s="1"/>
  <c r="M216" i="81" s="1"/>
  <c r="M223" i="81" s="1"/>
  <c r="M230" i="81" s="1"/>
  <c r="K181" i="81"/>
  <c r="K188" i="81" s="1"/>
  <c r="K195" i="81" s="1"/>
  <c r="K202" i="81" s="1"/>
  <c r="K209" i="81" s="1"/>
  <c r="K216" i="81" s="1"/>
  <c r="K223" i="81" s="1"/>
  <c r="K230" i="81" s="1"/>
  <c r="J181" i="81"/>
  <c r="M180" i="81"/>
  <c r="M187" i="81" s="1"/>
  <c r="M194" i="81" s="1"/>
  <c r="M201" i="81" s="1"/>
  <c r="M208" i="81" s="1"/>
  <c r="M215" i="81" s="1"/>
  <c r="M222" i="81" s="1"/>
  <c r="M229" i="81" s="1"/>
  <c r="K180" i="81"/>
  <c r="K187" i="81" s="1"/>
  <c r="K194" i="81" s="1"/>
  <c r="K201" i="81" s="1"/>
  <c r="K208" i="81" s="1"/>
  <c r="K215" i="81" s="1"/>
  <c r="J180" i="81"/>
  <c r="M179" i="81"/>
  <c r="M186" i="81" s="1"/>
  <c r="M193" i="81" s="1"/>
  <c r="M200" i="81" s="1"/>
  <c r="M207" i="81" s="1"/>
  <c r="M214" i="81" s="1"/>
  <c r="M221" i="81" s="1"/>
  <c r="M228" i="81" s="1"/>
  <c r="K179" i="81"/>
  <c r="K186" i="81" s="1"/>
  <c r="J179" i="81"/>
  <c r="J176" i="81"/>
  <c r="J232" i="81" s="1"/>
  <c r="H176" i="81"/>
  <c r="L175" i="81"/>
  <c r="N175" i="81" s="1"/>
  <c r="P175" i="81" s="1"/>
  <c r="H175" i="81"/>
  <c r="H231" i="81" s="1"/>
  <c r="J174" i="81"/>
  <c r="H174" i="81"/>
  <c r="L173" i="81"/>
  <c r="N173" i="81" s="1"/>
  <c r="P173" i="81" s="1"/>
  <c r="H173" i="81"/>
  <c r="J172" i="81"/>
  <c r="L172" i="81" s="1"/>
  <c r="H172" i="81"/>
  <c r="H228" i="81" s="1"/>
  <c r="H154" i="81"/>
  <c r="H150" i="81"/>
  <c r="H149" i="81"/>
  <c r="H147" i="81"/>
  <c r="H146" i="81"/>
  <c r="H145" i="81"/>
  <c r="H144" i="81"/>
  <c r="H142" i="81"/>
  <c r="I138" i="81"/>
  <c r="I137" i="81"/>
  <c r="J134" i="81"/>
  <c r="I134" i="81" s="1"/>
  <c r="J133" i="81"/>
  <c r="I133" i="81" s="1"/>
  <c r="J132" i="81"/>
  <c r="I132" i="81"/>
  <c r="J131" i="81"/>
  <c r="I131" i="81" s="1"/>
  <c r="J130" i="81"/>
  <c r="I130" i="81" s="1"/>
  <c r="J129" i="81"/>
  <c r="I129" i="81" s="1"/>
  <c r="J128" i="81"/>
  <c r="I128" i="81" s="1"/>
  <c r="J127" i="81"/>
  <c r="I127" i="81" s="1"/>
  <c r="J126" i="81"/>
  <c r="I126" i="81" s="1"/>
  <c r="J125" i="81"/>
  <c r="I125" i="81" s="1"/>
  <c r="H122" i="81"/>
  <c r="H118" i="81"/>
  <c r="H117" i="81"/>
  <c r="H115" i="81"/>
  <c r="H114" i="81"/>
  <c r="H113" i="81"/>
  <c r="H112" i="81"/>
  <c r="H110" i="81"/>
  <c r="H109" i="81"/>
  <c r="H106" i="81"/>
  <c r="H105" i="81"/>
  <c r="I104" i="81"/>
  <c r="I103" i="81"/>
  <c r="H102" i="81"/>
  <c r="H101" i="81"/>
  <c r="H100" i="81"/>
  <c r="H99" i="81"/>
  <c r="H98" i="81"/>
  <c r="H97" i="81"/>
  <c r="H96" i="81"/>
  <c r="H95" i="81"/>
  <c r="H94" i="81"/>
  <c r="H93" i="81"/>
  <c r="J90" i="81"/>
  <c r="I90" i="81" s="1"/>
  <c r="J89" i="81"/>
  <c r="I89" i="81" s="1"/>
  <c r="I88" i="81"/>
  <c r="I87" i="81"/>
  <c r="J86" i="81"/>
  <c r="I86" i="81" s="1"/>
  <c r="J85" i="81"/>
  <c r="I85" i="81" s="1"/>
  <c r="J84" i="81"/>
  <c r="I84" i="81" s="1"/>
  <c r="J83" i="81"/>
  <c r="I83" i="81" s="1"/>
  <c r="J82" i="81"/>
  <c r="I82" i="81" s="1"/>
  <c r="J81" i="81"/>
  <c r="I81" i="81" s="1"/>
  <c r="J80" i="81"/>
  <c r="I80" i="81" s="1"/>
  <c r="J79" i="81"/>
  <c r="I79" i="81" s="1"/>
  <c r="J78" i="81"/>
  <c r="I78" i="81" s="1"/>
  <c r="I77" i="81"/>
  <c r="I74" i="81"/>
  <c r="J74" i="81" s="1"/>
  <c r="I73" i="81"/>
  <c r="J73" i="81" s="1"/>
  <c r="I72" i="81"/>
  <c r="J72" i="81" s="1"/>
  <c r="I71" i="81"/>
  <c r="J71" i="81" s="1"/>
  <c r="I70" i="81"/>
  <c r="J70" i="81" s="1"/>
  <c r="I69" i="81"/>
  <c r="J69" i="81" s="1"/>
  <c r="I68" i="81"/>
  <c r="J68" i="81" s="1"/>
  <c r="I67" i="81"/>
  <c r="J67" i="81" s="1"/>
  <c r="I66" i="81"/>
  <c r="J66" i="81" s="1"/>
  <c r="I65" i="81"/>
  <c r="J65" i="81" s="1"/>
  <c r="I64" i="81"/>
  <c r="J64" i="81" s="1"/>
  <c r="I63" i="81"/>
  <c r="J63" i="81" s="1"/>
  <c r="I62" i="81"/>
  <c r="J62" i="81" s="1"/>
  <c r="I61" i="81"/>
  <c r="J61" i="81" s="1"/>
  <c r="J58" i="81"/>
  <c r="H58" i="81"/>
  <c r="J57" i="81"/>
  <c r="H57" i="81"/>
  <c r="J54" i="81"/>
  <c r="H54" i="81"/>
  <c r="J53" i="81"/>
  <c r="H53" i="81"/>
  <c r="J52" i="81"/>
  <c r="H52" i="81"/>
  <c r="J51" i="81"/>
  <c r="H51" i="81"/>
  <c r="J50" i="81"/>
  <c r="H50" i="81"/>
  <c r="J49" i="81"/>
  <c r="H49" i="81"/>
  <c r="J48" i="81"/>
  <c r="H48" i="81"/>
  <c r="J47" i="81"/>
  <c r="H47" i="81"/>
  <c r="J46" i="81"/>
  <c r="H46" i="81"/>
  <c r="J45" i="81"/>
  <c r="H45" i="81"/>
  <c r="M42" i="81"/>
  <c r="M58" i="81" s="1"/>
  <c r="M74" i="81" s="1"/>
  <c r="M90" i="81" s="1"/>
  <c r="M106" i="81" s="1"/>
  <c r="M122" i="81" s="1"/>
  <c r="M138" i="81" s="1"/>
  <c r="M154" i="81" s="1"/>
  <c r="K42" i="81"/>
  <c r="K58" i="81" s="1"/>
  <c r="K74" i="81" s="1"/>
  <c r="K90" i="81" s="1"/>
  <c r="I42" i="81"/>
  <c r="J42" i="81" s="1"/>
  <c r="M41" i="81"/>
  <c r="M57" i="81" s="1"/>
  <c r="M73" i="81" s="1"/>
  <c r="M89" i="81" s="1"/>
  <c r="M105" i="81" s="1"/>
  <c r="M121" i="81" s="1"/>
  <c r="M137" i="81" s="1"/>
  <c r="M153" i="81" s="1"/>
  <c r="K41" i="81"/>
  <c r="K57" i="81" s="1"/>
  <c r="K73" i="81" s="1"/>
  <c r="K89" i="81" s="1"/>
  <c r="K105" i="81" s="1"/>
  <c r="K121" i="81" s="1"/>
  <c r="K137" i="81" s="1"/>
  <c r="I41" i="81"/>
  <c r="J41" i="81" s="1"/>
  <c r="M40" i="81"/>
  <c r="M56" i="81" s="1"/>
  <c r="M72" i="81" s="1"/>
  <c r="M88" i="81" s="1"/>
  <c r="M104" i="81" s="1"/>
  <c r="M120" i="81" s="1"/>
  <c r="M136" i="81" s="1"/>
  <c r="M152" i="81" s="1"/>
  <c r="K40" i="81"/>
  <c r="K56" i="81" s="1"/>
  <c r="I40" i="81"/>
  <c r="J40" i="81" s="1"/>
  <c r="M39" i="81"/>
  <c r="M55" i="81" s="1"/>
  <c r="M71" i="81" s="1"/>
  <c r="M87" i="81" s="1"/>
  <c r="K39" i="81"/>
  <c r="K55" i="81" s="1"/>
  <c r="L55" i="81" s="1"/>
  <c r="I39" i="81"/>
  <c r="J39" i="81" s="1"/>
  <c r="M38" i="81"/>
  <c r="M54" i="81" s="1"/>
  <c r="M70" i="81" s="1"/>
  <c r="M86" i="81" s="1"/>
  <c r="M102" i="81" s="1"/>
  <c r="M118" i="81" s="1"/>
  <c r="M134" i="81" s="1"/>
  <c r="M150" i="81" s="1"/>
  <c r="K38" i="81"/>
  <c r="K54" i="81" s="1"/>
  <c r="K70" i="81" s="1"/>
  <c r="K86" i="81" s="1"/>
  <c r="K102" i="81" s="1"/>
  <c r="K118" i="81" s="1"/>
  <c r="K134" i="81" s="1"/>
  <c r="K150" i="81" s="1"/>
  <c r="I38" i="81"/>
  <c r="J38" i="81" s="1"/>
  <c r="M37" i="81"/>
  <c r="M53" i="81" s="1"/>
  <c r="M69" i="81" s="1"/>
  <c r="M85" i="81" s="1"/>
  <c r="M101" i="81" s="1"/>
  <c r="M117" i="81" s="1"/>
  <c r="M133" i="81" s="1"/>
  <c r="M149" i="81" s="1"/>
  <c r="K37" i="81"/>
  <c r="K53" i="81" s="1"/>
  <c r="K69" i="81" s="1"/>
  <c r="K85" i="81" s="1"/>
  <c r="K101" i="81" s="1"/>
  <c r="K117" i="81" s="1"/>
  <c r="K133" i="81" s="1"/>
  <c r="K149" i="81" s="1"/>
  <c r="I37" i="81"/>
  <c r="J37" i="81" s="1"/>
  <c r="M36" i="81"/>
  <c r="M52" i="81" s="1"/>
  <c r="M68" i="81" s="1"/>
  <c r="M84" i="81" s="1"/>
  <c r="M100" i="81" s="1"/>
  <c r="M116" i="81" s="1"/>
  <c r="M132" i="81" s="1"/>
  <c r="M148" i="81" s="1"/>
  <c r="K36" i="81"/>
  <c r="K52" i="81" s="1"/>
  <c r="K68" i="81" s="1"/>
  <c r="K84" i="81" s="1"/>
  <c r="K100" i="81" s="1"/>
  <c r="K116" i="81" s="1"/>
  <c r="K132" i="81" s="1"/>
  <c r="K148" i="81" s="1"/>
  <c r="I36" i="81"/>
  <c r="J36" i="81" s="1"/>
  <c r="M35" i="81"/>
  <c r="M51" i="81" s="1"/>
  <c r="M67" i="81" s="1"/>
  <c r="M83" i="81" s="1"/>
  <c r="M99" i="81" s="1"/>
  <c r="M115" i="81" s="1"/>
  <c r="M131" i="81" s="1"/>
  <c r="M147" i="81" s="1"/>
  <c r="K35" i="81"/>
  <c r="K51" i="81" s="1"/>
  <c r="K67" i="81" s="1"/>
  <c r="K83" i="81" s="1"/>
  <c r="K99" i="81" s="1"/>
  <c r="K115" i="81" s="1"/>
  <c r="K131" i="81" s="1"/>
  <c r="K147" i="81" s="1"/>
  <c r="I35" i="81"/>
  <c r="J35" i="81" s="1"/>
  <c r="M34" i="81"/>
  <c r="M50" i="81" s="1"/>
  <c r="M66" i="81" s="1"/>
  <c r="M82" i="81" s="1"/>
  <c r="M98" i="81" s="1"/>
  <c r="M114" i="81" s="1"/>
  <c r="M130" i="81" s="1"/>
  <c r="M146" i="81" s="1"/>
  <c r="K34" i="81"/>
  <c r="K50" i="81" s="1"/>
  <c r="K66" i="81" s="1"/>
  <c r="K82" i="81" s="1"/>
  <c r="K98" i="81" s="1"/>
  <c r="K114" i="81" s="1"/>
  <c r="K130" i="81" s="1"/>
  <c r="M33" i="81"/>
  <c r="M49" i="81" s="1"/>
  <c r="M65" i="81" s="1"/>
  <c r="M81" i="81" s="1"/>
  <c r="M97" i="81" s="1"/>
  <c r="M113" i="81" s="1"/>
  <c r="M129" i="81" s="1"/>
  <c r="M145" i="81" s="1"/>
  <c r="K33" i="81"/>
  <c r="K49" i="81" s="1"/>
  <c r="I33" i="81"/>
  <c r="J33" i="81" s="1"/>
  <c r="M32" i="81"/>
  <c r="M48" i="81" s="1"/>
  <c r="M64" i="81" s="1"/>
  <c r="M80" i="81" s="1"/>
  <c r="M96" i="81" s="1"/>
  <c r="M112" i="81" s="1"/>
  <c r="M128" i="81" s="1"/>
  <c r="M144" i="81" s="1"/>
  <c r="K32" i="81"/>
  <c r="K48" i="81" s="1"/>
  <c r="I32" i="81"/>
  <c r="J32" i="81" s="1"/>
  <c r="M31" i="81"/>
  <c r="M47" i="81" s="1"/>
  <c r="M63" i="81" s="1"/>
  <c r="M79" i="81" s="1"/>
  <c r="M95" i="81" s="1"/>
  <c r="M111" i="81" s="1"/>
  <c r="M127" i="81" s="1"/>
  <c r="M143" i="81" s="1"/>
  <c r="K31" i="81"/>
  <c r="K47" i="81" s="1"/>
  <c r="K63" i="81" s="1"/>
  <c r="K79" i="81" s="1"/>
  <c r="K95" i="81" s="1"/>
  <c r="K111" i="81" s="1"/>
  <c r="K127" i="81" s="1"/>
  <c r="I31" i="81"/>
  <c r="J31" i="81" s="1"/>
  <c r="M30" i="81"/>
  <c r="M46" i="81" s="1"/>
  <c r="M62" i="81" s="1"/>
  <c r="M78" i="81" s="1"/>
  <c r="M94" i="81" s="1"/>
  <c r="M110" i="81" s="1"/>
  <c r="M126" i="81" s="1"/>
  <c r="M142" i="81" s="1"/>
  <c r="K30" i="81"/>
  <c r="K46" i="81" s="1"/>
  <c r="K62" i="81" s="1"/>
  <c r="K78" i="81" s="1"/>
  <c r="K94" i="81" s="1"/>
  <c r="K110" i="81" s="1"/>
  <c r="K126" i="81" s="1"/>
  <c r="K142" i="81" s="1"/>
  <c r="I30" i="81"/>
  <c r="J30" i="81" s="1"/>
  <c r="M29" i="81"/>
  <c r="M45" i="81" s="1"/>
  <c r="M61" i="81" s="1"/>
  <c r="M77" i="81" s="1"/>
  <c r="M93" i="81" s="1"/>
  <c r="M109" i="81" s="1"/>
  <c r="M125" i="81" s="1"/>
  <c r="M141" i="81" s="1"/>
  <c r="K29" i="81"/>
  <c r="K45" i="81" s="1"/>
  <c r="K61" i="81" s="1"/>
  <c r="K77" i="81" s="1"/>
  <c r="K93" i="81" s="1"/>
  <c r="K109" i="81" s="1"/>
  <c r="K125" i="81" s="1"/>
  <c r="K141" i="81" s="1"/>
  <c r="H29" i="81"/>
  <c r="H141" i="81" s="1"/>
  <c r="I26" i="81"/>
  <c r="J26" i="81" s="1"/>
  <c r="H25" i="81"/>
  <c r="L24" i="81"/>
  <c r="N24" i="81" s="1"/>
  <c r="P24" i="81" s="1"/>
  <c r="H24" i="81"/>
  <c r="I24" i="81" s="1"/>
  <c r="L23" i="81"/>
  <c r="N23" i="81" s="1"/>
  <c r="P23" i="81" s="1"/>
  <c r="H23" i="81"/>
  <c r="J22" i="81"/>
  <c r="I22" i="81" s="1"/>
  <c r="I21" i="81"/>
  <c r="J21" i="81" s="1"/>
  <c r="I20" i="81"/>
  <c r="I19" i="81"/>
  <c r="J19" i="81" s="1"/>
  <c r="I18" i="81"/>
  <c r="J18" i="81" s="1"/>
  <c r="I17" i="81"/>
  <c r="J17" i="81" s="1"/>
  <c r="L17" i="81" s="1"/>
  <c r="N17" i="81" s="1"/>
  <c r="P17" i="81" s="1"/>
  <c r="I16" i="81"/>
  <c r="J16" i="81" s="1"/>
  <c r="H111" i="81"/>
  <c r="I14" i="81"/>
  <c r="J14" i="81" s="1"/>
  <c r="L14" i="81" s="1"/>
  <c r="N14" i="81" s="1"/>
  <c r="P14" i="81" s="1"/>
  <c r="J13" i="81"/>
  <c r="I45" i="81" l="1"/>
  <c r="S19" i="81"/>
  <c r="S22" i="81" s="1"/>
  <c r="L357" i="81"/>
  <c r="N357" i="81" s="1"/>
  <c r="P357" i="81" s="1"/>
  <c r="I288" i="81"/>
  <c r="I58" i="81"/>
  <c r="I404" i="81"/>
  <c r="I643" i="81"/>
  <c r="L688" i="81"/>
  <c r="N688" i="81" s="1"/>
  <c r="P688" i="81" s="1"/>
  <c r="I695" i="81"/>
  <c r="I57" i="81"/>
  <c r="L359" i="81"/>
  <c r="N359" i="81" s="1"/>
  <c r="P359" i="81" s="1"/>
  <c r="I406" i="81"/>
  <c r="L569" i="81"/>
  <c r="N569" i="81" s="1"/>
  <c r="P569" i="81" s="1"/>
  <c r="I402" i="81"/>
  <c r="L628" i="81"/>
  <c r="N628" i="81" s="1"/>
  <c r="P628" i="81" s="1"/>
  <c r="L258" i="81"/>
  <c r="N258" i="81" s="1"/>
  <c r="P258" i="81" s="1"/>
  <c r="I712" i="81"/>
  <c r="I54" i="81"/>
  <c r="I515" i="81"/>
  <c r="I573" i="81"/>
  <c r="I200" i="81"/>
  <c r="I371" i="81"/>
  <c r="I632" i="81"/>
  <c r="L692" i="81"/>
  <c r="N692" i="81" s="1"/>
  <c r="P692" i="81" s="1"/>
  <c r="I642" i="81"/>
  <c r="L687" i="81"/>
  <c r="N687" i="81" s="1"/>
  <c r="P687" i="81" s="1"/>
  <c r="I698" i="81"/>
  <c r="I711" i="81"/>
  <c r="L578" i="81"/>
  <c r="N578" i="81" s="1"/>
  <c r="P578" i="81" s="1"/>
  <c r="I283" i="81"/>
  <c r="L312" i="81"/>
  <c r="N312" i="81" s="1"/>
  <c r="P312" i="81" s="1"/>
  <c r="I713" i="81"/>
  <c r="I221" i="81"/>
  <c r="I284" i="81"/>
  <c r="L626" i="81"/>
  <c r="N626" i="81" s="1"/>
  <c r="P626" i="81" s="1"/>
  <c r="I52" i="81"/>
  <c r="L568" i="81"/>
  <c r="N568" i="81" s="1"/>
  <c r="P568" i="81" s="1"/>
  <c r="N55" i="81"/>
  <c r="I46" i="81"/>
  <c r="I526" i="81"/>
  <c r="L30" i="81"/>
  <c r="N30" i="81" s="1"/>
  <c r="P30" i="81" s="1"/>
  <c r="L41" i="81"/>
  <c r="N41" i="81" s="1"/>
  <c r="P41" i="81" s="1"/>
  <c r="I222" i="81"/>
  <c r="I285" i="81"/>
  <c r="I396" i="81"/>
  <c r="L632" i="81"/>
  <c r="N632" i="81" s="1"/>
  <c r="H148" i="81"/>
  <c r="L276" i="81"/>
  <c r="N276" i="81" s="1"/>
  <c r="P276" i="81" s="1"/>
  <c r="L361" i="81"/>
  <c r="N361" i="81" s="1"/>
  <c r="P361" i="81" s="1"/>
  <c r="L636" i="81"/>
  <c r="N636" i="81" s="1"/>
  <c r="P636" i="81" s="1"/>
  <c r="J102" i="81"/>
  <c r="L102" i="81" s="1"/>
  <c r="N102" i="81" s="1"/>
  <c r="P102" i="81" s="1"/>
  <c r="L179" i="81"/>
  <c r="N179" i="81" s="1"/>
  <c r="P179" i="81" s="1"/>
  <c r="J323" i="81"/>
  <c r="I323" i="81" s="1"/>
  <c r="I347" i="81"/>
  <c r="J347" i="81" s="1"/>
  <c r="J459" i="81" s="1"/>
  <c r="I370" i="81"/>
  <c r="I564" i="81"/>
  <c r="J564" i="81" s="1"/>
  <c r="L704" i="81"/>
  <c r="N704" i="81" s="1"/>
  <c r="P704" i="81" s="1"/>
  <c r="I187" i="81"/>
  <c r="H214" i="81"/>
  <c r="L285" i="81"/>
  <c r="N285" i="81" s="1"/>
  <c r="I307" i="81"/>
  <c r="I368" i="81"/>
  <c r="L196" i="81"/>
  <c r="N196" i="81" s="1"/>
  <c r="P196" i="81" s="1"/>
  <c r="J301" i="81"/>
  <c r="I301" i="81" s="1"/>
  <c r="I516" i="81"/>
  <c r="H459" i="81"/>
  <c r="I400" i="81"/>
  <c r="L42" i="81"/>
  <c r="N42" i="81" s="1"/>
  <c r="P42" i="81" s="1"/>
  <c r="H217" i="81"/>
  <c r="I217" i="81" s="1"/>
  <c r="L260" i="81"/>
  <c r="N260" i="81" s="1"/>
  <c r="P260" i="81" s="1"/>
  <c r="I267" i="81"/>
  <c r="I287" i="81"/>
  <c r="L711" i="81"/>
  <c r="N711" i="81" s="1"/>
  <c r="O711" i="81" s="1"/>
  <c r="L406" i="81"/>
  <c r="N406" i="81" s="1"/>
  <c r="K71" i="81"/>
  <c r="K87" i="81" s="1"/>
  <c r="L87" i="81" s="1"/>
  <c r="N87" i="81" s="1"/>
  <c r="O87" i="81" s="1"/>
  <c r="L397" i="81"/>
  <c r="N397" i="81" s="1"/>
  <c r="O397" i="81" s="1"/>
  <c r="L580" i="81"/>
  <c r="N580" i="81" s="1"/>
  <c r="P580" i="81" s="1"/>
  <c r="I47" i="81"/>
  <c r="L52" i="81"/>
  <c r="N52" i="81" s="1"/>
  <c r="O52" i="81" s="1"/>
  <c r="I265" i="81"/>
  <c r="L387" i="81"/>
  <c r="N387" i="81" s="1"/>
  <c r="P387" i="81" s="1"/>
  <c r="I398" i="81"/>
  <c r="L510" i="81"/>
  <c r="N510" i="81" s="1"/>
  <c r="P510" i="81" s="1"/>
  <c r="H570" i="81"/>
  <c r="H605" i="81" s="1"/>
  <c r="I633" i="81"/>
  <c r="N736" i="81"/>
  <c r="P736" i="81" s="1"/>
  <c r="L61" i="81"/>
  <c r="N61" i="81" s="1"/>
  <c r="P61" i="81" s="1"/>
  <c r="L36" i="81"/>
  <c r="N36" i="81" s="1"/>
  <c r="P36" i="81" s="1"/>
  <c r="I48" i="81"/>
  <c r="L181" i="81"/>
  <c r="N181" i="81" s="1"/>
  <c r="P181" i="81" s="1"/>
  <c r="I517" i="81"/>
  <c r="I583" i="81"/>
  <c r="L703" i="81"/>
  <c r="N703" i="81" s="1"/>
  <c r="P703" i="81" s="1"/>
  <c r="L713" i="81"/>
  <c r="N713" i="81" s="1"/>
  <c r="I369" i="81"/>
  <c r="L373" i="81"/>
  <c r="N373" i="81" s="1"/>
  <c r="O373" i="81" s="1"/>
  <c r="K583" i="81"/>
  <c r="L583" i="81" s="1"/>
  <c r="N583" i="81" s="1"/>
  <c r="O583" i="81" s="1"/>
  <c r="J122" i="81"/>
  <c r="I122" i="81" s="1"/>
  <c r="L637" i="81"/>
  <c r="N637" i="81" s="1"/>
  <c r="P637" i="81" s="1"/>
  <c r="L37" i="81"/>
  <c r="N37" i="81" s="1"/>
  <c r="P37" i="81" s="1"/>
  <c r="L182" i="81"/>
  <c r="N182" i="81" s="1"/>
  <c r="P182" i="81" s="1"/>
  <c r="I202" i="81"/>
  <c r="L378" i="81"/>
  <c r="N378" i="81" s="1"/>
  <c r="L404" i="81"/>
  <c r="N404" i="81" s="1"/>
  <c r="L573" i="81"/>
  <c r="N573" i="81" s="1"/>
  <c r="O573" i="81" s="1"/>
  <c r="J746" i="81"/>
  <c r="I746" i="81" s="1"/>
  <c r="L392" i="81"/>
  <c r="N392" i="81" s="1"/>
  <c r="P392" i="81" s="1"/>
  <c r="L512" i="81"/>
  <c r="N512" i="81" s="1"/>
  <c r="P512" i="81" s="1"/>
  <c r="L521" i="81"/>
  <c r="N521" i="81" s="1"/>
  <c r="P521" i="81" s="1"/>
  <c r="L275" i="81"/>
  <c r="N275" i="81" s="1"/>
  <c r="P275" i="81" s="1"/>
  <c r="L84" i="81"/>
  <c r="N84" i="81" s="1"/>
  <c r="O84" i="81" s="1"/>
  <c r="J218" i="81"/>
  <c r="L522" i="81"/>
  <c r="N522" i="81" s="1"/>
  <c r="P522" i="81" s="1"/>
  <c r="L371" i="81"/>
  <c r="N371" i="81" s="1"/>
  <c r="O371" i="81" s="1"/>
  <c r="J97" i="81"/>
  <c r="I97" i="81" s="1"/>
  <c r="L183" i="81"/>
  <c r="N183" i="81" s="1"/>
  <c r="P183" i="81" s="1"/>
  <c r="I585" i="81"/>
  <c r="I641" i="81"/>
  <c r="L691" i="81"/>
  <c r="N691" i="81" s="1"/>
  <c r="P691" i="81" s="1"/>
  <c r="N444" i="81"/>
  <c r="P444" i="81" s="1"/>
  <c r="L376" i="81"/>
  <c r="N376" i="81" s="1"/>
  <c r="O376" i="81" s="1"/>
  <c r="I376" i="81"/>
  <c r="L22" i="81"/>
  <c r="N22" i="81" s="1"/>
  <c r="P22" i="81" s="1"/>
  <c r="J535" i="81"/>
  <c r="L535" i="81" s="1"/>
  <c r="N535" i="81" s="1"/>
  <c r="P535" i="81" s="1"/>
  <c r="L505" i="81"/>
  <c r="N505" i="81" s="1"/>
  <c r="P505" i="81" s="1"/>
  <c r="I348" i="81"/>
  <c r="J348" i="81" s="1"/>
  <c r="J418" i="81" s="1"/>
  <c r="H460" i="81"/>
  <c r="H432" i="81"/>
  <c r="L515" i="81"/>
  <c r="N515" i="81" s="1"/>
  <c r="O515" i="81" s="1"/>
  <c r="K385" i="81"/>
  <c r="K399" i="81" s="1"/>
  <c r="K413" i="81" s="1"/>
  <c r="K427" i="81" s="1"/>
  <c r="K441" i="81" s="1"/>
  <c r="L441" i="81" s="1"/>
  <c r="N441" i="81" s="1"/>
  <c r="P441" i="81" s="1"/>
  <c r="K320" i="81"/>
  <c r="I714" i="81"/>
  <c r="K72" i="81"/>
  <c r="K88" i="81" s="1"/>
  <c r="L88" i="81" s="1"/>
  <c r="N88" i="81" s="1"/>
  <c r="L56" i="81"/>
  <c r="N56" i="81" s="1"/>
  <c r="L484" i="81"/>
  <c r="N484" i="81" s="1"/>
  <c r="P484" i="81" s="1"/>
  <c r="L286" i="81"/>
  <c r="N286" i="81" s="1"/>
  <c r="L403" i="81"/>
  <c r="N403" i="81" s="1"/>
  <c r="K417" i="81"/>
  <c r="K431" i="81" s="1"/>
  <c r="K445" i="81" s="1"/>
  <c r="L445" i="81" s="1"/>
  <c r="N445" i="81" s="1"/>
  <c r="P445" i="81" s="1"/>
  <c r="J118" i="81"/>
  <c r="I118" i="81" s="1"/>
  <c r="J145" i="81"/>
  <c r="I145" i="81" s="1"/>
  <c r="I270" i="81"/>
  <c r="L344" i="81"/>
  <c r="N344" i="81" s="1"/>
  <c r="P344" i="81" s="1"/>
  <c r="J414" i="81"/>
  <c r="I414" i="81" s="1"/>
  <c r="J456" i="81"/>
  <c r="I456" i="81" s="1"/>
  <c r="J428" i="81"/>
  <c r="I428" i="81" s="1"/>
  <c r="L715" i="81"/>
  <c r="N715" i="81" s="1"/>
  <c r="O715" i="81" s="1"/>
  <c r="I715" i="81"/>
  <c r="L174" i="81"/>
  <c r="N174" i="81" s="1"/>
  <c r="P174" i="81" s="1"/>
  <c r="J216" i="81"/>
  <c r="L216" i="81" s="1"/>
  <c r="N216" i="81" s="1"/>
  <c r="P216" i="81" s="1"/>
  <c r="I266" i="81"/>
  <c r="L266" i="81"/>
  <c r="N266" i="81" s="1"/>
  <c r="H119" i="81"/>
  <c r="I23" i="81"/>
  <c r="I525" i="81"/>
  <c r="H153" i="81"/>
  <c r="H121" i="81"/>
  <c r="I25" i="81"/>
  <c r="J25" i="81" s="1"/>
  <c r="J121" i="81" s="1"/>
  <c r="L121" i="81" s="1"/>
  <c r="N121" i="81" s="1"/>
  <c r="P121" i="81" s="1"/>
  <c r="L278" i="81"/>
  <c r="N278" i="81" s="1"/>
  <c r="P278" i="81" s="1"/>
  <c r="H363" i="81"/>
  <c r="H433" i="81" s="1"/>
  <c r="I349" i="81"/>
  <c r="J349" i="81" s="1"/>
  <c r="J545" i="81"/>
  <c r="L188" i="81"/>
  <c r="N188" i="81" s="1"/>
  <c r="O188" i="81" s="1"/>
  <c r="I188" i="81"/>
  <c r="J98" i="81"/>
  <c r="L98" i="81" s="1"/>
  <c r="N98" i="81" s="1"/>
  <c r="P98" i="81" s="1"/>
  <c r="L40" i="81"/>
  <c r="N40" i="81" s="1"/>
  <c r="P40" i="81" s="1"/>
  <c r="J120" i="81"/>
  <c r="I120" i="81" s="1"/>
  <c r="L388" i="81"/>
  <c r="N388" i="81" s="1"/>
  <c r="P388" i="81" s="1"/>
  <c r="J547" i="81"/>
  <c r="I547" i="81" s="1"/>
  <c r="L707" i="81"/>
  <c r="N707" i="81" s="1"/>
  <c r="P707" i="81" s="1"/>
  <c r="L69" i="81"/>
  <c r="N69" i="81" s="1"/>
  <c r="P69" i="81" s="1"/>
  <c r="L390" i="81"/>
  <c r="N390" i="81" s="1"/>
  <c r="P390" i="81" s="1"/>
  <c r="I286" i="81"/>
  <c r="L356" i="81"/>
  <c r="N356" i="81" s="1"/>
  <c r="P356" i="81" s="1"/>
  <c r="I377" i="81"/>
  <c r="L638" i="81"/>
  <c r="N638" i="81" s="1"/>
  <c r="P638" i="81" s="1"/>
  <c r="L62" i="81"/>
  <c r="N62" i="81" s="1"/>
  <c r="P62" i="81" s="1"/>
  <c r="I378" i="81"/>
  <c r="I575" i="81"/>
  <c r="L712" i="81"/>
  <c r="N712" i="81" s="1"/>
  <c r="I375" i="81"/>
  <c r="L73" i="81"/>
  <c r="N73" i="81" s="1"/>
  <c r="P73" i="81" s="1"/>
  <c r="L46" i="81"/>
  <c r="N46" i="81" s="1"/>
  <c r="O46" i="81" s="1"/>
  <c r="L176" i="81"/>
  <c r="N176" i="81" s="1"/>
  <c r="P176" i="81" s="1"/>
  <c r="L362" i="81"/>
  <c r="N362" i="81" s="1"/>
  <c r="P362" i="81" s="1"/>
  <c r="I372" i="81"/>
  <c r="L256" i="81"/>
  <c r="N256" i="81" s="1"/>
  <c r="P256" i="81" s="1"/>
  <c r="I340" i="81"/>
  <c r="J340" i="81" s="1"/>
  <c r="L340" i="81" s="1"/>
  <c r="N340" i="81" s="1"/>
  <c r="P340" i="81" s="1"/>
  <c r="I527" i="81"/>
  <c r="L642" i="81"/>
  <c r="N642" i="81" s="1"/>
  <c r="O642" i="81" s="1"/>
  <c r="L699" i="81"/>
  <c r="N699" i="81" s="1"/>
  <c r="L267" i="81"/>
  <c r="N267" i="81" s="1"/>
  <c r="O267" i="81" s="1"/>
  <c r="I29" i="81"/>
  <c r="J29" i="81" s="1"/>
  <c r="L29" i="81" s="1"/>
  <c r="N29" i="81" s="1"/>
  <c r="P29" i="81" s="1"/>
  <c r="L67" i="81"/>
  <c r="N67" i="81" s="1"/>
  <c r="P67" i="81" s="1"/>
  <c r="L132" i="81"/>
  <c r="N132" i="81" s="1"/>
  <c r="P132" i="81" s="1"/>
  <c r="I223" i="81"/>
  <c r="H453" i="81"/>
  <c r="I373" i="81"/>
  <c r="I716" i="81"/>
  <c r="I50" i="81"/>
  <c r="L369" i="81"/>
  <c r="N369" i="81" s="1"/>
  <c r="O369" i="81" s="1"/>
  <c r="L375" i="81"/>
  <c r="N375" i="81" s="1"/>
  <c r="O375" i="81" s="1"/>
  <c r="I565" i="81"/>
  <c r="J565" i="81" s="1"/>
  <c r="L695" i="81"/>
  <c r="N695" i="81" s="1"/>
  <c r="L58" i="81"/>
  <c r="N58" i="81" s="1"/>
  <c r="L89" i="81"/>
  <c r="N89" i="81" s="1"/>
  <c r="H116" i="81"/>
  <c r="L195" i="81"/>
  <c r="N195" i="81" s="1"/>
  <c r="P195" i="81" s="1"/>
  <c r="L284" i="81"/>
  <c r="N284" i="81" s="1"/>
  <c r="L355" i="81"/>
  <c r="N355" i="81" s="1"/>
  <c r="P355" i="81" s="1"/>
  <c r="L383" i="81"/>
  <c r="N383" i="81" s="1"/>
  <c r="P383" i="81" s="1"/>
  <c r="L389" i="81"/>
  <c r="N389" i="81" s="1"/>
  <c r="P389" i="81" s="1"/>
  <c r="L13" i="81"/>
  <c r="L506" i="81"/>
  <c r="N506" i="81" s="1"/>
  <c r="P506" i="81" s="1"/>
  <c r="J536" i="81"/>
  <c r="I537" i="81"/>
  <c r="L537" i="81"/>
  <c r="N537" i="81" s="1"/>
  <c r="P537" i="81" s="1"/>
  <c r="L542" i="81"/>
  <c r="N542" i="81" s="1"/>
  <c r="P542" i="81" s="1"/>
  <c r="K547" i="81"/>
  <c r="L448" i="81"/>
  <c r="N448" i="81" s="1"/>
  <c r="P448" i="81" s="1"/>
  <c r="K462" i="81"/>
  <c r="L737" i="81"/>
  <c r="N737" i="81" s="1"/>
  <c r="P737" i="81" s="1"/>
  <c r="K745" i="81"/>
  <c r="M103" i="81"/>
  <c r="M119" i="81" s="1"/>
  <c r="M135" i="81" s="1"/>
  <c r="M151" i="81" s="1"/>
  <c r="L656" i="81"/>
  <c r="N656" i="81" s="1"/>
  <c r="P656" i="81" s="1"/>
  <c r="K661" i="81"/>
  <c r="N172" i="81"/>
  <c r="P172" i="81" s="1"/>
  <c r="K143" i="81"/>
  <c r="L127" i="81"/>
  <c r="N127" i="81" s="1"/>
  <c r="P127" i="81" s="1"/>
  <c r="K546" i="81"/>
  <c r="L541" i="81"/>
  <c r="N541" i="81" s="1"/>
  <c r="P541" i="81" s="1"/>
  <c r="K64" i="81"/>
  <c r="K80" i="81" s="1"/>
  <c r="K96" i="81" s="1"/>
  <c r="K112" i="81" s="1"/>
  <c r="K128" i="81" s="1"/>
  <c r="K144" i="81" s="1"/>
  <c r="L48" i="81"/>
  <c r="N48" i="81" s="1"/>
  <c r="L740" i="81"/>
  <c r="N740" i="81" s="1"/>
  <c r="P740" i="81" s="1"/>
  <c r="K748" i="81"/>
  <c r="L211" i="81"/>
  <c r="N211" i="81" s="1"/>
  <c r="P211" i="81" s="1"/>
  <c r="K218" i="81"/>
  <c r="K225" i="81" s="1"/>
  <c r="L39" i="81"/>
  <c r="N39" i="81" s="1"/>
  <c r="P39" i="81" s="1"/>
  <c r="J119" i="81"/>
  <c r="L54" i="81"/>
  <c r="N54" i="81" s="1"/>
  <c r="O54" i="81" s="1"/>
  <c r="L79" i="81"/>
  <c r="N79" i="81" s="1"/>
  <c r="K153" i="81"/>
  <c r="L137" i="81"/>
  <c r="N137" i="81" s="1"/>
  <c r="P137" i="81" s="1"/>
  <c r="K231" i="81"/>
  <c r="L231" i="81" s="1"/>
  <c r="N231" i="81" s="1"/>
  <c r="P231" i="81" s="1"/>
  <c r="L224" i="81"/>
  <c r="N224" i="81" s="1"/>
  <c r="P224" i="81" s="1"/>
  <c r="L217" i="81"/>
  <c r="N217" i="81" s="1"/>
  <c r="P217" i="81" s="1"/>
  <c r="L446" i="81"/>
  <c r="N446" i="81" s="1"/>
  <c r="P446" i="81" s="1"/>
  <c r="K460" i="81"/>
  <c r="I622" i="81"/>
  <c r="J622" i="81" s="1"/>
  <c r="H627" i="81"/>
  <c r="L700" i="81"/>
  <c r="N700" i="81" s="1"/>
  <c r="O700" i="81" s="1"/>
  <c r="I700" i="81"/>
  <c r="J732" i="81"/>
  <c r="J115" i="81"/>
  <c r="J99" i="81"/>
  <c r="L19" i="81"/>
  <c r="N19" i="81" s="1"/>
  <c r="P19" i="81" s="1"/>
  <c r="L35" i="81"/>
  <c r="N35" i="81" s="1"/>
  <c r="P35" i="81" s="1"/>
  <c r="L125" i="81"/>
  <c r="N125" i="81" s="1"/>
  <c r="P125" i="81" s="1"/>
  <c r="K146" i="81"/>
  <c r="L130" i="81"/>
  <c r="N130" i="81" s="1"/>
  <c r="P130" i="81" s="1"/>
  <c r="L400" i="81"/>
  <c r="N400" i="81" s="1"/>
  <c r="K414" i="81"/>
  <c r="K428" i="81" s="1"/>
  <c r="K442" i="81" s="1"/>
  <c r="L697" i="81"/>
  <c r="N697" i="81" s="1"/>
  <c r="O697" i="81" s="1"/>
  <c r="I697" i="81"/>
  <c r="L26" i="81"/>
  <c r="N26" i="81" s="1"/>
  <c r="P26" i="81" s="1"/>
  <c r="J154" i="81"/>
  <c r="L186" i="81"/>
  <c r="N186" i="81" s="1"/>
  <c r="O186" i="81" s="1"/>
  <c r="K193" i="81"/>
  <c r="L202" i="81"/>
  <c r="N202" i="81" s="1"/>
  <c r="O202" i="81" s="1"/>
  <c r="J415" i="81"/>
  <c r="J429" i="81"/>
  <c r="J457" i="81"/>
  <c r="I374" i="81"/>
  <c r="K411" i="81"/>
  <c r="K425" i="81" s="1"/>
  <c r="K439" i="81" s="1"/>
  <c r="J603" i="81"/>
  <c r="J588" i="81"/>
  <c r="J593" i="81"/>
  <c r="L574" i="81"/>
  <c r="N574" i="81" s="1"/>
  <c r="O574" i="81" s="1"/>
  <c r="L631" i="81"/>
  <c r="N631" i="81" s="1"/>
  <c r="I631" i="81"/>
  <c r="L716" i="81"/>
  <c r="N716" i="81" s="1"/>
  <c r="L32" i="81"/>
  <c r="N32" i="81" s="1"/>
  <c r="P32" i="81" s="1"/>
  <c r="J96" i="81"/>
  <c r="J296" i="81"/>
  <c r="L251" i="81"/>
  <c r="N251" i="81" s="1"/>
  <c r="P251" i="81" s="1"/>
  <c r="L45" i="81"/>
  <c r="N45" i="81" s="1"/>
  <c r="O45" i="81" s="1"/>
  <c r="L74" i="81"/>
  <c r="N74" i="81" s="1"/>
  <c r="P74" i="81" s="1"/>
  <c r="L63" i="81"/>
  <c r="N63" i="81" s="1"/>
  <c r="P63" i="81" s="1"/>
  <c r="L68" i="81"/>
  <c r="N68" i="81" s="1"/>
  <c r="P68" i="81" s="1"/>
  <c r="L180" i="81"/>
  <c r="N180" i="81" s="1"/>
  <c r="P180" i="81" s="1"/>
  <c r="L197" i="81"/>
  <c r="N197" i="81" s="1"/>
  <c r="P197" i="81" s="1"/>
  <c r="L516" i="81"/>
  <c r="N516" i="81" s="1"/>
  <c r="J689" i="81"/>
  <c r="L689" i="81" s="1"/>
  <c r="N689" i="81" s="1"/>
  <c r="P689" i="81" s="1"/>
  <c r="J146" i="81"/>
  <c r="J114" i="81"/>
  <c r="L18" i="81"/>
  <c r="N18" i="81" s="1"/>
  <c r="P18" i="81" s="1"/>
  <c r="K106" i="81"/>
  <c r="K122" i="81" s="1"/>
  <c r="K138" i="81" s="1"/>
  <c r="L90" i="81"/>
  <c r="N90" i="81" s="1"/>
  <c r="K604" i="81"/>
  <c r="L599" i="81"/>
  <c r="N599" i="81" s="1"/>
  <c r="P599" i="81" s="1"/>
  <c r="L126" i="81"/>
  <c r="N126" i="81" s="1"/>
  <c r="P126" i="81" s="1"/>
  <c r="J324" i="81"/>
  <c r="J297" i="81"/>
  <c r="J306" i="81"/>
  <c r="L57" i="81"/>
  <c r="N57" i="81" s="1"/>
  <c r="J150" i="81"/>
  <c r="L252" i="81"/>
  <c r="N252" i="81" s="1"/>
  <c r="P252" i="81" s="1"/>
  <c r="J454" i="81"/>
  <c r="J426" i="81"/>
  <c r="J412" i="81"/>
  <c r="L584" i="81"/>
  <c r="N584" i="81" s="1"/>
  <c r="O584" i="81" s="1"/>
  <c r="L641" i="81"/>
  <c r="N641" i="81" s="1"/>
  <c r="L698" i="81"/>
  <c r="N698" i="81" s="1"/>
  <c r="L739" i="81"/>
  <c r="N739" i="81" s="1"/>
  <c r="P739" i="81" s="1"/>
  <c r="K747" i="81"/>
  <c r="L31" i="81"/>
  <c r="N31" i="81" s="1"/>
  <c r="P31" i="81" s="1"/>
  <c r="L83" i="81"/>
  <c r="N83" i="81" s="1"/>
  <c r="J94" i="81"/>
  <c r="J110" i="81"/>
  <c r="J228" i="81"/>
  <c r="J214" i="81"/>
  <c r="L203" i="81"/>
  <c r="N203" i="81" s="1"/>
  <c r="N563" i="81"/>
  <c r="P563" i="81" s="1"/>
  <c r="K458" i="81"/>
  <c r="J144" i="81"/>
  <c r="L49" i="81"/>
  <c r="N49" i="81" s="1"/>
  <c r="O49" i="81" s="1"/>
  <c r="K65" i="81"/>
  <c r="K81" i="81" s="1"/>
  <c r="K97" i="81" s="1"/>
  <c r="K113" i="81" s="1"/>
  <c r="K129" i="81" s="1"/>
  <c r="L70" i="81"/>
  <c r="N70" i="81" s="1"/>
  <c r="P70" i="81" s="1"/>
  <c r="L274" i="81"/>
  <c r="N274" i="81" s="1"/>
  <c r="P274" i="81" s="1"/>
  <c r="K283" i="81"/>
  <c r="L77" i="81"/>
  <c r="N77" i="81" s="1"/>
  <c r="L133" i="81"/>
  <c r="N133" i="81" s="1"/>
  <c r="P133" i="81" s="1"/>
  <c r="J142" i="81"/>
  <c r="L265" i="81"/>
  <c r="N265" i="81" s="1"/>
  <c r="L269" i="81"/>
  <c r="N269" i="81" s="1"/>
  <c r="O269" i="81" s="1"/>
  <c r="I269" i="81"/>
  <c r="J427" i="81"/>
  <c r="L517" i="81"/>
  <c r="N517" i="81" s="1"/>
  <c r="L526" i="81"/>
  <c r="N526" i="81" s="1"/>
  <c r="J106" i="81"/>
  <c r="H230" i="81"/>
  <c r="H216" i="81"/>
  <c r="L187" i="81"/>
  <c r="N187" i="81" s="1"/>
  <c r="O187" i="81" s="1"/>
  <c r="L208" i="81"/>
  <c r="N208" i="81" s="1"/>
  <c r="P208" i="81" s="1"/>
  <c r="H320" i="81"/>
  <c r="H302" i="81"/>
  <c r="L377" i="81"/>
  <c r="N377" i="81" s="1"/>
  <c r="K391" i="81"/>
  <c r="L402" i="81"/>
  <c r="N402" i="81" s="1"/>
  <c r="J747" i="81"/>
  <c r="J731" i="81"/>
  <c r="J723" i="81"/>
  <c r="L683" i="81"/>
  <c r="N683" i="81" s="1"/>
  <c r="P683" i="81" s="1"/>
  <c r="L34" i="81"/>
  <c r="N34" i="81" s="1"/>
  <c r="P34" i="81" s="1"/>
  <c r="L82" i="81"/>
  <c r="N82" i="81" s="1"/>
  <c r="I248" i="81"/>
  <c r="N311" i="81"/>
  <c r="P311" i="81" s="1"/>
  <c r="I399" i="81"/>
  <c r="K662" i="81"/>
  <c r="L657" i="81"/>
  <c r="N657" i="81" s="1"/>
  <c r="P657" i="81" s="1"/>
  <c r="J722" i="81"/>
  <c r="L690" i="81"/>
  <c r="N690" i="81" s="1"/>
  <c r="P690" i="81" s="1"/>
  <c r="K322" i="81"/>
  <c r="L313" i="81"/>
  <c r="N313" i="81" s="1"/>
  <c r="P313" i="81" s="1"/>
  <c r="J149" i="81"/>
  <c r="L21" i="81"/>
  <c r="N21" i="81" s="1"/>
  <c r="P21" i="81" s="1"/>
  <c r="J117" i="81"/>
  <c r="J101" i="81"/>
  <c r="N314" i="81"/>
  <c r="P314" i="81" s="1"/>
  <c r="J305" i="81"/>
  <c r="L215" i="81"/>
  <c r="N215" i="81" s="1"/>
  <c r="P215" i="81" s="1"/>
  <c r="K222" i="81"/>
  <c r="L223" i="81"/>
  <c r="N223" i="81" s="1"/>
  <c r="P223" i="81" s="1"/>
  <c r="J294" i="81"/>
  <c r="L249" i="81"/>
  <c r="N249" i="81" s="1"/>
  <c r="P249" i="81" s="1"/>
  <c r="J321" i="81"/>
  <c r="J303" i="81"/>
  <c r="I360" i="81"/>
  <c r="J360" i="81" s="1"/>
  <c r="L360" i="81" s="1"/>
  <c r="N360" i="81" s="1"/>
  <c r="P360" i="81" s="1"/>
  <c r="J532" i="81"/>
  <c r="L507" i="81"/>
  <c r="N507" i="81" s="1"/>
  <c r="P507" i="81" s="1"/>
  <c r="K323" i="81"/>
  <c r="L374" i="81"/>
  <c r="N374" i="81" s="1"/>
  <c r="J322" i="81"/>
  <c r="J304" i="81"/>
  <c r="L259" i="81"/>
  <c r="N259" i="81" s="1"/>
  <c r="P259" i="81" s="1"/>
  <c r="I346" i="81"/>
  <c r="H458" i="81"/>
  <c r="H430" i="81"/>
  <c r="L85" i="81"/>
  <c r="N85" i="81" s="1"/>
  <c r="I405" i="81"/>
  <c r="L575" i="81"/>
  <c r="N575" i="81" s="1"/>
  <c r="O575" i="81" s="1"/>
  <c r="K605" i="81"/>
  <c r="L600" i="81"/>
  <c r="N600" i="81" s="1"/>
  <c r="P600" i="81" s="1"/>
  <c r="L738" i="81"/>
  <c r="N738" i="81" s="1"/>
  <c r="P738" i="81" s="1"/>
  <c r="K746" i="81"/>
  <c r="L78" i="81"/>
  <c r="N78" i="81" s="1"/>
  <c r="L134" i="81"/>
  <c r="N134" i="81" s="1"/>
  <c r="P134" i="81" s="1"/>
  <c r="K325" i="81"/>
  <c r="L325" i="81" s="1"/>
  <c r="N325" i="81" s="1"/>
  <c r="P325" i="81" s="1"/>
  <c r="L316" i="81"/>
  <c r="N316" i="81" s="1"/>
  <c r="P316" i="81" s="1"/>
  <c r="L527" i="81"/>
  <c r="N527" i="81" s="1"/>
  <c r="O527" i="81" s="1"/>
  <c r="J653" i="81"/>
  <c r="J663" i="81"/>
  <c r="J724" i="81"/>
  <c r="J748" i="81"/>
  <c r="L38" i="81"/>
  <c r="N38" i="81" s="1"/>
  <c r="P38" i="81" s="1"/>
  <c r="L50" i="81"/>
  <c r="N50" i="81" s="1"/>
  <c r="J147" i="81"/>
  <c r="I201" i="81"/>
  <c r="L201" i="81"/>
  <c r="N201" i="81" s="1"/>
  <c r="L209" i="81"/>
  <c r="N209" i="81" s="1"/>
  <c r="P209" i="81" s="1"/>
  <c r="J295" i="81"/>
  <c r="L307" i="81"/>
  <c r="N307" i="81" s="1"/>
  <c r="P307" i="81" s="1"/>
  <c r="K393" i="81"/>
  <c r="K407" i="81" s="1"/>
  <c r="L379" i="81"/>
  <c r="N379" i="81" s="1"/>
  <c r="O379" i="81" s="1"/>
  <c r="K415" i="81"/>
  <c r="K429" i="81" s="1"/>
  <c r="K443" i="81" s="1"/>
  <c r="L401" i="81"/>
  <c r="N401" i="81" s="1"/>
  <c r="O401" i="81" s="1"/>
  <c r="K648" i="81"/>
  <c r="K653" i="81" s="1"/>
  <c r="K658" i="81" s="1"/>
  <c r="L643" i="81"/>
  <c r="N643" i="81" s="1"/>
  <c r="L684" i="81"/>
  <c r="N684" i="81" s="1"/>
  <c r="P684" i="81" s="1"/>
  <c r="I53" i="81"/>
  <c r="L53" i="81"/>
  <c r="H215" i="81"/>
  <c r="I215" i="81" s="1"/>
  <c r="H229" i="81"/>
  <c r="I229" i="81" s="1"/>
  <c r="H364" i="81"/>
  <c r="H434" i="81" s="1"/>
  <c r="I350" i="81"/>
  <c r="J350" i="81" s="1"/>
  <c r="K382" i="81"/>
  <c r="L368" i="81"/>
  <c r="N368" i="81" s="1"/>
  <c r="O368" i="81" s="1"/>
  <c r="L708" i="81"/>
  <c r="N708" i="81" s="1"/>
  <c r="P708" i="81" s="1"/>
  <c r="I203" i="81"/>
  <c r="L262" i="81"/>
  <c r="N262" i="81" s="1"/>
  <c r="P262" i="81" s="1"/>
  <c r="H452" i="81"/>
  <c r="H424" i="81"/>
  <c r="H594" i="81"/>
  <c r="I574" i="81"/>
  <c r="J719" i="81"/>
  <c r="J727" i="81"/>
  <c r="N735" i="81"/>
  <c r="P735" i="81" s="1"/>
  <c r="I15" i="81"/>
  <c r="J15" i="81" s="1"/>
  <c r="L66" i="81"/>
  <c r="N66" i="81" s="1"/>
  <c r="P66" i="81" s="1"/>
  <c r="J354" i="81"/>
  <c r="I51" i="81"/>
  <c r="J230" i="81"/>
  <c r="L478" i="81"/>
  <c r="J487" i="81"/>
  <c r="K545" i="81"/>
  <c r="L540" i="81"/>
  <c r="N540" i="81" s="1"/>
  <c r="P540" i="81" s="1"/>
  <c r="J20" i="81"/>
  <c r="L86" i="81"/>
  <c r="N86" i="81" s="1"/>
  <c r="O86" i="81" s="1"/>
  <c r="J112" i="81"/>
  <c r="I257" i="81"/>
  <c r="J257" i="81" s="1"/>
  <c r="L257" i="81" s="1"/>
  <c r="N257" i="81" s="1"/>
  <c r="P257" i="81" s="1"/>
  <c r="L16" i="81"/>
  <c r="N16" i="81" s="1"/>
  <c r="P16" i="81" s="1"/>
  <c r="L131" i="81"/>
  <c r="N131" i="81" s="1"/>
  <c r="P131" i="81" s="1"/>
  <c r="H232" i="81"/>
  <c r="I232" i="81" s="1"/>
  <c r="H218" i="81"/>
  <c r="J292" i="81"/>
  <c r="J319" i="81"/>
  <c r="L277" i="81"/>
  <c r="N277" i="81" s="1"/>
  <c r="P277" i="81" s="1"/>
  <c r="L680" i="81"/>
  <c r="N680" i="81" s="1"/>
  <c r="P680" i="81" s="1"/>
  <c r="J728" i="81"/>
  <c r="J720" i="81"/>
  <c r="J744" i="81"/>
  <c r="H143" i="81"/>
  <c r="L194" i="81"/>
  <c r="N194" i="81" s="1"/>
  <c r="P194" i="81" s="1"/>
  <c r="K280" i="81"/>
  <c r="K289" i="81" s="1"/>
  <c r="L289" i="81" s="1"/>
  <c r="N289" i="81" s="1"/>
  <c r="O289" i="81" s="1"/>
  <c r="L271" i="81"/>
  <c r="N271" i="81" s="1"/>
  <c r="L372" i="81"/>
  <c r="N372" i="81" s="1"/>
  <c r="O372" i="81" s="1"/>
  <c r="L579" i="81"/>
  <c r="N579" i="81" s="1"/>
  <c r="P579" i="81" s="1"/>
  <c r="J490" i="81"/>
  <c r="L585" i="81"/>
  <c r="N585" i="81" s="1"/>
  <c r="O585" i="81" s="1"/>
  <c r="N679" i="81"/>
  <c r="P679" i="81" s="1"/>
  <c r="L714" i="81"/>
  <c r="N714" i="81" s="1"/>
  <c r="I231" i="81"/>
  <c r="L247" i="81"/>
  <c r="L481" i="81"/>
  <c r="N481" i="81" s="1"/>
  <c r="O481" i="81" s="1"/>
  <c r="I481" i="81"/>
  <c r="I511" i="81"/>
  <c r="J511" i="81" s="1"/>
  <c r="H536" i="81"/>
  <c r="H549" i="81" s="1"/>
  <c r="L706" i="81"/>
  <c r="N706" i="81" s="1"/>
  <c r="P706" i="81" s="1"/>
  <c r="L51" i="81"/>
  <c r="N51" i="81" s="1"/>
  <c r="O51" i="81" s="1"/>
  <c r="J743" i="81"/>
  <c r="L33" i="81"/>
  <c r="N33" i="81" s="1"/>
  <c r="P33" i="81" s="1"/>
  <c r="L210" i="81"/>
  <c r="N210" i="81" s="1"/>
  <c r="P210" i="81" s="1"/>
  <c r="K743" i="81"/>
  <c r="L47" i="81"/>
  <c r="N47" i="81" s="1"/>
  <c r="O47" i="81" s="1"/>
  <c r="J113" i="81"/>
  <c r="L190" i="81"/>
  <c r="N190" i="81" s="1"/>
  <c r="L204" i="81"/>
  <c r="N204" i="81" s="1"/>
  <c r="O204" i="81" s="1"/>
  <c r="N298" i="81"/>
  <c r="P298" i="81" s="1"/>
  <c r="I341" i="81"/>
  <c r="J341" i="81" s="1"/>
  <c r="L358" i="81"/>
  <c r="N358" i="81" s="1"/>
  <c r="P358" i="81" s="1"/>
  <c r="H729" i="81"/>
  <c r="H745" i="81"/>
  <c r="I681" i="81"/>
  <c r="J681" i="81" s="1"/>
  <c r="K744" i="81"/>
  <c r="I268" i="81"/>
  <c r="L268" i="81"/>
  <c r="N268" i="81" s="1"/>
  <c r="J455" i="81"/>
  <c r="L343" i="81"/>
  <c r="N343" i="81" s="1"/>
  <c r="P343" i="81" s="1"/>
  <c r="J413" i="81"/>
  <c r="L386" i="81"/>
  <c r="N386" i="81" s="1"/>
  <c r="P386" i="81" s="1"/>
  <c r="L365" i="81"/>
  <c r="N365" i="81" s="1"/>
  <c r="P365" i="81" s="1"/>
  <c r="I403" i="81"/>
  <c r="J530" i="81"/>
  <c r="J648" i="81"/>
  <c r="L633" i="81"/>
  <c r="N633" i="81" s="1"/>
  <c r="O633" i="81" s="1"/>
  <c r="I699" i="81"/>
  <c r="L261" i="81"/>
  <c r="N261" i="81" s="1"/>
  <c r="P261" i="81" s="1"/>
  <c r="K270" i="81"/>
  <c r="K279" i="81" s="1"/>
  <c r="K288" i="81" s="1"/>
  <c r="K297" i="81" s="1"/>
  <c r="K306" i="81" s="1"/>
  <c r="K315" i="81" s="1"/>
  <c r="K370" i="81"/>
  <c r="L525" i="81"/>
  <c r="N525" i="81" s="1"/>
  <c r="L696" i="81"/>
  <c r="N696" i="81" s="1"/>
  <c r="O696" i="81" s="1"/>
  <c r="I696" i="81"/>
  <c r="L189" i="81"/>
  <c r="N189" i="81" s="1"/>
  <c r="L287" i="81"/>
  <c r="N287" i="81" s="1"/>
  <c r="I401" i="81"/>
  <c r="I435" i="81"/>
  <c r="L520" i="81"/>
  <c r="N520" i="81" s="1"/>
  <c r="P520" i="81" s="1"/>
  <c r="J730" i="81"/>
  <c r="L682" i="81"/>
  <c r="N682" i="81" s="1"/>
  <c r="P682" i="81" s="1"/>
  <c r="J705" i="81"/>
  <c r="L705" i="81" s="1"/>
  <c r="N705" i="81" s="1"/>
  <c r="P705" i="81" s="1"/>
  <c r="I49" i="81"/>
  <c r="I397" i="81"/>
  <c r="J621" i="81"/>
  <c r="N53" i="81" l="1"/>
  <c r="O53" i="81" s="1"/>
  <c r="P53" i="81" s="1"/>
  <c r="J432" i="81"/>
  <c r="I432" i="81" s="1"/>
  <c r="I218" i="81"/>
  <c r="O698" i="81"/>
  <c r="O712" i="81"/>
  <c r="P712" i="81" s="1"/>
  <c r="O89" i="81"/>
  <c r="P89" i="81" s="1"/>
  <c r="O403" i="81"/>
  <c r="P403" i="81" s="1"/>
  <c r="O78" i="81"/>
  <c r="P78" i="81" s="1"/>
  <c r="P49" i="81"/>
  <c r="P697" i="81"/>
  <c r="O695" i="81"/>
  <c r="P695" i="81" s="1"/>
  <c r="O50" i="81"/>
  <c r="P50" i="81" s="1"/>
  <c r="O516" i="81"/>
  <c r="O400" i="81"/>
  <c r="P400" i="81" s="1"/>
  <c r="P375" i="81"/>
  <c r="O699" i="81"/>
  <c r="P699" i="81" s="1"/>
  <c r="O56" i="81"/>
  <c r="P56" i="81" s="1"/>
  <c r="P573" i="81"/>
  <c r="P87" i="81"/>
  <c r="O406" i="81"/>
  <c r="P406" i="81" s="1"/>
  <c r="O492" i="81"/>
  <c r="V21" i="81" s="1"/>
  <c r="P368" i="81"/>
  <c r="P187" i="81"/>
  <c r="O713" i="81"/>
  <c r="P713" i="81" s="1"/>
  <c r="O286" i="81"/>
  <c r="P286" i="81" s="1"/>
  <c r="O714" i="81"/>
  <c r="P714" i="81" s="1"/>
  <c r="O82" i="81"/>
  <c r="P82" i="81" s="1"/>
  <c r="P574" i="81"/>
  <c r="P696" i="81"/>
  <c r="P585" i="81"/>
  <c r="O526" i="81"/>
  <c r="P526" i="81" s="1"/>
  <c r="P369" i="81"/>
  <c r="P642" i="81"/>
  <c r="P715" i="81"/>
  <c r="O404" i="81"/>
  <c r="P404" i="81" s="1"/>
  <c r="P397" i="81"/>
  <c r="O85" i="81"/>
  <c r="P85" i="81" s="1"/>
  <c r="P379" i="81"/>
  <c r="O716" i="81"/>
  <c r="P716" i="81" s="1"/>
  <c r="P584" i="81"/>
  <c r="O58" i="81"/>
  <c r="P58" i="81" s="1"/>
  <c r="O55" i="81"/>
  <c r="P55" i="81" s="1"/>
  <c r="P267" i="81"/>
  <c r="P47" i="81"/>
  <c r="O517" i="81"/>
  <c r="P517" i="81" s="1"/>
  <c r="O378" i="81"/>
  <c r="P378" i="81" s="1"/>
  <c r="O631" i="81"/>
  <c r="P631" i="81" s="1"/>
  <c r="O402" i="81"/>
  <c r="P402" i="81" s="1"/>
  <c r="O266" i="81"/>
  <c r="P266" i="81" s="1"/>
  <c r="O374" i="81"/>
  <c r="P374" i="81" s="1"/>
  <c r="O287" i="81"/>
  <c r="P287" i="81" s="1"/>
  <c r="O48" i="81"/>
  <c r="P48" i="81" s="1"/>
  <c r="O189" i="81"/>
  <c r="P189" i="81" s="1"/>
  <c r="O190" i="81"/>
  <c r="P190" i="81" s="1"/>
  <c r="O525" i="81"/>
  <c r="P525" i="81" s="1"/>
  <c r="O203" i="81"/>
  <c r="P203" i="81" s="1"/>
  <c r="O268" i="81"/>
  <c r="P268" i="81" s="1"/>
  <c r="O88" i="81"/>
  <c r="P88" i="81" s="1"/>
  <c r="O201" i="81"/>
  <c r="P201" i="81" s="1"/>
  <c r="O271" i="81"/>
  <c r="P271" i="81" s="1"/>
  <c r="O285" i="81"/>
  <c r="P285" i="81" s="1"/>
  <c r="P45" i="81"/>
  <c r="O79" i="81"/>
  <c r="P79" i="81" s="1"/>
  <c r="P51" i="81"/>
  <c r="O377" i="81"/>
  <c r="P377" i="81" s="1"/>
  <c r="O83" i="81"/>
  <c r="P83" i="81" s="1"/>
  <c r="O643" i="81"/>
  <c r="P643" i="81" s="1"/>
  <c r="O77" i="81"/>
  <c r="P77" i="81" s="1"/>
  <c r="O284" i="81"/>
  <c r="P284" i="81" s="1"/>
  <c r="P372" i="81"/>
  <c r="P289" i="81"/>
  <c r="O265" i="81"/>
  <c r="P265" i="81" s="1"/>
  <c r="P633" i="81"/>
  <c r="P371" i="81"/>
  <c r="O641" i="81"/>
  <c r="P641" i="81" s="1"/>
  <c r="H750" i="81"/>
  <c r="P527" i="81"/>
  <c r="O90" i="81"/>
  <c r="P90" i="81" s="1"/>
  <c r="P186" i="81"/>
  <c r="P373" i="81"/>
  <c r="O57" i="81"/>
  <c r="P57" i="81" s="1"/>
  <c r="O632" i="81"/>
  <c r="P632" i="81" s="1"/>
  <c r="P575" i="81"/>
  <c r="P515" i="81"/>
  <c r="P54" i="81"/>
  <c r="O607" i="81"/>
  <c r="P269" i="81"/>
  <c r="P86" i="81"/>
  <c r="P202" i="81"/>
  <c r="P583" i="81"/>
  <c r="P46" i="81"/>
  <c r="P401" i="81"/>
  <c r="P700" i="81"/>
  <c r="P84" i="81"/>
  <c r="P52" i="81"/>
  <c r="P204" i="81"/>
  <c r="P188" i="81"/>
  <c r="P711" i="81"/>
  <c r="P376" i="81"/>
  <c r="L323" i="81"/>
  <c r="N323" i="81" s="1"/>
  <c r="P323" i="81" s="1"/>
  <c r="J417" i="81"/>
  <c r="I417" i="81" s="1"/>
  <c r="I535" i="81"/>
  <c r="J431" i="81"/>
  <c r="I431" i="81" s="1"/>
  <c r="L347" i="81"/>
  <c r="N347" i="81" s="1"/>
  <c r="P347" i="81" s="1"/>
  <c r="I102" i="81"/>
  <c r="L545" i="81"/>
  <c r="N545" i="81" s="1"/>
  <c r="P545" i="81" s="1"/>
  <c r="L64" i="81"/>
  <c r="N64" i="81" s="1"/>
  <c r="P64" i="81" s="1"/>
  <c r="H595" i="81"/>
  <c r="H607" i="81" s="1"/>
  <c r="L25" i="81"/>
  <c r="N25" i="81" s="1"/>
  <c r="P25" i="81" s="1"/>
  <c r="J105" i="81"/>
  <c r="L105" i="81" s="1"/>
  <c r="N105" i="81" s="1"/>
  <c r="P105" i="81" s="1"/>
  <c r="I570" i="81"/>
  <c r="J570" i="81" s="1"/>
  <c r="L570" i="81" s="1"/>
  <c r="N570" i="81" s="1"/>
  <c r="P570" i="81" s="1"/>
  <c r="K104" i="81"/>
  <c r="K120" i="81" s="1"/>
  <c r="K588" i="81"/>
  <c r="K593" i="81" s="1"/>
  <c r="K598" i="81" s="1"/>
  <c r="K603" i="81" s="1"/>
  <c r="L603" i="81" s="1"/>
  <c r="N603" i="81" s="1"/>
  <c r="P603" i="81" s="1"/>
  <c r="L71" i="81"/>
  <c r="N71" i="81" s="1"/>
  <c r="P71" i="81" s="1"/>
  <c r="J93" i="81"/>
  <c r="I93" i="81" s="1"/>
  <c r="K103" i="81"/>
  <c r="L385" i="81"/>
  <c r="N385" i="81" s="1"/>
  <c r="P385" i="81" s="1"/>
  <c r="J153" i="81"/>
  <c r="L153" i="81" s="1"/>
  <c r="N153" i="81" s="1"/>
  <c r="P153" i="81" s="1"/>
  <c r="L65" i="81"/>
  <c r="N65" i="81" s="1"/>
  <c r="P65" i="81" s="1"/>
  <c r="L746" i="81"/>
  <c r="N746" i="81" s="1"/>
  <c r="P746" i="81" s="1"/>
  <c r="I98" i="81"/>
  <c r="L81" i="81"/>
  <c r="N81" i="81" s="1"/>
  <c r="L348" i="81"/>
  <c r="N348" i="81" s="1"/>
  <c r="P348" i="81" s="1"/>
  <c r="H327" i="81"/>
  <c r="J109" i="81"/>
  <c r="I109" i="81" s="1"/>
  <c r="J141" i="81"/>
  <c r="I141" i="81" s="1"/>
  <c r="K455" i="81"/>
  <c r="L455" i="81" s="1"/>
  <c r="N455" i="81" s="1"/>
  <c r="P455" i="81" s="1"/>
  <c r="J492" i="81"/>
  <c r="I121" i="81"/>
  <c r="J595" i="81"/>
  <c r="L595" i="81" s="1"/>
  <c r="N595" i="81" s="1"/>
  <c r="P595" i="81" s="1"/>
  <c r="L565" i="81"/>
  <c r="N565" i="81" s="1"/>
  <c r="P565" i="81" s="1"/>
  <c r="I545" i="81"/>
  <c r="J460" i="81"/>
  <c r="I460" i="81" s="1"/>
  <c r="I363" i="81"/>
  <c r="J363" i="81" s="1"/>
  <c r="L363" i="81" s="1"/>
  <c r="N363" i="81" s="1"/>
  <c r="P363" i="81" s="1"/>
  <c r="L122" i="81"/>
  <c r="N122" i="81" s="1"/>
  <c r="P122" i="81" s="1"/>
  <c r="L72" i="81"/>
  <c r="N72" i="81" s="1"/>
  <c r="P72" i="81" s="1"/>
  <c r="L118" i="81"/>
  <c r="N118" i="81" s="1"/>
  <c r="P118" i="81" s="1"/>
  <c r="L80" i="81"/>
  <c r="N80" i="81" s="1"/>
  <c r="H157" i="81"/>
  <c r="K459" i="81"/>
  <c r="L459" i="81" s="1"/>
  <c r="N459" i="81" s="1"/>
  <c r="P459" i="81" s="1"/>
  <c r="H461" i="81"/>
  <c r="L218" i="81"/>
  <c r="N218" i="81" s="1"/>
  <c r="P218" i="81" s="1"/>
  <c r="I216" i="81"/>
  <c r="L270" i="81"/>
  <c r="N270" i="81" s="1"/>
  <c r="L128" i="81"/>
  <c r="N128" i="81" s="1"/>
  <c r="P128" i="81" s="1"/>
  <c r="L547" i="81"/>
  <c r="N547" i="81" s="1"/>
  <c r="P547" i="81" s="1"/>
  <c r="L399" i="81"/>
  <c r="N399" i="81" s="1"/>
  <c r="L681" i="81"/>
  <c r="J721" i="81"/>
  <c r="J729" i="81"/>
  <c r="J745" i="81"/>
  <c r="L350" i="81"/>
  <c r="N350" i="81" s="1"/>
  <c r="P350" i="81" s="1"/>
  <c r="L511" i="81"/>
  <c r="J546" i="81"/>
  <c r="J531" i="81"/>
  <c r="L622" i="81"/>
  <c r="N622" i="81" s="1"/>
  <c r="P622" i="81" s="1"/>
  <c r="L442" i="81"/>
  <c r="N442" i="81" s="1"/>
  <c r="P442" i="81" s="1"/>
  <c r="K456" i="81"/>
  <c r="L456" i="81" s="1"/>
  <c r="N456" i="81" s="1"/>
  <c r="P456" i="81" s="1"/>
  <c r="I319" i="81"/>
  <c r="L748" i="81"/>
  <c r="N748" i="81" s="1"/>
  <c r="P748" i="81" s="1"/>
  <c r="I748" i="81"/>
  <c r="I101" i="81"/>
  <c r="L101" i="81"/>
  <c r="N101" i="81" s="1"/>
  <c r="P101" i="81" s="1"/>
  <c r="I454" i="81"/>
  <c r="L413" i="81"/>
  <c r="N413" i="81" s="1"/>
  <c r="P413" i="81" s="1"/>
  <c r="I413" i="81"/>
  <c r="I459" i="81"/>
  <c r="I427" i="81"/>
  <c r="L427" i="81"/>
  <c r="N427" i="81" s="1"/>
  <c r="P427" i="81" s="1"/>
  <c r="L443" i="81"/>
  <c r="N443" i="81" s="1"/>
  <c r="P443" i="81" s="1"/>
  <c r="K457" i="81"/>
  <c r="L457" i="81" s="1"/>
  <c r="N457" i="81" s="1"/>
  <c r="P457" i="81" s="1"/>
  <c r="N478" i="81"/>
  <c r="P478" i="81" s="1"/>
  <c r="L621" i="81"/>
  <c r="J661" i="81"/>
  <c r="J651" i="81"/>
  <c r="J646" i="81"/>
  <c r="H234" i="81"/>
  <c r="L225" i="81"/>
  <c r="N225" i="81" s="1"/>
  <c r="P225" i="81" s="1"/>
  <c r="K232" i="81"/>
  <c r="L232" i="81" s="1"/>
  <c r="N232" i="81" s="1"/>
  <c r="P232" i="81" s="1"/>
  <c r="I455" i="81"/>
  <c r="K145" i="81"/>
  <c r="L145" i="81" s="1"/>
  <c r="N145" i="81" s="1"/>
  <c r="P145" i="81" s="1"/>
  <c r="L129" i="81"/>
  <c r="N129" i="81" s="1"/>
  <c r="P129" i="81" s="1"/>
  <c r="I727" i="81"/>
  <c r="L727" i="81"/>
  <c r="N727" i="81" s="1"/>
  <c r="P727" i="81" s="1"/>
  <c r="I297" i="81"/>
  <c r="L297" i="81"/>
  <c r="N297" i="81" s="1"/>
  <c r="P297" i="81" s="1"/>
  <c r="I732" i="81"/>
  <c r="L732" i="81"/>
  <c r="N732" i="81" s="1"/>
  <c r="P732" i="81" s="1"/>
  <c r="I532" i="81"/>
  <c r="L532" i="81"/>
  <c r="N532" i="81" s="1"/>
  <c r="P532" i="81" s="1"/>
  <c r="I627" i="81"/>
  <c r="J627" i="81" s="1"/>
  <c r="L530" i="81"/>
  <c r="N530" i="81" s="1"/>
  <c r="P530" i="81" s="1"/>
  <c r="I530" i="81"/>
  <c r="L15" i="81"/>
  <c r="N15" i="81" s="1"/>
  <c r="P15" i="81" s="1"/>
  <c r="J143" i="81"/>
  <c r="J111" i="81"/>
  <c r="J95" i="81"/>
  <c r="I294" i="81"/>
  <c r="L294" i="81"/>
  <c r="N294" i="81" s="1"/>
  <c r="P294" i="81" s="1"/>
  <c r="L94" i="81"/>
  <c r="N94" i="81" s="1"/>
  <c r="P94" i="81" s="1"/>
  <c r="I94" i="81"/>
  <c r="I146" i="81"/>
  <c r="L146" i="81"/>
  <c r="N146" i="81" s="1"/>
  <c r="P146" i="81" s="1"/>
  <c r="I117" i="81"/>
  <c r="L117" i="81"/>
  <c r="N117" i="81" s="1"/>
  <c r="P117" i="81" s="1"/>
  <c r="J453" i="81"/>
  <c r="J425" i="81"/>
  <c r="J411" i="81"/>
  <c r="L341" i="81"/>
  <c r="L370" i="81"/>
  <c r="N370" i="81" s="1"/>
  <c r="K384" i="81"/>
  <c r="L106" i="81"/>
  <c r="N106" i="81" s="1"/>
  <c r="P106" i="81" s="1"/>
  <c r="I106" i="81"/>
  <c r="L283" i="81"/>
  <c r="N283" i="81" s="1"/>
  <c r="K292" i="81"/>
  <c r="K301" i="81" s="1"/>
  <c r="L315" i="81"/>
  <c r="N315" i="81" s="1"/>
  <c r="P315" i="81" s="1"/>
  <c r="K324" i="81"/>
  <c r="L324" i="81" s="1"/>
  <c r="N324" i="81" s="1"/>
  <c r="P324" i="81" s="1"/>
  <c r="L432" i="81"/>
  <c r="N432" i="81" s="1"/>
  <c r="P432" i="81" s="1"/>
  <c r="K405" i="81"/>
  <c r="L391" i="81"/>
  <c r="N391" i="81" s="1"/>
  <c r="P391" i="81" s="1"/>
  <c r="I154" i="81"/>
  <c r="J100" i="81"/>
  <c r="L20" i="81"/>
  <c r="N20" i="81" s="1"/>
  <c r="P20" i="81" s="1"/>
  <c r="J148" i="81"/>
  <c r="J116" i="81"/>
  <c r="L536" i="81"/>
  <c r="N536" i="81" s="1"/>
  <c r="P536" i="81" s="1"/>
  <c r="I536" i="81"/>
  <c r="I113" i="81"/>
  <c r="L113" i="81"/>
  <c r="N113" i="81" s="1"/>
  <c r="P113" i="81" s="1"/>
  <c r="N247" i="81"/>
  <c r="P247" i="81" s="1"/>
  <c r="L288" i="81"/>
  <c r="N288" i="81" s="1"/>
  <c r="L97" i="81"/>
  <c r="N97" i="81" s="1"/>
  <c r="P97" i="81" s="1"/>
  <c r="I144" i="81"/>
  <c r="L144" i="81"/>
  <c r="N144" i="81" s="1"/>
  <c r="P144" i="81" s="1"/>
  <c r="I324" i="81"/>
  <c r="I593" i="81"/>
  <c r="I603" i="81"/>
  <c r="N13" i="81"/>
  <c r="P13" i="81" s="1"/>
  <c r="L487" i="81"/>
  <c r="N487" i="81" s="1"/>
  <c r="P487" i="81" s="1"/>
  <c r="I487" i="81"/>
  <c r="I492" i="81" s="1"/>
  <c r="J346" i="81"/>
  <c r="I653" i="81"/>
  <c r="L653" i="81"/>
  <c r="N653" i="81" s="1"/>
  <c r="P653" i="81" s="1"/>
  <c r="L418" i="81"/>
  <c r="N418" i="81" s="1"/>
  <c r="P418" i="81" s="1"/>
  <c r="I418" i="81"/>
  <c r="L142" i="81"/>
  <c r="N142" i="81" s="1"/>
  <c r="P142" i="81" s="1"/>
  <c r="I142" i="81"/>
  <c r="L415" i="81"/>
  <c r="N415" i="81" s="1"/>
  <c r="P415" i="81" s="1"/>
  <c r="I415" i="81"/>
  <c r="L96" i="81"/>
  <c r="N96" i="81" s="1"/>
  <c r="P96" i="81" s="1"/>
  <c r="I96" i="81"/>
  <c r="I295" i="81"/>
  <c r="L295" i="81"/>
  <c r="N295" i="81" s="1"/>
  <c r="P295" i="81" s="1"/>
  <c r="L150" i="81"/>
  <c r="N150" i="81" s="1"/>
  <c r="P150" i="81" s="1"/>
  <c r="I150" i="81"/>
  <c r="L280" i="81"/>
  <c r="N280" i="81" s="1"/>
  <c r="P280" i="81" s="1"/>
  <c r="I149" i="81"/>
  <c r="L149" i="81"/>
  <c r="N149" i="81" s="1"/>
  <c r="P149" i="81" s="1"/>
  <c r="K200" i="81"/>
  <c r="L193" i="81"/>
  <c r="L112" i="81"/>
  <c r="N112" i="81" s="1"/>
  <c r="P112" i="81" s="1"/>
  <c r="I112" i="81"/>
  <c r="L279" i="81"/>
  <c r="N279" i="81" s="1"/>
  <c r="P279" i="81" s="1"/>
  <c r="I99" i="81"/>
  <c r="L99" i="81"/>
  <c r="N99" i="81" s="1"/>
  <c r="P99" i="81" s="1"/>
  <c r="I744" i="81"/>
  <c r="L744" i="81"/>
  <c r="N744" i="81" s="1"/>
  <c r="P744" i="81" s="1"/>
  <c r="I306" i="81"/>
  <c r="L306" i="81"/>
  <c r="N306" i="81" s="1"/>
  <c r="P306" i="81" s="1"/>
  <c r="I115" i="81"/>
  <c r="L115" i="81"/>
  <c r="N115" i="81" s="1"/>
  <c r="P115" i="81" s="1"/>
  <c r="I720" i="81"/>
  <c r="L720" i="81"/>
  <c r="N720" i="81" s="1"/>
  <c r="P720" i="81" s="1"/>
  <c r="L428" i="81"/>
  <c r="N428" i="81" s="1"/>
  <c r="P428" i="81" s="1"/>
  <c r="I648" i="81"/>
  <c r="L648" i="81"/>
  <c r="N648" i="81" s="1"/>
  <c r="P648" i="81" s="1"/>
  <c r="I728" i="81"/>
  <c r="L728" i="81"/>
  <c r="N728" i="81" s="1"/>
  <c r="P728" i="81" s="1"/>
  <c r="L658" i="81"/>
  <c r="N658" i="81" s="1"/>
  <c r="P658" i="81" s="1"/>
  <c r="K663" i="81"/>
  <c r="L663" i="81" s="1"/>
  <c r="N663" i="81" s="1"/>
  <c r="P663" i="81" s="1"/>
  <c r="I730" i="81"/>
  <c r="L730" i="81"/>
  <c r="N730" i="81" s="1"/>
  <c r="P730" i="81" s="1"/>
  <c r="L393" i="81"/>
  <c r="N393" i="81" s="1"/>
  <c r="P393" i="81" s="1"/>
  <c r="L719" i="81"/>
  <c r="N719" i="81" s="1"/>
  <c r="P719" i="81" s="1"/>
  <c r="I719" i="81"/>
  <c r="I147" i="81"/>
  <c r="L147" i="81"/>
  <c r="N147" i="81" s="1"/>
  <c r="P147" i="81" s="1"/>
  <c r="J248" i="81"/>
  <c r="L222" i="81"/>
  <c r="N222" i="81" s="1"/>
  <c r="P222" i="81" s="1"/>
  <c r="K229" i="81"/>
  <c r="L229" i="81" s="1"/>
  <c r="N229" i="81" s="1"/>
  <c r="P229" i="81" s="1"/>
  <c r="I722" i="81"/>
  <c r="L722" i="81"/>
  <c r="N722" i="81" s="1"/>
  <c r="P722" i="81" s="1"/>
  <c r="I588" i="81"/>
  <c r="L382" i="81"/>
  <c r="N382" i="81" s="1"/>
  <c r="P382" i="81" s="1"/>
  <c r="K396" i="81"/>
  <c r="I214" i="81"/>
  <c r="L439" i="81"/>
  <c r="N439" i="81" s="1"/>
  <c r="P439" i="81" s="1"/>
  <c r="K453" i="81"/>
  <c r="I292" i="81"/>
  <c r="L230" i="81"/>
  <c r="N230" i="81" s="1"/>
  <c r="P230" i="81" s="1"/>
  <c r="I230" i="81"/>
  <c r="I364" i="81"/>
  <c r="J364" i="81" s="1"/>
  <c r="H462" i="81"/>
  <c r="L407" i="81"/>
  <c r="N407" i="81" s="1"/>
  <c r="K421" i="81"/>
  <c r="I724" i="81"/>
  <c r="L724" i="81"/>
  <c r="N724" i="81" s="1"/>
  <c r="P724" i="81" s="1"/>
  <c r="I304" i="81"/>
  <c r="L304" i="81"/>
  <c r="N304" i="81" s="1"/>
  <c r="P304" i="81" s="1"/>
  <c r="L303" i="81"/>
  <c r="N303" i="81" s="1"/>
  <c r="P303" i="81" s="1"/>
  <c r="I303" i="81"/>
  <c r="I723" i="81"/>
  <c r="L723" i="81"/>
  <c r="N723" i="81" s="1"/>
  <c r="P723" i="81" s="1"/>
  <c r="I228" i="81"/>
  <c r="K154" i="81"/>
  <c r="L154" i="81" s="1"/>
  <c r="N154" i="81" s="1"/>
  <c r="P154" i="81" s="1"/>
  <c r="L138" i="81"/>
  <c r="N138" i="81" s="1"/>
  <c r="P138" i="81" s="1"/>
  <c r="H662" i="81"/>
  <c r="L743" i="81"/>
  <c r="N743" i="81" s="1"/>
  <c r="P743" i="81" s="1"/>
  <c r="I743" i="81"/>
  <c r="J604" i="81"/>
  <c r="J594" i="81"/>
  <c r="J589" i="81"/>
  <c r="L564" i="81"/>
  <c r="H652" i="81"/>
  <c r="I322" i="81"/>
  <c r="L322" i="81"/>
  <c r="N322" i="81" s="1"/>
  <c r="P322" i="81" s="1"/>
  <c r="L321" i="81"/>
  <c r="N321" i="81" s="1"/>
  <c r="P321" i="81" s="1"/>
  <c r="I321" i="81"/>
  <c r="L305" i="81"/>
  <c r="N305" i="81" s="1"/>
  <c r="P305" i="81" s="1"/>
  <c r="I305" i="81"/>
  <c r="I731" i="81"/>
  <c r="L731" i="81"/>
  <c r="N731" i="81" s="1"/>
  <c r="P731" i="81" s="1"/>
  <c r="J234" i="81"/>
  <c r="I412" i="81"/>
  <c r="I457" i="81"/>
  <c r="I119" i="81"/>
  <c r="I490" i="81"/>
  <c r="L490" i="81"/>
  <c r="N490" i="81" s="1"/>
  <c r="P490" i="81" s="1"/>
  <c r="L354" i="81"/>
  <c r="N354" i="81" s="1"/>
  <c r="P354" i="81" s="1"/>
  <c r="J424" i="81"/>
  <c r="J410" i="81"/>
  <c r="J452" i="81"/>
  <c r="L349" i="81"/>
  <c r="N349" i="81" s="1"/>
  <c r="P349" i="81" s="1"/>
  <c r="I663" i="81"/>
  <c r="I747" i="81"/>
  <c r="L747" i="81"/>
  <c r="N747" i="81" s="1"/>
  <c r="P747" i="81" s="1"/>
  <c r="I110" i="81"/>
  <c r="L110" i="81"/>
  <c r="N110" i="81" s="1"/>
  <c r="P110" i="81" s="1"/>
  <c r="I426" i="81"/>
  <c r="L114" i="81"/>
  <c r="N114" i="81" s="1"/>
  <c r="P114" i="81" s="1"/>
  <c r="I114" i="81"/>
  <c r="I296" i="81"/>
  <c r="L296" i="81"/>
  <c r="N296" i="81" s="1"/>
  <c r="P296" i="81" s="1"/>
  <c r="L429" i="81"/>
  <c r="N429" i="81" s="1"/>
  <c r="P429" i="81" s="1"/>
  <c r="I429" i="81"/>
  <c r="L414" i="81"/>
  <c r="N414" i="81" s="1"/>
  <c r="P414" i="81" s="1"/>
  <c r="L417" i="81" l="1"/>
  <c r="N417" i="81" s="1"/>
  <c r="P417" i="81" s="1"/>
  <c r="O750" i="81"/>
  <c r="O549" i="81"/>
  <c r="V17" i="81" s="1"/>
  <c r="L431" i="81"/>
  <c r="N431" i="81" s="1"/>
  <c r="P431" i="81" s="1"/>
  <c r="O270" i="81"/>
  <c r="P270" i="81" s="1"/>
  <c r="O665" i="81"/>
  <c r="V14" i="81" s="1"/>
  <c r="L93" i="81"/>
  <c r="N93" i="81" s="1"/>
  <c r="P93" i="81" s="1"/>
  <c r="O407" i="81"/>
  <c r="P407" i="81" s="1"/>
  <c r="O80" i="81"/>
  <c r="P80" i="81" s="1"/>
  <c r="O283" i="81"/>
  <c r="P283" i="81" s="1"/>
  <c r="P516" i="81"/>
  <c r="P698" i="81"/>
  <c r="O399" i="81"/>
  <c r="P399" i="81" s="1"/>
  <c r="O370" i="81"/>
  <c r="O81" i="81"/>
  <c r="P81" i="81" s="1"/>
  <c r="O288" i="81"/>
  <c r="P288" i="81" s="1"/>
  <c r="P481" i="81"/>
  <c r="P492" i="81" s="1"/>
  <c r="L588" i="81"/>
  <c r="N588" i="81" s="1"/>
  <c r="P588" i="81" s="1"/>
  <c r="L593" i="81"/>
  <c r="N593" i="81" s="1"/>
  <c r="P593" i="81" s="1"/>
  <c r="L292" i="81"/>
  <c r="N292" i="81" s="1"/>
  <c r="P292" i="81" s="1"/>
  <c r="L104" i="81"/>
  <c r="N104" i="81" s="1"/>
  <c r="P104" i="81" s="1"/>
  <c r="I595" i="81"/>
  <c r="L598" i="81"/>
  <c r="N598" i="81" s="1"/>
  <c r="P598" i="81" s="1"/>
  <c r="I105" i="81"/>
  <c r="J590" i="81"/>
  <c r="L590" i="81" s="1"/>
  <c r="N590" i="81" s="1"/>
  <c r="P590" i="81" s="1"/>
  <c r="J605" i="81"/>
  <c r="L605" i="81" s="1"/>
  <c r="N605" i="81" s="1"/>
  <c r="P605" i="81" s="1"/>
  <c r="H665" i="81"/>
  <c r="L460" i="81"/>
  <c r="N460" i="81" s="1"/>
  <c r="P460" i="81" s="1"/>
  <c r="H465" i="81"/>
  <c r="K119" i="81"/>
  <c r="L103" i="81"/>
  <c r="N103" i="81" s="1"/>
  <c r="P103" i="81" s="1"/>
  <c r="L141" i="81"/>
  <c r="N141" i="81" s="1"/>
  <c r="P141" i="81" s="1"/>
  <c r="I153" i="81"/>
  <c r="L109" i="81"/>
  <c r="N109" i="81" s="1"/>
  <c r="P109" i="81" s="1"/>
  <c r="J461" i="81"/>
  <c r="I461" i="81" s="1"/>
  <c r="J419" i="81"/>
  <c r="I419" i="81" s="1"/>
  <c r="J433" i="81"/>
  <c r="I433" i="81" s="1"/>
  <c r="L492" i="81"/>
  <c r="L364" i="81"/>
  <c r="N364" i="81" s="1"/>
  <c r="P364" i="81" s="1"/>
  <c r="J434" i="81"/>
  <c r="L434" i="81" s="1"/>
  <c r="N434" i="81" s="1"/>
  <c r="P434" i="81" s="1"/>
  <c r="J420" i="81"/>
  <c r="I420" i="81" s="1"/>
  <c r="J462" i="81"/>
  <c r="L462" i="81" s="1"/>
  <c r="N462" i="81" s="1"/>
  <c r="P462" i="81" s="1"/>
  <c r="J750" i="81"/>
  <c r="N492" i="81"/>
  <c r="U21" i="81" s="1"/>
  <c r="W21" i="81" s="1"/>
  <c r="X21" i="81" s="1"/>
  <c r="E29" i="73" s="1"/>
  <c r="L627" i="81"/>
  <c r="N627" i="81" s="1"/>
  <c r="P627" i="81" s="1"/>
  <c r="J652" i="81"/>
  <c r="J662" i="81"/>
  <c r="J647" i="81"/>
  <c r="I661" i="81"/>
  <c r="L661" i="81"/>
  <c r="N661" i="81" s="1"/>
  <c r="P661" i="81" s="1"/>
  <c r="L100" i="81"/>
  <c r="N100" i="81" s="1"/>
  <c r="P100" i="81" s="1"/>
  <c r="I100" i="81"/>
  <c r="I234" i="81"/>
  <c r="L346" i="81"/>
  <c r="N346" i="81" s="1"/>
  <c r="P346" i="81" s="1"/>
  <c r="J458" i="81"/>
  <c r="J416" i="81"/>
  <c r="J430" i="81"/>
  <c r="I452" i="81"/>
  <c r="K136" i="81"/>
  <c r="L120" i="81"/>
  <c r="N120" i="81" s="1"/>
  <c r="P120" i="81" s="1"/>
  <c r="L604" i="81"/>
  <c r="N604" i="81" s="1"/>
  <c r="P604" i="81" s="1"/>
  <c r="I604" i="81"/>
  <c r="I410" i="81"/>
  <c r="I729" i="81"/>
  <c r="L729" i="81"/>
  <c r="N729" i="81" s="1"/>
  <c r="P729" i="81" s="1"/>
  <c r="I721" i="81"/>
  <c r="L721" i="81"/>
  <c r="N721" i="81" s="1"/>
  <c r="P721" i="81" s="1"/>
  <c r="N341" i="81"/>
  <c r="P341" i="81" s="1"/>
  <c r="L745" i="81"/>
  <c r="N745" i="81" s="1"/>
  <c r="P745" i="81" s="1"/>
  <c r="I745" i="81"/>
  <c r="I424" i="81"/>
  <c r="I95" i="81"/>
  <c r="L95" i="81"/>
  <c r="N95" i="81" s="1"/>
  <c r="P95" i="81" s="1"/>
  <c r="I646" i="81"/>
  <c r="L646" i="81"/>
  <c r="N646" i="81" s="1"/>
  <c r="P646" i="81" s="1"/>
  <c r="N681" i="81"/>
  <c r="P681" i="81" s="1"/>
  <c r="L531" i="81"/>
  <c r="N531" i="81" s="1"/>
  <c r="P531" i="81" s="1"/>
  <c r="I531" i="81"/>
  <c r="N193" i="81"/>
  <c r="P193" i="81" s="1"/>
  <c r="L411" i="81"/>
  <c r="N411" i="81" s="1"/>
  <c r="P411" i="81" s="1"/>
  <c r="I411" i="81"/>
  <c r="N621" i="81"/>
  <c r="P621" i="81" s="1"/>
  <c r="L546" i="81"/>
  <c r="N546" i="81" s="1"/>
  <c r="P546" i="81" s="1"/>
  <c r="I546" i="81"/>
  <c r="J320" i="81"/>
  <c r="J302" i="81"/>
  <c r="L248" i="81"/>
  <c r="J293" i="81"/>
  <c r="L200" i="81"/>
  <c r="N200" i="81" s="1"/>
  <c r="K207" i="81"/>
  <c r="L425" i="81"/>
  <c r="N425" i="81" s="1"/>
  <c r="P425" i="81" s="1"/>
  <c r="I425" i="81"/>
  <c r="N511" i="81"/>
  <c r="P511" i="81" s="1"/>
  <c r="I453" i="81"/>
  <c r="L453" i="81"/>
  <c r="N453" i="81" s="1"/>
  <c r="P453" i="81" s="1"/>
  <c r="N564" i="81"/>
  <c r="P564" i="81" s="1"/>
  <c r="L589" i="81"/>
  <c r="N589" i="81" s="1"/>
  <c r="P589" i="81" s="1"/>
  <c r="I589" i="81"/>
  <c r="K419" i="81"/>
  <c r="K433" i="81" s="1"/>
  <c r="K447" i="81" s="1"/>
  <c r="L405" i="81"/>
  <c r="N405" i="81" s="1"/>
  <c r="L594" i="81"/>
  <c r="N594" i="81" s="1"/>
  <c r="P594" i="81" s="1"/>
  <c r="I594" i="81"/>
  <c r="J157" i="81"/>
  <c r="K435" i="81"/>
  <c r="L421" i="81"/>
  <c r="N421" i="81" s="1"/>
  <c r="P421" i="81" s="1"/>
  <c r="K410" i="81"/>
  <c r="K424" i="81" s="1"/>
  <c r="K438" i="81" s="1"/>
  <c r="L396" i="81"/>
  <c r="N396" i="81" s="1"/>
  <c r="K310" i="81"/>
  <c r="L301" i="81"/>
  <c r="N301" i="81" s="1"/>
  <c r="P301" i="81" s="1"/>
  <c r="L116" i="81"/>
  <c r="N116" i="81" s="1"/>
  <c r="P116" i="81" s="1"/>
  <c r="I116" i="81"/>
  <c r="K398" i="81"/>
  <c r="L384" i="81"/>
  <c r="N384" i="81" s="1"/>
  <c r="P384" i="81" s="1"/>
  <c r="I111" i="81"/>
  <c r="L111" i="81"/>
  <c r="N111" i="81" s="1"/>
  <c r="P111" i="81" s="1"/>
  <c r="L651" i="81"/>
  <c r="N651" i="81" s="1"/>
  <c r="P651" i="81" s="1"/>
  <c r="I651" i="81"/>
  <c r="L148" i="81"/>
  <c r="N148" i="81" s="1"/>
  <c r="P148" i="81" s="1"/>
  <c r="I148" i="81"/>
  <c r="L143" i="81"/>
  <c r="N143" i="81" s="1"/>
  <c r="P143" i="81" s="1"/>
  <c r="I143" i="81"/>
  <c r="J549" i="81"/>
  <c r="J327" i="81" l="1"/>
  <c r="I605" i="81"/>
  <c r="O157" i="81"/>
  <c r="P750" i="81"/>
  <c r="O327" i="81"/>
  <c r="V16" i="81" s="1"/>
  <c r="O396" i="81"/>
  <c r="P396" i="81" s="1"/>
  <c r="O200" i="81"/>
  <c r="O234" i="81" s="1"/>
  <c r="I462" i="81"/>
  <c r="P370" i="81"/>
  <c r="O405" i="81"/>
  <c r="P405" i="81" s="1"/>
  <c r="J665" i="81"/>
  <c r="J607" i="81"/>
  <c r="P607" i="81"/>
  <c r="L420" i="81"/>
  <c r="N420" i="81" s="1"/>
  <c r="P420" i="81" s="1"/>
  <c r="L419" i="81"/>
  <c r="N419" i="81" s="1"/>
  <c r="P419" i="81" s="1"/>
  <c r="I590" i="81"/>
  <c r="P549" i="81"/>
  <c r="K135" i="81"/>
  <c r="L119" i="81"/>
  <c r="N119" i="81" s="1"/>
  <c r="P119" i="81" s="1"/>
  <c r="I157" i="81"/>
  <c r="I434" i="81"/>
  <c r="N493" i="81"/>
  <c r="I493" i="81" s="1"/>
  <c r="I750" i="81"/>
  <c r="L607" i="81"/>
  <c r="I549" i="81"/>
  <c r="N607" i="81"/>
  <c r="L438" i="81"/>
  <c r="N438" i="81" s="1"/>
  <c r="P438" i="81" s="1"/>
  <c r="K452" i="81"/>
  <c r="L452" i="81" s="1"/>
  <c r="N452" i="81" s="1"/>
  <c r="P452" i="81" s="1"/>
  <c r="I416" i="81"/>
  <c r="L416" i="81"/>
  <c r="N416" i="81" s="1"/>
  <c r="P416" i="81" s="1"/>
  <c r="L750" i="81"/>
  <c r="K319" i="81"/>
  <c r="L319" i="81" s="1"/>
  <c r="N319" i="81" s="1"/>
  <c r="P319" i="81" s="1"/>
  <c r="L310" i="81"/>
  <c r="N310" i="81" s="1"/>
  <c r="P310" i="81" s="1"/>
  <c r="N248" i="81"/>
  <c r="P248" i="81" s="1"/>
  <c r="I302" i="81"/>
  <c r="L302" i="81"/>
  <c r="N302" i="81" s="1"/>
  <c r="P302" i="81" s="1"/>
  <c r="I320" i="81"/>
  <c r="L320" i="81"/>
  <c r="N320" i="81" s="1"/>
  <c r="P320" i="81" s="1"/>
  <c r="N549" i="81"/>
  <c r="U17" i="81" s="1"/>
  <c r="I430" i="81"/>
  <c r="L430" i="81"/>
  <c r="N430" i="81" s="1"/>
  <c r="P430" i="81" s="1"/>
  <c r="L398" i="81"/>
  <c r="N398" i="81" s="1"/>
  <c r="K412" i="81"/>
  <c r="I458" i="81"/>
  <c r="L458" i="81"/>
  <c r="N458" i="81" s="1"/>
  <c r="P458" i="81" s="1"/>
  <c r="L207" i="81"/>
  <c r="K214" i="81"/>
  <c r="N750" i="81"/>
  <c r="L433" i="81"/>
  <c r="N433" i="81" s="1"/>
  <c r="P433" i="81" s="1"/>
  <c r="L136" i="81"/>
  <c r="N136" i="81" s="1"/>
  <c r="P136" i="81" s="1"/>
  <c r="K152" i="81"/>
  <c r="L152" i="81" s="1"/>
  <c r="N152" i="81" s="1"/>
  <c r="P152" i="81" s="1"/>
  <c r="K449" i="81"/>
  <c r="L435" i="81"/>
  <c r="N435" i="81" s="1"/>
  <c r="P435" i="81" s="1"/>
  <c r="L424" i="81"/>
  <c r="N424" i="81" s="1"/>
  <c r="P424" i="81" s="1"/>
  <c r="L549" i="81"/>
  <c r="I647" i="81"/>
  <c r="L647" i="81"/>
  <c r="I662" i="81"/>
  <c r="L662" i="81"/>
  <c r="N662" i="81" s="1"/>
  <c r="P662" i="81" s="1"/>
  <c r="I652" i="81"/>
  <c r="L652" i="81"/>
  <c r="N652" i="81" s="1"/>
  <c r="P652" i="81" s="1"/>
  <c r="K461" i="81"/>
  <c r="L461" i="81" s="1"/>
  <c r="N461" i="81" s="1"/>
  <c r="P461" i="81" s="1"/>
  <c r="L447" i="81"/>
  <c r="N447" i="81" s="1"/>
  <c r="P447" i="81" s="1"/>
  <c r="J465" i="81"/>
  <c r="L293" i="81"/>
  <c r="N293" i="81" s="1"/>
  <c r="P293" i="81" s="1"/>
  <c r="I293" i="81"/>
  <c r="L410" i="81"/>
  <c r="N410" i="81" s="1"/>
  <c r="P410" i="81" s="1"/>
  <c r="V18" i="81" l="1"/>
  <c r="I607" i="81"/>
  <c r="T17" i="81"/>
  <c r="W17" i="81"/>
  <c r="X17" i="81" s="1"/>
  <c r="E26" i="73" s="1"/>
  <c r="O398" i="81"/>
  <c r="O465" i="81" s="1"/>
  <c r="V15" i="81" s="1"/>
  <c r="P200" i="81"/>
  <c r="P327" i="81"/>
  <c r="L135" i="81"/>
  <c r="K151" i="81"/>
  <c r="L151" i="81" s="1"/>
  <c r="N151" i="81" s="1"/>
  <c r="P151" i="81" s="1"/>
  <c r="L327" i="81"/>
  <c r="N327" i="81"/>
  <c r="I465" i="81"/>
  <c r="I665" i="81"/>
  <c r="N608" i="81"/>
  <c r="K221" i="81"/>
  <c r="L214" i="81"/>
  <c r="N214" i="81" s="1"/>
  <c r="P214" i="81" s="1"/>
  <c r="N207" i="81"/>
  <c r="P207" i="81" s="1"/>
  <c r="N647" i="81"/>
  <c r="L665" i="81"/>
  <c r="K426" i="81"/>
  <c r="L412" i="81"/>
  <c r="N412" i="81" s="1"/>
  <c r="P412" i="81" s="1"/>
  <c r="L449" i="81"/>
  <c r="N449" i="81" s="1"/>
  <c r="P449" i="81" s="1"/>
  <c r="K463" i="81"/>
  <c r="L463" i="81" s="1"/>
  <c r="N463" i="81" s="1"/>
  <c r="P463" i="81" s="1"/>
  <c r="I327" i="81"/>
  <c r="N550" i="81"/>
  <c r="I550" i="81" s="1"/>
  <c r="N751" i="81"/>
  <c r="I751" i="81" s="1"/>
  <c r="I608" i="81" l="1"/>
  <c r="U16" i="81"/>
  <c r="T16" i="81" s="1"/>
  <c r="T21" i="81"/>
  <c r="V19" i="81"/>
  <c r="V22" i="81" s="1"/>
  <c r="P398" i="81"/>
  <c r="N665" i="81"/>
  <c r="U14" i="81" s="1"/>
  <c r="P647" i="81"/>
  <c r="P665" i="81" s="1"/>
  <c r="N135" i="81"/>
  <c r="L157" i="81"/>
  <c r="N328" i="81"/>
  <c r="I328" i="81" s="1"/>
  <c r="K440" i="81"/>
  <c r="L426" i="81"/>
  <c r="N426" i="81" s="1"/>
  <c r="P426" i="81" s="1"/>
  <c r="L221" i="81"/>
  <c r="N221" i="81" s="1"/>
  <c r="P221" i="81" s="1"/>
  <c r="K228" i="81"/>
  <c r="L228" i="81" s="1"/>
  <c r="N228" i="81" s="1"/>
  <c r="W16" i="81" l="1"/>
  <c r="X16" i="81" s="1"/>
  <c r="E25" i="73" s="1"/>
  <c r="N666" i="81"/>
  <c r="I666" i="81" s="1"/>
  <c r="T14" i="81"/>
  <c r="W14" i="81"/>
  <c r="X14" i="81" s="1"/>
  <c r="E23" i="73" s="1"/>
  <c r="N234" i="81"/>
  <c r="P228" i="81"/>
  <c r="P234" i="81" s="1"/>
  <c r="N157" i="81"/>
  <c r="U18" i="81" s="1"/>
  <c r="P135" i="81"/>
  <c r="P157" i="81" s="1"/>
  <c r="L234" i="81"/>
  <c r="L440" i="81"/>
  <c r="N440" i="81" s="1"/>
  <c r="P440" i="81" s="1"/>
  <c r="K454" i="81"/>
  <c r="L454" i="81" s="1"/>
  <c r="N235" i="81" l="1"/>
  <c r="I235" i="81" s="1"/>
  <c r="N158" i="81"/>
  <c r="N454" i="81"/>
  <c r="L465" i="81"/>
  <c r="T18" i="81" l="1"/>
  <c r="W18" i="81"/>
  <c r="X18" i="81" s="1"/>
  <c r="E27" i="73" s="1"/>
  <c r="N465" i="81"/>
  <c r="U15" i="81" s="1"/>
  <c r="P454" i="81"/>
  <c r="P465" i="81" s="1"/>
  <c r="W15" i="81" l="1"/>
  <c r="N466" i="81"/>
  <c r="I466" i="81" s="1"/>
  <c r="U19" i="81"/>
  <c r="U22" i="81" s="1"/>
  <c r="T15" i="81"/>
  <c r="T19" i="81" s="1"/>
  <c r="T22" i="81" s="1"/>
  <c r="W19" i="81" l="1"/>
  <c r="W22" i="81" s="1"/>
  <c r="X15" i="81"/>
  <c r="X19" i="81" l="1"/>
  <c r="X22" i="81" s="1"/>
  <c r="E24" i="73"/>
  <c r="H137" i="53"/>
  <c r="J137" i="53"/>
  <c r="E29" i="53"/>
  <c r="F29" i="53"/>
  <c r="E55" i="53"/>
  <c r="F55" i="53"/>
  <c r="E72" i="53"/>
  <c r="F72" i="53"/>
  <c r="E84" i="53"/>
  <c r="F84" i="53"/>
  <c r="E135" i="53"/>
  <c r="F135" i="53"/>
  <c r="E157" i="53"/>
  <c r="F157" i="53"/>
  <c r="E158" i="53"/>
  <c r="F158" i="53"/>
  <c r="G29" i="53"/>
  <c r="I29" i="53"/>
  <c r="G55" i="53"/>
  <c r="I55" i="53"/>
  <c r="G72" i="53"/>
  <c r="I72" i="53"/>
  <c r="G84" i="53"/>
  <c r="I84" i="53"/>
  <c r="I117" i="53"/>
  <c r="I135" i="53" s="1"/>
  <c r="G135" i="53"/>
  <c r="G157" i="53"/>
  <c r="I157" i="53"/>
  <c r="G158" i="53"/>
  <c r="I158" i="53"/>
  <c r="H163" i="53"/>
  <c r="A6" i="53"/>
  <c r="K170" i="53"/>
  <c r="N170" i="53"/>
  <c r="N158" i="53"/>
  <c r="N157" i="53"/>
  <c r="N135" i="53"/>
  <c r="N84" i="53"/>
  <c r="N72" i="53"/>
  <c r="N55" i="53"/>
  <c r="N29" i="53"/>
  <c r="A164" i="53"/>
  <c r="O168" i="53" l="1"/>
  <c r="O175" i="53" s="1"/>
  <c r="O169" i="53"/>
  <c r="O176" i="53" s="1"/>
  <c r="O166" i="53"/>
  <c r="O173" i="53" s="1"/>
  <c r="O167" i="53"/>
  <c r="P168" i="53"/>
  <c r="P175" i="53" s="1"/>
  <c r="P167" i="53"/>
  <c r="P174" i="53" s="1"/>
  <c r="P166" i="53"/>
  <c r="P173" i="53" s="1"/>
  <c r="P169" i="53"/>
  <c r="P176" i="53" s="1"/>
  <c r="F159" i="53"/>
  <c r="E159" i="53"/>
  <c r="I137" i="53"/>
  <c r="I161" i="53" s="1"/>
  <c r="G137" i="53"/>
  <c r="G161" i="53" s="1"/>
  <c r="F137" i="53"/>
  <c r="F161" i="53" s="1"/>
  <c r="E137" i="53"/>
  <c r="E161" i="53" s="1"/>
  <c r="N137" i="53"/>
  <c r="N161" i="53" s="1"/>
  <c r="G159" i="53"/>
  <c r="I159" i="53"/>
  <c r="N159" i="53"/>
  <c r="C29" i="70"/>
  <c r="D22" i="70"/>
  <c r="D23" i="70" s="1"/>
  <c r="C22" i="70"/>
  <c r="C23" i="70" s="1"/>
  <c r="D17" i="70"/>
  <c r="C18" i="70"/>
  <c r="D14" i="70"/>
  <c r="E71" i="73"/>
  <c r="G71" i="73" s="1"/>
  <c r="G70" i="73"/>
  <c r="G14" i="73"/>
  <c r="G15" i="73"/>
  <c r="G16" i="73"/>
  <c r="G17" i="73"/>
  <c r="G18" i="73"/>
  <c r="G19" i="73"/>
  <c r="D59" i="73"/>
  <c r="D61" i="73" s="1"/>
  <c r="D68" i="73" s="1"/>
  <c r="D73" i="73" s="1"/>
  <c r="D43" i="84" l="1"/>
  <c r="G43" i="84" s="1"/>
  <c r="O170" i="53"/>
  <c r="O174" i="53"/>
  <c r="O178" i="53" s="1"/>
  <c r="E162" i="53"/>
  <c r="E163" i="53" s="1"/>
  <c r="F162" i="53"/>
  <c r="F163" i="53" s="1"/>
  <c r="N162" i="53"/>
  <c r="K67" i="73" s="1"/>
  <c r="K68" i="73" s="1"/>
  <c r="L68" i="73"/>
  <c r="D18" i="70"/>
  <c r="C25" i="70"/>
  <c r="F17" i="70"/>
  <c r="C18" i="74" s="1"/>
  <c r="F14" i="70"/>
  <c r="G162" i="53"/>
  <c r="G163" i="53" s="1"/>
  <c r="I162" i="53"/>
  <c r="I163" i="53" s="1"/>
  <c r="P178" i="53"/>
  <c r="P170" i="53"/>
  <c r="G20" i="73"/>
  <c r="E43" i="84" l="1"/>
  <c r="O135" i="53"/>
  <c r="O137" i="53" s="1"/>
  <c r="O161" i="53" s="1"/>
  <c r="O162" i="53" s="1"/>
  <c r="O163" i="53" s="1"/>
  <c r="P133" i="53"/>
  <c r="N163" i="53"/>
  <c r="C22" i="74"/>
  <c r="F32" i="70" l="1"/>
  <c r="F31" i="70"/>
  <c r="F30" i="70"/>
  <c r="F22" i="70"/>
  <c r="C19" i="74" s="1"/>
  <c r="F21" i="70"/>
  <c r="F15" i="70"/>
  <c r="F16" i="70"/>
  <c r="F13" i="70"/>
  <c r="C28" i="70"/>
  <c r="G54" i="73"/>
  <c r="D35" i="84" s="1"/>
  <c r="G53" i="73"/>
  <c r="D34" i="84" s="1"/>
  <c r="G52" i="73"/>
  <c r="D33" i="84" s="1"/>
  <c r="G51" i="73"/>
  <c r="D32" i="84" s="1"/>
  <c r="G50" i="73"/>
  <c r="D31" i="84" s="1"/>
  <c r="G49" i="73"/>
  <c r="D30" i="84" s="1"/>
  <c r="G47" i="73"/>
  <c r="D28" i="84" s="1"/>
  <c r="G46" i="73"/>
  <c r="G45" i="73"/>
  <c r="D26" i="84" s="1"/>
  <c r="G44" i="73"/>
  <c r="D25" i="84" s="1"/>
  <c r="G43" i="73"/>
  <c r="D24" i="84" s="1"/>
  <c r="G39" i="73"/>
  <c r="D20" i="84" s="1"/>
  <c r="G37" i="73"/>
  <c r="D18" i="84" s="1"/>
  <c r="G36" i="73"/>
  <c r="D17" i="84" s="1"/>
  <c r="G28" i="73"/>
  <c r="D9" i="84" s="1"/>
  <c r="G29" i="73"/>
  <c r="D10" i="84" s="1"/>
  <c r="G24" i="73"/>
  <c r="D5" i="84" s="1"/>
  <c r="G25" i="73"/>
  <c r="D6" i="84" s="1"/>
  <c r="G26" i="73"/>
  <c r="D7" i="84" s="1"/>
  <c r="G28" i="84" l="1"/>
  <c r="E28" i="84"/>
  <c r="G34" i="84"/>
  <c r="E34" i="84"/>
  <c r="G17" i="84"/>
  <c r="E17" i="84"/>
  <c r="G31" i="84"/>
  <c r="E31" i="84"/>
  <c r="G32" i="84"/>
  <c r="E32" i="84"/>
  <c r="G35" i="84"/>
  <c r="E35" i="84"/>
  <c r="G9" i="84"/>
  <c r="E9" i="84"/>
  <c r="G25" i="84"/>
  <c r="E25" i="84"/>
  <c r="G30" i="84"/>
  <c r="E30" i="84"/>
  <c r="G33" i="84"/>
  <c r="E33" i="84"/>
  <c r="G10" i="84"/>
  <c r="E10" i="84"/>
  <c r="G18" i="84"/>
  <c r="E18" i="84"/>
  <c r="G20" i="84"/>
  <c r="E20" i="84"/>
  <c r="G24" i="84"/>
  <c r="E24" i="84"/>
  <c r="G26" i="84"/>
  <c r="E26" i="84"/>
  <c r="D27" i="84"/>
  <c r="G6" i="84"/>
  <c r="E6" i="84"/>
  <c r="G5" i="84"/>
  <c r="E5" i="84"/>
  <c r="G7" i="84"/>
  <c r="E7" i="84"/>
  <c r="F23" i="70"/>
  <c r="F18" i="70"/>
  <c r="D25" i="70"/>
  <c r="G27" i="84" l="1"/>
  <c r="E27" i="84"/>
  <c r="F25" i="70"/>
  <c r="C33" i="70"/>
  <c r="C35" i="70" s="1"/>
  <c r="G23" i="73" l="1"/>
  <c r="D4" i="84" s="1"/>
  <c r="E4" i="84" l="1"/>
  <c r="G4" i="84"/>
  <c r="G27" i="73" l="1"/>
  <c r="D8" i="84" s="1"/>
  <c r="G8" i="84" l="1"/>
  <c r="E8" i="84"/>
  <c r="L3" i="84" s="1"/>
  <c r="M24" i="84"/>
  <c r="G79" i="56" l="1"/>
  <c r="I79" i="56" s="1"/>
  <c r="J79" i="56" s="1"/>
  <c r="G77" i="56"/>
  <c r="I77" i="56" s="1"/>
  <c r="J77" i="56" s="1"/>
  <c r="G75" i="56"/>
  <c r="I75" i="56" s="1"/>
  <c r="J75" i="56" s="1"/>
  <c r="G74" i="56"/>
  <c r="I74" i="56" s="1"/>
  <c r="J74" i="56" s="1"/>
  <c r="G70" i="56"/>
  <c r="I70" i="56" s="1"/>
  <c r="J70" i="56" s="1"/>
  <c r="G67" i="56"/>
  <c r="I67" i="56" s="1"/>
  <c r="J67" i="56" s="1"/>
  <c r="G65" i="56"/>
  <c r="I65" i="56" s="1"/>
  <c r="J65" i="56" s="1"/>
  <c r="D64" i="56"/>
  <c r="G58" i="56"/>
  <c r="G63" i="56"/>
  <c r="I63" i="56" s="1"/>
  <c r="J63" i="56" s="1"/>
  <c r="G62" i="56"/>
  <c r="I62" i="56" s="1"/>
  <c r="J62" i="56" s="1"/>
  <c r="G61" i="56"/>
  <c r="I61" i="56" s="1"/>
  <c r="J61" i="56" s="1"/>
  <c r="G60" i="56"/>
  <c r="I60" i="56" s="1"/>
  <c r="G54" i="56"/>
  <c r="I54" i="56" s="1"/>
  <c r="J54" i="56" s="1"/>
  <c r="G53" i="56"/>
  <c r="I53" i="56" s="1"/>
  <c r="J53" i="56" s="1"/>
  <c r="G52" i="56"/>
  <c r="I52" i="56" s="1"/>
  <c r="J52" i="56" s="1"/>
  <c r="G51" i="56"/>
  <c r="I51" i="56" s="1"/>
  <c r="J51" i="56" s="1"/>
  <c r="G50" i="56"/>
  <c r="I50" i="56" s="1"/>
  <c r="J50" i="56" s="1"/>
  <c r="G49" i="56"/>
  <c r="I49" i="56" s="1"/>
  <c r="J49" i="56" s="1"/>
  <c r="G48" i="56"/>
  <c r="I48" i="56" s="1"/>
  <c r="J48" i="56" s="1"/>
  <c r="G47" i="56"/>
  <c r="I47" i="56" s="1"/>
  <c r="J47" i="56" s="1"/>
  <c r="G46" i="56"/>
  <c r="I46" i="56" s="1"/>
  <c r="J46" i="56" s="1"/>
  <c r="G45" i="56"/>
  <c r="I45" i="56" s="1"/>
  <c r="J45" i="56" s="1"/>
  <c r="G44" i="56"/>
  <c r="I44" i="56" s="1"/>
  <c r="J44" i="56" s="1"/>
  <c r="G43" i="56"/>
  <c r="I43" i="56" s="1"/>
  <c r="J43" i="56" s="1"/>
  <c r="G42" i="56"/>
  <c r="I42" i="56" s="1"/>
  <c r="J42" i="56" s="1"/>
  <c r="G41" i="56"/>
  <c r="I41" i="56" s="1"/>
  <c r="J41" i="56" s="1"/>
  <c r="G40" i="56"/>
  <c r="I40" i="56" s="1"/>
  <c r="J40" i="56" s="1"/>
  <c r="G39" i="56"/>
  <c r="I39" i="56" s="1"/>
  <c r="J39" i="56" s="1"/>
  <c r="G38" i="56"/>
  <c r="I38" i="56" s="1"/>
  <c r="J38" i="56" s="1"/>
  <c r="G37" i="56"/>
  <c r="I37" i="56" s="1"/>
  <c r="J37" i="56" s="1"/>
  <c r="G36" i="56"/>
  <c r="I36" i="56" s="1"/>
  <c r="J36" i="56" s="1"/>
  <c r="G35" i="56"/>
  <c r="I35" i="56" s="1"/>
  <c r="J35" i="56" s="1"/>
  <c r="G34" i="56"/>
  <c r="I34" i="56" s="1"/>
  <c r="J34" i="56" s="1"/>
  <c r="G33" i="56"/>
  <c r="I33" i="56" s="1"/>
  <c r="J33" i="56" s="1"/>
  <c r="G32" i="56"/>
  <c r="I32" i="56" s="1"/>
  <c r="J32" i="56" s="1"/>
  <c r="G31" i="56"/>
  <c r="I31" i="56" s="1"/>
  <c r="J31" i="56" s="1"/>
  <c r="G30" i="56"/>
  <c r="I30" i="56" s="1"/>
  <c r="J30" i="56" s="1"/>
  <c r="G29" i="56"/>
  <c r="I29" i="56" s="1"/>
  <c r="J29" i="56" s="1"/>
  <c r="G28" i="56"/>
  <c r="I28" i="56" s="1"/>
  <c r="J28" i="56" s="1"/>
  <c r="G27" i="56"/>
  <c r="I27" i="56" s="1"/>
  <c r="J27" i="56" s="1"/>
  <c r="G26" i="56"/>
  <c r="I26" i="56" s="1"/>
  <c r="J26" i="56" s="1"/>
  <c r="G25" i="56"/>
  <c r="I25" i="56" s="1"/>
  <c r="J25" i="56" s="1"/>
  <c r="G24" i="56"/>
  <c r="I24" i="56" s="1"/>
  <c r="J24" i="56" s="1"/>
  <c r="G23" i="56"/>
  <c r="I23" i="56" s="1"/>
  <c r="J23" i="56" s="1"/>
  <c r="G22" i="56"/>
  <c r="I22" i="56" s="1"/>
  <c r="J22" i="56" s="1"/>
  <c r="G21" i="56"/>
  <c r="I21" i="56" s="1"/>
  <c r="J21" i="56" s="1"/>
  <c r="G20" i="56"/>
  <c r="I20" i="56" s="1"/>
  <c r="J20" i="56" s="1"/>
  <c r="G19" i="56"/>
  <c r="I19" i="56" s="1"/>
  <c r="J19" i="56" s="1"/>
  <c r="G18" i="56"/>
  <c r="I18" i="56" s="1"/>
  <c r="J18" i="56" s="1"/>
  <c r="G17" i="56"/>
  <c r="I17" i="56" s="1"/>
  <c r="J17" i="56" s="1"/>
  <c r="G16" i="56"/>
  <c r="I16" i="56" s="1"/>
  <c r="J16" i="56" s="1"/>
  <c r="G15" i="56"/>
  <c r="I15" i="56" s="1"/>
  <c r="J15" i="56" s="1"/>
  <c r="G13" i="56"/>
  <c r="I13" i="56" s="1"/>
  <c r="J13" i="56" s="1"/>
  <c r="G12" i="56"/>
  <c r="I12" i="56" s="1"/>
  <c r="J12" i="56" s="1"/>
  <c r="G11" i="56"/>
  <c r="D81" i="56" l="1"/>
  <c r="D83" i="56" s="1"/>
  <c r="J60" i="56"/>
  <c r="G55" i="56"/>
  <c r="I11" i="56"/>
  <c r="I58" i="56"/>
  <c r="J58" i="56" s="1"/>
  <c r="G66" i="56"/>
  <c r="I66" i="56" s="1"/>
  <c r="J66" i="56" s="1"/>
  <c r="G59" i="56"/>
  <c r="I59" i="56" s="1"/>
  <c r="G78" i="56"/>
  <c r="I78" i="56" s="1"/>
  <c r="J78" i="56" s="1"/>
  <c r="G73" i="56"/>
  <c r="I73" i="56" s="1"/>
  <c r="J73" i="56" s="1"/>
  <c r="G68" i="56"/>
  <c r="I68" i="56" s="1"/>
  <c r="J68" i="56" s="1"/>
  <c r="G64" i="56"/>
  <c r="I64" i="56" s="1"/>
  <c r="J64" i="56" s="1"/>
  <c r="G69" i="56"/>
  <c r="I69" i="56" s="1"/>
  <c r="J69" i="56" s="1"/>
  <c r="G80" i="56"/>
  <c r="I80" i="56" s="1"/>
  <c r="J80" i="56" s="1"/>
  <c r="G72" i="56"/>
  <c r="I72" i="56" s="1"/>
  <c r="J72" i="56" s="1"/>
  <c r="G71" i="56"/>
  <c r="I71" i="56" s="1"/>
  <c r="J71" i="56" s="1"/>
  <c r="G76" i="56"/>
  <c r="I76" i="56" s="1"/>
  <c r="J76" i="56" s="1"/>
  <c r="G81" i="56" l="1"/>
  <c r="G83" i="56" s="1"/>
  <c r="J59" i="56"/>
  <c r="J81" i="56" s="1"/>
  <c r="I81" i="56"/>
  <c r="I55" i="56"/>
  <c r="J11" i="56"/>
  <c r="J55" i="56" s="1"/>
  <c r="I83" i="56" l="1"/>
  <c r="J83" i="56"/>
  <c r="E60" i="73" s="1"/>
  <c r="A163" i="53"/>
  <c r="A160" i="53"/>
  <c r="K158" i="53"/>
  <c r="K157" i="53"/>
  <c r="A156" i="53"/>
  <c r="A138" i="53"/>
  <c r="A136" i="53"/>
  <c r="K135" i="53"/>
  <c r="A134" i="53"/>
  <c r="P126" i="53"/>
  <c r="P122" i="53"/>
  <c r="P121" i="53"/>
  <c r="P120" i="53"/>
  <c r="P96" i="53"/>
  <c r="A85" i="53"/>
  <c r="K84" i="53"/>
  <c r="A83" i="53"/>
  <c r="A73" i="53"/>
  <c r="K72" i="53"/>
  <c r="A71" i="53"/>
  <c r="A56" i="53"/>
  <c r="K55" i="53"/>
  <c r="A54" i="53"/>
  <c r="A31" i="53"/>
  <c r="A30" i="53"/>
  <c r="K29" i="53"/>
  <c r="A28" i="53"/>
  <c r="D29" i="70" l="1"/>
  <c r="F29" i="70" s="1"/>
  <c r="G60" i="73"/>
  <c r="D39" i="84" s="1"/>
  <c r="E64" i="73"/>
  <c r="G64" i="73" s="1"/>
  <c r="D44" i="84" s="1"/>
  <c r="E66" i="73"/>
  <c r="G66" i="73" s="1"/>
  <c r="P157" i="53"/>
  <c r="E32" i="73"/>
  <c r="E30" i="73"/>
  <c r="G30" i="73" s="1"/>
  <c r="D11" i="84" s="1"/>
  <c r="E31" i="73"/>
  <c r="E48" i="73"/>
  <c r="G48" i="73" s="1"/>
  <c r="D29" i="84" s="1"/>
  <c r="E40" i="73"/>
  <c r="K137" i="53"/>
  <c r="K161" i="53" s="1"/>
  <c r="S142" i="53"/>
  <c r="K159" i="53"/>
  <c r="P72" i="53"/>
  <c r="P29" i="53"/>
  <c r="P55" i="53"/>
  <c r="S141" i="53"/>
  <c r="S140" i="53"/>
  <c r="G39" i="84" l="1"/>
  <c r="E39" i="84"/>
  <c r="G29" i="84"/>
  <c r="E29" i="84"/>
  <c r="D45" i="84"/>
  <c r="M20" i="84" s="1"/>
  <c r="C14" i="74"/>
  <c r="G44" i="84"/>
  <c r="E44" i="84"/>
  <c r="G11" i="84"/>
  <c r="E11" i="84"/>
  <c r="E67" i="73"/>
  <c r="P159" i="53"/>
  <c r="C20" i="74"/>
  <c r="G67" i="73"/>
  <c r="G38" i="73"/>
  <c r="K162" i="53"/>
  <c r="K163" i="53" s="1"/>
  <c r="G32" i="73"/>
  <c r="G34" i="73"/>
  <c r="G35" i="73"/>
  <c r="G42" i="73"/>
  <c r="D19" i="84" l="1"/>
  <c r="D15" i="84"/>
  <c r="D16" i="84"/>
  <c r="M25" i="84" s="1"/>
  <c r="D23" i="84"/>
  <c r="M28" i="84" s="1"/>
  <c r="D13" i="84"/>
  <c r="G45" i="84"/>
  <c r="E45" i="84"/>
  <c r="L10" i="84" s="1"/>
  <c r="G40" i="73"/>
  <c r="G33" i="73"/>
  <c r="G31" i="73"/>
  <c r="G19" i="84" l="1"/>
  <c r="E19" i="84"/>
  <c r="D21" i="84"/>
  <c r="G13" i="84"/>
  <c r="E13" i="84"/>
  <c r="G23" i="84"/>
  <c r="E23" i="84"/>
  <c r="L7" i="84" s="1"/>
  <c r="G16" i="84"/>
  <c r="E16" i="84"/>
  <c r="L4" i="84" s="1"/>
  <c r="D12" i="84"/>
  <c r="M29" i="84" s="1"/>
  <c r="G15" i="84"/>
  <c r="E15" i="84"/>
  <c r="D14" i="84"/>
  <c r="M26" i="84" s="1"/>
  <c r="E55" i="73"/>
  <c r="P135" i="53"/>
  <c r="G12" i="84" l="1"/>
  <c r="E12" i="84"/>
  <c r="L8" i="84" s="1"/>
  <c r="G14" i="84"/>
  <c r="E14" i="84"/>
  <c r="L5" i="84" s="1"/>
  <c r="G21" i="84"/>
  <c r="E21" i="84"/>
  <c r="P137" i="53"/>
  <c r="P161" i="53" l="1"/>
  <c r="A7" i="53"/>
  <c r="P162" i="53" l="1"/>
  <c r="A8" i="53"/>
  <c r="A9" i="53" s="1"/>
  <c r="A10" i="53" s="1"/>
  <c r="A11" i="53" s="1"/>
  <c r="A12" i="53" s="1"/>
  <c r="A13" i="53" s="1"/>
  <c r="A14" i="53" s="1"/>
  <c r="A15" i="53" s="1"/>
  <c r="A16" i="53" s="1"/>
  <c r="A17" i="53" s="1"/>
  <c r="A18" i="53" s="1"/>
  <c r="A19" i="53" s="1"/>
  <c r="A20" i="53" s="1"/>
  <c r="A21" i="53" s="1"/>
  <c r="A22" i="53" s="1"/>
  <c r="A23" i="53" s="1"/>
  <c r="A24" i="53" s="1"/>
  <c r="A25" i="53" s="1"/>
  <c r="A26" i="53" s="1"/>
  <c r="A27" i="53" s="1"/>
  <c r="A29" i="53" s="1"/>
  <c r="A32" i="53" s="1"/>
  <c r="A33" i="53" s="1"/>
  <c r="A34" i="53" s="1"/>
  <c r="A35" i="53" s="1"/>
  <c r="A36" i="53" s="1"/>
  <c r="A37" i="53" s="1"/>
  <c r="A38" i="53" s="1"/>
  <c r="A39" i="53" s="1"/>
  <c r="A40" i="53" s="1"/>
  <c r="A41" i="53" s="1"/>
  <c r="A42" i="53" s="1"/>
  <c r="A43" i="53" s="1"/>
  <c r="A44" i="53" s="1"/>
  <c r="A45" i="53" s="1"/>
  <c r="A46" i="53" s="1"/>
  <c r="A47" i="53" s="1"/>
  <c r="A48" i="53" s="1"/>
  <c r="A49" i="53" s="1"/>
  <c r="A50" i="53" s="1"/>
  <c r="A51" i="53" s="1"/>
  <c r="A52" i="53" s="1"/>
  <c r="A53" i="53" s="1"/>
  <c r="A55" i="53" s="1"/>
  <c r="A57" i="53" s="1"/>
  <c r="A58" i="53" s="1"/>
  <c r="A59" i="53" s="1"/>
  <c r="A60" i="53" s="1"/>
  <c r="A61" i="53" s="1"/>
  <c r="A62" i="53" s="1"/>
  <c r="A63" i="53" s="1"/>
  <c r="A64" i="53" s="1"/>
  <c r="A65" i="53" s="1"/>
  <c r="A66" i="53" s="1"/>
  <c r="A67" i="53" s="1"/>
  <c r="A68" i="53" s="1"/>
  <c r="A69" i="53" s="1"/>
  <c r="A70" i="53" s="1"/>
  <c r="A72" i="53" s="1"/>
  <c r="A74" i="53" s="1"/>
  <c r="A75" i="53" s="1"/>
  <c r="A76" i="53" s="1"/>
  <c r="A77" i="53" s="1"/>
  <c r="A78" i="53" s="1"/>
  <c r="A79" i="53" s="1"/>
  <c r="A80" i="53" s="1"/>
  <c r="A81" i="53" s="1"/>
  <c r="A82" i="53" s="1"/>
  <c r="A84" i="53" s="1"/>
  <c r="A86" i="53" s="1"/>
  <c r="A87" i="53" s="1"/>
  <c r="A88" i="53" s="1"/>
  <c r="A89" i="53" s="1"/>
  <c r="A90" i="53" s="1"/>
  <c r="A91" i="53" s="1"/>
  <c r="A92" i="53" s="1"/>
  <c r="A93" i="53" s="1"/>
  <c r="A94" i="53" s="1"/>
  <c r="A95" i="53" s="1"/>
  <c r="A96" i="53" s="1"/>
  <c r="A97" i="53" s="1"/>
  <c r="A98" i="53" s="1"/>
  <c r="A99" i="53" s="1"/>
  <c r="A100" i="53" s="1"/>
  <c r="A101" i="53" s="1"/>
  <c r="A102" i="53" s="1"/>
  <c r="A103" i="53" s="1"/>
  <c r="A104" i="53" s="1"/>
  <c r="A105" i="53" s="1"/>
  <c r="A106" i="53" s="1"/>
  <c r="A107" i="53" s="1"/>
  <c r="A108" i="53" s="1"/>
  <c r="A109" i="53" s="1"/>
  <c r="A110" i="53" s="1"/>
  <c r="A111" i="53" s="1"/>
  <c r="A112" i="53" s="1"/>
  <c r="A113" i="53" s="1"/>
  <c r="A114" i="53" s="1"/>
  <c r="A115" i="53" s="1"/>
  <c r="A116" i="53" s="1"/>
  <c r="A117" i="53" s="1"/>
  <c r="A118" i="53" s="1"/>
  <c r="A119" i="53" s="1"/>
  <c r="A120" i="53" s="1"/>
  <c r="A121" i="53" s="1"/>
  <c r="A122" i="53" s="1"/>
  <c r="A123" i="53" s="1"/>
  <c r="A124" i="53" s="1"/>
  <c r="A125" i="53" s="1"/>
  <c r="A126" i="53" s="1"/>
  <c r="A127" i="53" s="1"/>
  <c r="A128" i="53" s="1"/>
  <c r="A129" i="53" s="1"/>
  <c r="A130" i="53" s="1"/>
  <c r="A131" i="53" s="1"/>
  <c r="A132" i="53" s="1"/>
  <c r="A133" i="53" s="1"/>
  <c r="A135" i="53" s="1"/>
  <c r="A137" i="53" s="1"/>
  <c r="A139" i="53" s="1"/>
  <c r="A140" i="53" s="1"/>
  <c r="A141" i="53" s="1"/>
  <c r="A142" i="53" s="1"/>
  <c r="A143" i="53" s="1"/>
  <c r="A144" i="53" s="1"/>
  <c r="A145" i="53" s="1"/>
  <c r="A146" i="53" s="1"/>
  <c r="A147" i="53" s="1"/>
  <c r="A148" i="53" s="1"/>
  <c r="A149" i="53" s="1"/>
  <c r="A150" i="53" s="1"/>
  <c r="A151" i="53" s="1"/>
  <c r="A152" i="53" s="1"/>
  <c r="A153" i="53" s="1"/>
  <c r="A154" i="53" s="1"/>
  <c r="A155" i="53" s="1"/>
  <c r="A157" i="53" s="1"/>
  <c r="A158" i="53" s="1"/>
  <c r="A159" i="53" s="1"/>
  <c r="A161" i="53" s="1"/>
  <c r="A162" i="53" s="1"/>
  <c r="P163" i="53" l="1"/>
  <c r="G55" i="73"/>
  <c r="D36" i="84" s="1"/>
  <c r="E56" i="73"/>
  <c r="G36" i="84" l="1"/>
  <c r="E36" i="84"/>
  <c r="E37" i="84" s="1"/>
  <c r="D37" i="84"/>
  <c r="E59" i="73"/>
  <c r="E61" i="73" s="1"/>
  <c r="E68" i="73" s="1"/>
  <c r="E73" i="73" s="1"/>
  <c r="G56" i="73"/>
  <c r="D28" i="70"/>
  <c r="G59" i="73" l="1"/>
  <c r="G61" i="73" s="1"/>
  <c r="G68" i="73" s="1"/>
  <c r="G73" i="73" s="1"/>
  <c r="D40" i="84"/>
  <c r="G37" i="84"/>
  <c r="G40" i="84" l="1"/>
  <c r="D49" i="84"/>
  <c r="E40" i="84"/>
  <c r="D47" i="84"/>
  <c r="F28" i="70"/>
  <c r="F33" i="70" s="1"/>
  <c r="E49" i="84" l="1"/>
  <c r="L11" i="84" s="1"/>
  <c r="M31" i="84"/>
  <c r="D51" i="84"/>
  <c r="E47" i="84"/>
  <c r="G47" i="84"/>
  <c r="D33" i="70"/>
  <c r="D35" i="70" s="1"/>
  <c r="E51" i="84" l="1"/>
  <c r="D53" i="84"/>
  <c r="M30" i="84"/>
  <c r="M32" i="84" s="1"/>
  <c r="L12" i="84"/>
  <c r="L9" i="84"/>
  <c r="C8" i="74"/>
  <c r="F35" i="70"/>
  <c r="L13" i="84" l="1"/>
  <c r="C11" i="74"/>
  <c r="C10" i="74"/>
  <c r="C15" i="74"/>
  <c r="C12" i="74" l="1"/>
  <c r="C17" i="74" s="1"/>
  <c r="C21" i="74" s="1"/>
  <c r="C23" i="74" s="1"/>
  <c r="C25" i="74" s="1"/>
  <c r="M12" i="84" l="1"/>
  <c r="M3" i="84" s="1"/>
  <c r="E9" i="80"/>
  <c r="I258" i="76" s="1"/>
  <c r="E10" i="80"/>
  <c r="J258" i="76" s="1"/>
  <c r="J331" i="76" l="1"/>
  <c r="N331" i="76" s="1"/>
  <c r="J321" i="76"/>
  <c r="N321" i="76" s="1"/>
  <c r="J471" i="76"/>
  <c r="N471" i="76" s="1"/>
  <c r="J359" i="76"/>
  <c r="N359" i="76" s="1"/>
  <c r="J370" i="76"/>
  <c r="N370" i="76" s="1"/>
  <c r="J371" i="76"/>
  <c r="N371" i="76" s="1"/>
  <c r="J415" i="76"/>
  <c r="N415" i="76" s="1"/>
  <c r="J468" i="76"/>
  <c r="N468" i="76" s="1"/>
  <c r="J469" i="76"/>
  <c r="N469" i="76" s="1"/>
  <c r="J322" i="76"/>
  <c r="N322" i="76" s="1"/>
  <c r="J495" i="76"/>
  <c r="N495" i="76" s="1"/>
  <c r="J277" i="76"/>
  <c r="N277" i="76" s="1"/>
  <c r="J416" i="76"/>
  <c r="N416" i="76" s="1"/>
  <c r="J279" i="76"/>
  <c r="N279" i="76" s="1"/>
  <c r="J306" i="76"/>
  <c r="N306" i="76" s="1"/>
  <c r="J311" i="76"/>
  <c r="N311" i="76" s="1"/>
  <c r="J366" i="76"/>
  <c r="N366" i="76" s="1"/>
  <c r="J379" i="76"/>
  <c r="N379" i="76" s="1"/>
  <c r="J397" i="76"/>
  <c r="N397" i="76" s="1"/>
  <c r="J274" i="76"/>
  <c r="N274" i="76" s="1"/>
  <c r="J411" i="76"/>
  <c r="N411" i="76" s="1"/>
  <c r="J276" i="76"/>
  <c r="N276" i="76" s="1"/>
  <c r="J413" i="76"/>
  <c r="N413" i="76" s="1"/>
  <c r="J278" i="76"/>
  <c r="N278" i="76" s="1"/>
  <c r="J452" i="76"/>
  <c r="N452" i="76" s="1"/>
  <c r="J454" i="76"/>
  <c r="N454" i="76" s="1"/>
  <c r="J314" i="76"/>
  <c r="N314" i="76" s="1"/>
  <c r="J320" i="76"/>
  <c r="N320" i="76" s="1"/>
  <c r="J432" i="76"/>
  <c r="N432" i="76" s="1"/>
  <c r="J328" i="76"/>
  <c r="N328" i="76" s="1"/>
  <c r="J361" i="76"/>
  <c r="N361" i="76" s="1"/>
  <c r="J380" i="76"/>
  <c r="N380" i="76" s="1"/>
  <c r="J271" i="76"/>
  <c r="N271" i="76" s="1"/>
  <c r="J466" i="76"/>
  <c r="N466" i="76" s="1"/>
  <c r="J307" i="76"/>
  <c r="N307" i="76" s="1"/>
  <c r="J419" i="76"/>
  <c r="N419" i="76" s="1"/>
  <c r="J417" i="76"/>
  <c r="N417" i="76" s="1"/>
  <c r="J293" i="76"/>
  <c r="N293" i="76" s="1"/>
  <c r="J400" i="76"/>
  <c r="N400" i="76" s="1"/>
  <c r="J344" i="76"/>
  <c r="N344" i="76" s="1"/>
  <c r="J377" i="76"/>
  <c r="N377" i="76" s="1"/>
  <c r="J396" i="76"/>
  <c r="N396" i="76" s="1"/>
  <c r="J447" i="76"/>
  <c r="N447" i="76" s="1"/>
  <c r="J288" i="76"/>
  <c r="N288" i="76" s="1"/>
  <c r="J481" i="76"/>
  <c r="N481" i="76" s="1"/>
  <c r="J334" i="76"/>
  <c r="N334" i="76" s="1"/>
  <c r="J358" i="76"/>
  <c r="N358" i="76" s="1"/>
  <c r="J475" i="76"/>
  <c r="N475" i="76" s="1"/>
  <c r="J420" i="76"/>
  <c r="N420" i="76" s="1"/>
  <c r="J317" i="76"/>
  <c r="N317" i="76" s="1"/>
  <c r="J392" i="76"/>
  <c r="N392" i="76" s="1"/>
  <c r="J425" i="76"/>
  <c r="N425" i="76" s="1"/>
  <c r="J444" i="76"/>
  <c r="N444" i="76" s="1"/>
  <c r="J387" i="76"/>
  <c r="N387" i="76" s="1"/>
  <c r="J443" i="76"/>
  <c r="N443" i="76" s="1"/>
  <c r="J421" i="76"/>
  <c r="N421" i="76" s="1"/>
  <c r="J273" i="76"/>
  <c r="N273" i="76" s="1"/>
  <c r="J479" i="76"/>
  <c r="N479" i="76" s="1"/>
  <c r="J478" i="76"/>
  <c r="N478" i="76" s="1"/>
  <c r="J477" i="76"/>
  <c r="N477" i="76" s="1"/>
  <c r="J423" i="76"/>
  <c r="N423" i="76" s="1"/>
  <c r="J381" i="76"/>
  <c r="N381" i="76" s="1"/>
  <c r="J470" i="76"/>
  <c r="N470" i="76" s="1"/>
  <c r="J287" i="76"/>
  <c r="N287" i="76" s="1"/>
  <c r="J408" i="76"/>
  <c r="N408" i="76" s="1"/>
  <c r="J441" i="76"/>
  <c r="N441" i="76" s="1"/>
  <c r="J460" i="76"/>
  <c r="N460" i="76" s="1"/>
  <c r="J486" i="76"/>
  <c r="N486" i="76" s="1"/>
  <c r="J368" i="76"/>
  <c r="N368" i="76" s="1"/>
  <c r="J480" i="76"/>
  <c r="N480" i="76" s="1"/>
  <c r="J437" i="76"/>
  <c r="N437" i="76" s="1"/>
  <c r="J436" i="76"/>
  <c r="N436" i="76" s="1"/>
  <c r="J430" i="76"/>
  <c r="N430" i="76" s="1"/>
  <c r="J385" i="76"/>
  <c r="N385" i="76" s="1"/>
  <c r="J335" i="76"/>
  <c r="N335" i="76" s="1"/>
  <c r="J438" i="76"/>
  <c r="N438" i="76" s="1"/>
  <c r="J491" i="76"/>
  <c r="N491" i="76" s="1"/>
  <c r="J424" i="76"/>
  <c r="N424" i="76" s="1"/>
  <c r="J457" i="76"/>
  <c r="N457" i="76" s="1"/>
  <c r="J476" i="76"/>
  <c r="N476" i="76" s="1"/>
  <c r="J467" i="76"/>
  <c r="N467" i="76" s="1"/>
  <c r="J349" i="76"/>
  <c r="N349" i="76" s="1"/>
  <c r="J403" i="76"/>
  <c r="N403" i="76" s="1"/>
  <c r="J383" i="76"/>
  <c r="N383" i="76" s="1"/>
  <c r="J448" i="76"/>
  <c r="N448" i="76" s="1"/>
  <c r="J483" i="76"/>
  <c r="N483" i="76" s="1"/>
  <c r="J439" i="76"/>
  <c r="N439" i="76" s="1"/>
  <c r="J391" i="76"/>
  <c r="N391" i="76" s="1"/>
  <c r="J390" i="76"/>
  <c r="N390" i="76" s="1"/>
  <c r="J389" i="76"/>
  <c r="N389" i="76" s="1"/>
  <c r="J336" i="76"/>
  <c r="N336" i="76" s="1"/>
  <c r="J282" i="76"/>
  <c r="N282" i="76" s="1"/>
  <c r="J414" i="76"/>
  <c r="N414" i="76" s="1"/>
  <c r="J459" i="76"/>
  <c r="N459" i="76" s="1"/>
  <c r="J434" i="76"/>
  <c r="N434" i="76" s="1"/>
  <c r="J487" i="76"/>
  <c r="N487" i="76" s="1"/>
  <c r="J440" i="76"/>
  <c r="N440" i="76" s="1"/>
  <c r="J473" i="76"/>
  <c r="N473" i="76" s="1"/>
  <c r="J492" i="76"/>
  <c r="N492" i="76" s="1"/>
  <c r="J327" i="76"/>
  <c r="N327" i="76" s="1"/>
  <c r="J275" i="76"/>
  <c r="N275" i="76" s="1"/>
  <c r="J418" i="76"/>
  <c r="N418" i="76" s="1"/>
  <c r="J338" i="76"/>
  <c r="N338" i="76" s="1"/>
  <c r="J461" i="76"/>
  <c r="N461" i="76" s="1"/>
  <c r="J296" i="76"/>
  <c r="N296" i="76" s="1"/>
  <c r="J284" i="76"/>
  <c r="N284" i="76" s="1"/>
  <c r="J270" i="76"/>
  <c r="N270" i="76" s="1"/>
  <c r="J482" i="76"/>
  <c r="N482" i="76" s="1"/>
  <c r="J333" i="76"/>
  <c r="N333" i="76" s="1"/>
  <c r="J299" i="76"/>
  <c r="N299" i="76" s="1"/>
  <c r="J404" i="76"/>
  <c r="N404" i="76" s="1"/>
  <c r="J312" i="76"/>
  <c r="N312" i="76" s="1"/>
  <c r="J300" i="76"/>
  <c r="N300" i="76" s="1"/>
  <c r="J463" i="76"/>
  <c r="N463" i="76" s="1"/>
  <c r="J445" i="76"/>
  <c r="N445" i="76" s="1"/>
  <c r="J375" i="76"/>
  <c r="N375" i="76" s="1"/>
  <c r="J292" i="76"/>
  <c r="N292" i="76" s="1"/>
  <c r="J360" i="76"/>
  <c r="N360" i="76" s="1"/>
  <c r="J316" i="76"/>
  <c r="N316" i="76" s="1"/>
  <c r="J429" i="76"/>
  <c r="N429" i="76" s="1"/>
  <c r="J422" i="76"/>
  <c r="N422" i="76" s="1"/>
  <c r="J451" i="76"/>
  <c r="N451" i="76" s="1"/>
  <c r="J395" i="76"/>
  <c r="N395" i="76" s="1"/>
  <c r="J319" i="76"/>
  <c r="N319" i="76" s="1"/>
  <c r="J376" i="76"/>
  <c r="N376" i="76" s="1"/>
  <c r="J332" i="76"/>
  <c r="N332" i="76" s="1"/>
  <c r="J407" i="76"/>
  <c r="N407" i="76" s="1"/>
  <c r="J484" i="76"/>
  <c r="N484" i="76" s="1"/>
  <c r="J384" i="76"/>
  <c r="N384" i="76" s="1"/>
  <c r="J357" i="76"/>
  <c r="N357" i="76" s="1"/>
  <c r="J291" i="76"/>
  <c r="N291" i="76" s="1"/>
  <c r="J283" i="76"/>
  <c r="N283" i="76" s="1"/>
  <c r="J345" i="76"/>
  <c r="N345" i="76" s="1"/>
  <c r="J485" i="76"/>
  <c r="N485" i="76" s="1"/>
  <c r="J326" i="76"/>
  <c r="N326" i="76" s="1"/>
  <c r="J272" i="76"/>
  <c r="N272" i="76" s="1"/>
  <c r="J267" i="76"/>
  <c r="N267" i="76" s="1"/>
  <c r="J474" i="76"/>
  <c r="N474" i="76" s="1"/>
  <c r="J409" i="76"/>
  <c r="N409" i="76" s="1"/>
  <c r="J406" i="76"/>
  <c r="N406" i="76" s="1"/>
  <c r="J362" i="76"/>
  <c r="N362" i="76" s="1"/>
  <c r="J449" i="76"/>
  <c r="N449" i="76" s="1"/>
  <c r="J354" i="76"/>
  <c r="N354" i="76" s="1"/>
  <c r="J294" i="76"/>
  <c r="N294" i="76" s="1"/>
  <c r="J494" i="76"/>
  <c r="N494" i="76" s="1"/>
  <c r="J456" i="76"/>
  <c r="N456" i="76" s="1"/>
  <c r="J348" i="76"/>
  <c r="N348" i="76" s="1"/>
  <c r="J388" i="76"/>
  <c r="N388" i="76" s="1"/>
  <c r="J465" i="76"/>
  <c r="N465" i="76" s="1"/>
  <c r="J365" i="76"/>
  <c r="N365" i="76" s="1"/>
  <c r="J462" i="76"/>
  <c r="N462" i="76" s="1"/>
  <c r="J339" i="76"/>
  <c r="N339" i="76" s="1"/>
  <c r="J433" i="76"/>
  <c r="N433" i="76" s="1"/>
  <c r="J431" i="76"/>
  <c r="N431" i="76" s="1"/>
  <c r="J488" i="76"/>
  <c r="N488" i="76" s="1"/>
  <c r="J350" i="76"/>
  <c r="N350" i="76" s="1"/>
  <c r="J324" i="76"/>
  <c r="N324" i="76" s="1"/>
  <c r="J398" i="76"/>
  <c r="N398" i="76" s="1"/>
  <c r="J356" i="76"/>
  <c r="N356" i="76" s="1"/>
  <c r="J303" i="76"/>
  <c r="N303" i="76" s="1"/>
  <c r="J464" i="76"/>
  <c r="N464" i="76" s="1"/>
  <c r="J455" i="76"/>
  <c r="N455" i="76" s="1"/>
  <c r="J472" i="76"/>
  <c r="N472" i="76" s="1"/>
  <c r="J364" i="76"/>
  <c r="N364" i="76" s="1"/>
  <c r="J369" i="76"/>
  <c r="N369" i="76" s="1"/>
  <c r="J446" i="76"/>
  <c r="N446" i="76" s="1"/>
  <c r="J343" i="76"/>
  <c r="N343" i="76" s="1"/>
  <c r="J442" i="76"/>
  <c r="N442" i="76" s="1"/>
  <c r="J435" i="76"/>
  <c r="N435" i="76" s="1"/>
  <c r="J412" i="76"/>
  <c r="N412" i="76" s="1"/>
  <c r="J426" i="76"/>
  <c r="N426" i="76" s="1"/>
  <c r="J402" i="76"/>
  <c r="N402" i="76" s="1"/>
  <c r="J302" i="76"/>
  <c r="N302" i="76" s="1"/>
  <c r="J301" i="76"/>
  <c r="N301" i="76" s="1"/>
  <c r="J410" i="76"/>
  <c r="N410" i="76" s="1"/>
  <c r="J401" i="76"/>
  <c r="N401" i="76" s="1"/>
  <c r="J490" i="76"/>
  <c r="N490" i="76" s="1"/>
  <c r="J399" i="76"/>
  <c r="N399" i="76" s="1"/>
  <c r="J281" i="76"/>
  <c r="N281" i="76" s="1"/>
  <c r="J428" i="76"/>
  <c r="N428" i="76" s="1"/>
  <c r="J330" i="76"/>
  <c r="N330" i="76" s="1"/>
  <c r="J405" i="76"/>
  <c r="N405" i="76" s="1"/>
  <c r="J305" i="76"/>
  <c r="N305" i="76" s="1"/>
  <c r="J363" i="76"/>
  <c r="N363" i="76" s="1"/>
  <c r="J352" i="76"/>
  <c r="N352" i="76" s="1"/>
  <c r="J340" i="76"/>
  <c r="N340" i="76" s="1"/>
  <c r="J313" i="76"/>
  <c r="N313" i="76" s="1"/>
  <c r="J290" i="76"/>
  <c r="N290" i="76" s="1"/>
  <c r="J337" i="76"/>
  <c r="N337" i="76" s="1"/>
  <c r="J325" i="76"/>
  <c r="N325" i="76" s="1"/>
  <c r="J318" i="76"/>
  <c r="N318" i="76" s="1"/>
  <c r="J315" i="76"/>
  <c r="N315" i="76" s="1"/>
  <c r="J329" i="76"/>
  <c r="N329" i="76" s="1"/>
  <c r="J295" i="76"/>
  <c r="N295" i="76" s="1"/>
  <c r="J310" i="76"/>
  <c r="N310" i="76" s="1"/>
  <c r="J394" i="76"/>
  <c r="N394" i="76" s="1"/>
  <c r="J269" i="76"/>
  <c r="N269" i="76" s="1"/>
  <c r="J353" i="76"/>
  <c r="N353" i="76" s="1"/>
  <c r="J493" i="76"/>
  <c r="N493" i="76" s="1"/>
  <c r="J280" i="76"/>
  <c r="N280" i="76" s="1"/>
  <c r="J266" i="76"/>
  <c r="N266" i="76" s="1"/>
  <c r="J382" i="76"/>
  <c r="N382" i="76" s="1"/>
  <c r="J378" i="76"/>
  <c r="N378" i="76" s="1"/>
  <c r="J374" i="76"/>
  <c r="N374" i="76" s="1"/>
  <c r="J458" i="76"/>
  <c r="N458" i="76" s="1"/>
  <c r="J372" i="76"/>
  <c r="N372" i="76" s="1"/>
  <c r="J297" i="76"/>
  <c r="N297" i="76" s="1"/>
  <c r="J309" i="76"/>
  <c r="N309" i="76" s="1"/>
  <c r="J386" i="76"/>
  <c r="N386" i="76" s="1"/>
  <c r="J286" i="76"/>
  <c r="N286" i="76" s="1"/>
  <c r="J342" i="76"/>
  <c r="N342" i="76" s="1"/>
  <c r="J450" i="76"/>
  <c r="N450" i="76" s="1"/>
  <c r="J355" i="76"/>
  <c r="N355" i="76" s="1"/>
  <c r="J346" i="76"/>
  <c r="N346" i="76" s="1"/>
  <c r="J373" i="76"/>
  <c r="N373" i="76" s="1"/>
  <c r="J367" i="76"/>
  <c r="N367" i="76" s="1"/>
  <c r="J323" i="76"/>
  <c r="N323" i="76" s="1"/>
  <c r="J341" i="76"/>
  <c r="N341" i="76" s="1"/>
  <c r="J347" i="76"/>
  <c r="N347" i="76" s="1"/>
  <c r="J304" i="76"/>
  <c r="N304" i="76" s="1"/>
  <c r="J298" i="76"/>
  <c r="N298" i="76" s="1"/>
  <c r="J285" i="76"/>
  <c r="N285" i="76" s="1"/>
  <c r="J393" i="76"/>
  <c r="N393" i="76" s="1"/>
  <c r="J427" i="76"/>
  <c r="N427" i="76" s="1"/>
  <c r="J453" i="76"/>
  <c r="N453" i="76" s="1"/>
  <c r="J351" i="76"/>
  <c r="N351" i="76" s="1"/>
  <c r="J489" i="76"/>
  <c r="N489" i="76" s="1"/>
  <c r="J308" i="76"/>
  <c r="N308" i="76" s="1"/>
  <c r="J268" i="76"/>
  <c r="N268" i="76" s="1"/>
  <c r="J289" i="76"/>
  <c r="N289" i="76" s="1"/>
  <c r="I263" i="76"/>
  <c r="I333" i="76"/>
  <c r="I317" i="76"/>
  <c r="I282" i="76"/>
  <c r="I382" i="76"/>
  <c r="I491" i="76"/>
  <c r="I489" i="76"/>
  <c r="I440" i="76"/>
  <c r="I386" i="76"/>
  <c r="I404" i="76"/>
  <c r="I466" i="76"/>
  <c r="I490" i="76"/>
  <c r="I416" i="76"/>
  <c r="I344" i="76"/>
  <c r="I276" i="76"/>
  <c r="I376" i="76"/>
  <c r="I303" i="76"/>
  <c r="I494" i="76"/>
  <c r="I288" i="76"/>
  <c r="I307" i="76"/>
  <c r="I267" i="76"/>
  <c r="I334" i="76"/>
  <c r="I418" i="76"/>
  <c r="I452" i="76"/>
  <c r="I451" i="76"/>
  <c r="I449" i="76"/>
  <c r="I387" i="76"/>
  <c r="I338" i="76"/>
  <c r="I370" i="76"/>
  <c r="I432" i="76"/>
  <c r="I456" i="76"/>
  <c r="I398" i="76"/>
  <c r="I327" i="76"/>
  <c r="I359" i="76"/>
  <c r="I319" i="76"/>
  <c r="I460" i="76"/>
  <c r="I268" i="76"/>
  <c r="I289" i="76"/>
  <c r="I280" i="76"/>
  <c r="I372" i="76"/>
  <c r="I316" i="76"/>
  <c r="I380" i="76"/>
  <c r="I337" i="76"/>
  <c r="I468" i="76"/>
  <c r="I406" i="76"/>
  <c r="I352" i="76"/>
  <c r="I302" i="76"/>
  <c r="I300" i="76"/>
  <c r="I299" i="76"/>
  <c r="I264" i="76"/>
  <c r="I469" i="76"/>
  <c r="I329" i="76"/>
  <c r="I354" i="76"/>
  <c r="I347" i="76"/>
  <c r="I274" i="76"/>
  <c r="I445" i="76"/>
  <c r="I308" i="76"/>
  <c r="I367" i="76"/>
  <c r="I493" i="76"/>
  <c r="I475" i="76"/>
  <c r="I471" i="76"/>
  <c r="I455" i="76"/>
  <c r="I417" i="76"/>
  <c r="I353" i="76"/>
  <c r="I304" i="76"/>
  <c r="I435" i="76"/>
  <c r="I295" i="76"/>
  <c r="I320" i="76"/>
  <c r="I330" i="76"/>
  <c r="I428" i="76"/>
  <c r="I290" i="76"/>
  <c r="I434" i="76"/>
  <c r="I365" i="76"/>
  <c r="I414" i="76"/>
  <c r="I368" i="76"/>
  <c r="I312" i="76"/>
  <c r="I401" i="76"/>
  <c r="I284" i="76"/>
  <c r="I313" i="76"/>
  <c r="I411" i="76"/>
  <c r="I448" i="76"/>
  <c r="I270" i="76"/>
  <c r="I399" i="76"/>
  <c r="I459" i="76"/>
  <c r="I441" i="76"/>
  <c r="I436" i="76"/>
  <c r="I421" i="76"/>
  <c r="I314" i="76"/>
  <c r="I485" i="76"/>
  <c r="I315" i="76"/>
  <c r="I366" i="76"/>
  <c r="I296" i="76"/>
  <c r="I394" i="76"/>
  <c r="I396" i="76"/>
  <c r="I310" i="76"/>
  <c r="I482" i="76"/>
  <c r="I393" i="76"/>
  <c r="I495" i="76"/>
  <c r="I339" i="76"/>
  <c r="I369" i="76"/>
  <c r="I454" i="76"/>
  <c r="I488" i="76"/>
  <c r="I457" i="76"/>
  <c r="I293" i="76"/>
  <c r="I430" i="76"/>
  <c r="I342" i="76"/>
  <c r="I272" i="76"/>
  <c r="I477" i="76"/>
  <c r="I322" i="76"/>
  <c r="I470" i="76"/>
  <c r="I346" i="76"/>
  <c r="I332" i="76"/>
  <c r="I423" i="76"/>
  <c r="I379" i="76"/>
  <c r="I480" i="76"/>
  <c r="I325" i="76"/>
  <c r="I275" i="76"/>
  <c r="I443" i="76"/>
  <c r="I305" i="76"/>
  <c r="I437" i="76"/>
  <c r="I297" i="76"/>
  <c r="I298" i="76"/>
  <c r="I389" i="76"/>
  <c r="I422" i="76"/>
  <c r="I328" i="76"/>
  <c r="I462" i="76"/>
  <c r="I291" i="76"/>
  <c r="I426" i="76"/>
  <c r="I286" i="76"/>
  <c r="I453" i="76"/>
  <c r="I383" i="76"/>
  <c r="I405" i="76"/>
  <c r="I439" i="76"/>
  <c r="I429" i="76"/>
  <c r="I374" i="76"/>
  <c r="I424" i="76"/>
  <c r="I420" i="76"/>
  <c r="I461" i="76"/>
  <c r="I357" i="76"/>
  <c r="I340" i="76"/>
  <c r="I311" i="76"/>
  <c r="I378" i="76"/>
  <c r="I427" i="76"/>
  <c r="I463" i="76"/>
  <c r="I277" i="76"/>
  <c r="I403" i="76"/>
  <c r="I472" i="76"/>
  <c r="I397" i="76"/>
  <c r="I355" i="76"/>
  <c r="I388" i="76"/>
  <c r="I484" i="76"/>
  <c r="I377" i="76"/>
  <c r="I392" i="76"/>
  <c r="I409" i="76"/>
  <c r="I336" i="76"/>
  <c r="I271" i="76"/>
  <c r="I402" i="76"/>
  <c r="I473" i="76"/>
  <c r="I483" i="76"/>
  <c r="I350" i="76"/>
  <c r="I438" i="76"/>
  <c r="I363" i="76"/>
  <c r="I321" i="76"/>
  <c r="I467" i="76"/>
  <c r="I360" i="76"/>
  <c r="I324" i="76"/>
  <c r="I375" i="76"/>
  <c r="I474" i="76"/>
  <c r="I285" i="76"/>
  <c r="I450" i="76"/>
  <c r="I343" i="76"/>
  <c r="I476" i="76"/>
  <c r="I358" i="76"/>
  <c r="I265" i="76"/>
  <c r="I301" i="76"/>
  <c r="I433" i="76"/>
  <c r="I326" i="76"/>
  <c r="I287" i="76"/>
  <c r="I442" i="76"/>
  <c r="I341" i="76"/>
  <c r="I279" i="76"/>
  <c r="I348" i="76"/>
  <c r="I345" i="76"/>
  <c r="I351" i="76"/>
  <c r="I486" i="76"/>
  <c r="I294" i="76"/>
  <c r="I385" i="76"/>
  <c r="I478" i="76"/>
  <c r="I283" i="76"/>
  <c r="I413" i="76"/>
  <c r="I412" i="76"/>
  <c r="I431" i="76"/>
  <c r="I407" i="76"/>
  <c r="I318" i="76"/>
  <c r="I362" i="76"/>
  <c r="I444" i="76"/>
  <c r="I384" i="76"/>
  <c r="I373" i="76"/>
  <c r="I281" i="76"/>
  <c r="I266" i="76"/>
  <c r="I400" i="76"/>
  <c r="I381" i="76"/>
  <c r="I481" i="76"/>
  <c r="I309" i="76"/>
  <c r="I335" i="76"/>
  <c r="I425" i="76"/>
  <c r="I269" i="76"/>
  <c r="I419" i="76"/>
  <c r="I364" i="76"/>
  <c r="I464" i="76"/>
  <c r="I292" i="76"/>
  <c r="I408" i="76"/>
  <c r="I492" i="76"/>
  <c r="I371" i="76"/>
  <c r="I487" i="76"/>
  <c r="I278" i="76"/>
  <c r="I446" i="76"/>
  <c r="I273" i="76"/>
  <c r="I391" i="76"/>
  <c r="I458" i="76"/>
  <c r="I331" i="76"/>
  <c r="I465" i="76"/>
  <c r="I415" i="76"/>
  <c r="I395" i="76"/>
  <c r="I447" i="76"/>
  <c r="I390" i="76"/>
  <c r="I323" i="76"/>
  <c r="I349" i="76"/>
  <c r="I479" i="76"/>
  <c r="I306" i="76"/>
  <c r="I361" i="76"/>
  <c r="I356" i="76"/>
  <c r="I410" i="76"/>
  <c r="E11" i="80"/>
  <c r="G10" i="80"/>
  <c r="F10" i="80"/>
  <c r="M381" i="76" l="1"/>
  <c r="M446" i="76"/>
  <c r="M356" i="76"/>
  <c r="M374" i="76"/>
  <c r="M306" i="76"/>
  <c r="M371" i="76"/>
  <c r="M373" i="76"/>
  <c r="M348" i="76"/>
  <c r="M324" i="76"/>
  <c r="M388" i="76"/>
  <c r="M429" i="76"/>
  <c r="M443" i="76"/>
  <c r="M488" i="76"/>
  <c r="M436" i="76"/>
  <c r="M428" i="76"/>
  <c r="M347" i="76"/>
  <c r="M289" i="76"/>
  <c r="M334" i="76"/>
  <c r="M491" i="76"/>
  <c r="M410" i="76"/>
  <c r="M392" i="76"/>
  <c r="M365" i="76"/>
  <c r="M316" i="76"/>
  <c r="M386" i="76"/>
  <c r="M293" i="76"/>
  <c r="M375" i="76"/>
  <c r="M457" i="76"/>
  <c r="M280" i="76"/>
  <c r="M418" i="76"/>
  <c r="M279" i="76"/>
  <c r="M268" i="76"/>
  <c r="M369" i="76"/>
  <c r="M399" i="76"/>
  <c r="M317" i="76"/>
  <c r="N496" i="76"/>
  <c r="G11" i="80"/>
  <c r="K258" i="76"/>
  <c r="M297" i="76"/>
  <c r="M377" i="76"/>
  <c r="M281" i="76"/>
  <c r="M439" i="76"/>
  <c r="M495" i="76"/>
  <c r="M494" i="76"/>
  <c r="M333" i="76"/>
  <c r="M342" i="76"/>
  <c r="M430" i="76"/>
  <c r="M484" i="76"/>
  <c r="M354" i="76"/>
  <c r="M325" i="76"/>
  <c r="M288" i="76"/>
  <c r="M364" i="76"/>
  <c r="M423" i="76"/>
  <c r="M393" i="76"/>
  <c r="M448" i="76"/>
  <c r="M304" i="76"/>
  <c r="M299" i="76"/>
  <c r="M327" i="76"/>
  <c r="M303" i="76"/>
  <c r="M263" i="76"/>
  <c r="L263" i="76"/>
  <c r="F512" i="76" s="1"/>
  <c r="M461" i="76"/>
  <c r="M400" i="76"/>
  <c r="M487" i="76"/>
  <c r="M441" i="76"/>
  <c r="M329" i="76"/>
  <c r="M292" i="76"/>
  <c r="M295" i="76"/>
  <c r="M318" i="76"/>
  <c r="M463" i="76"/>
  <c r="M300" i="76"/>
  <c r="M294" i="76"/>
  <c r="M420" i="76"/>
  <c r="M424" i="76"/>
  <c r="M345" i="76"/>
  <c r="M275" i="76"/>
  <c r="M341" i="76"/>
  <c r="M282" i="76"/>
  <c r="M442" i="76"/>
  <c r="M480" i="76"/>
  <c r="M379" i="76"/>
  <c r="M427" i="76"/>
  <c r="M298" i="76"/>
  <c r="M485" i="76"/>
  <c r="M360" i="76"/>
  <c r="M349" i="76"/>
  <c r="M383" i="76"/>
  <c r="M270" i="76"/>
  <c r="M326" i="76"/>
  <c r="M426" i="76"/>
  <c r="M462" i="76"/>
  <c r="M273" i="76"/>
  <c r="M380" i="76"/>
  <c r="M285" i="76"/>
  <c r="M351" i="76"/>
  <c r="M314" i="76"/>
  <c r="M452" i="76"/>
  <c r="M290" i="76"/>
  <c r="M384" i="76"/>
  <c r="M355" i="76"/>
  <c r="M330" i="76"/>
  <c r="M267" i="76"/>
  <c r="M382" i="76"/>
  <c r="M408" i="76"/>
  <c r="M397" i="76"/>
  <c r="M320" i="76"/>
  <c r="M321" i="76"/>
  <c r="M469" i="76"/>
  <c r="M464" i="76"/>
  <c r="M403" i="76"/>
  <c r="M264" i="76"/>
  <c r="P264" i="76" s="1"/>
  <c r="L264" i="76"/>
  <c r="F513" i="76" s="1"/>
  <c r="M447" i="76"/>
  <c r="M277" i="76"/>
  <c r="M431" i="76"/>
  <c r="M482" i="76"/>
  <c r="M398" i="76"/>
  <c r="M412" i="76"/>
  <c r="M313" i="76"/>
  <c r="M265" i="76"/>
  <c r="P265" i="76" s="1"/>
  <c r="L265" i="76"/>
  <c r="F514" i="76" s="1"/>
  <c r="M396" i="76"/>
  <c r="M352" i="76"/>
  <c r="M331" i="76"/>
  <c r="M335" i="76"/>
  <c r="M283" i="76"/>
  <c r="M358" i="76"/>
  <c r="M402" i="76"/>
  <c r="M311" i="76"/>
  <c r="M328" i="76"/>
  <c r="M322" i="76"/>
  <c r="M394" i="76"/>
  <c r="M401" i="76"/>
  <c r="M471" i="76"/>
  <c r="M406" i="76"/>
  <c r="M370" i="76"/>
  <c r="M416" i="76"/>
  <c r="M450" i="76"/>
  <c r="M414" i="76"/>
  <c r="M404" i="76"/>
  <c r="M308" i="76"/>
  <c r="M278" i="76"/>
  <c r="M474" i="76"/>
  <c r="M437" i="76"/>
  <c r="M434" i="76"/>
  <c r="M372" i="76"/>
  <c r="M440" i="76"/>
  <c r="M421" i="76"/>
  <c r="M479" i="76"/>
  <c r="M454" i="76"/>
  <c r="M444" i="76"/>
  <c r="M467" i="76"/>
  <c r="M405" i="76"/>
  <c r="M459" i="76"/>
  <c r="M307" i="76"/>
  <c r="M323" i="76"/>
  <c r="M319" i="76"/>
  <c r="M390" i="76"/>
  <c r="M287" i="76"/>
  <c r="M453" i="76"/>
  <c r="M435" i="76"/>
  <c r="M286" i="76"/>
  <c r="M395" i="76"/>
  <c r="M350" i="76"/>
  <c r="M353" i="76"/>
  <c r="M483" i="76"/>
  <c r="M465" i="76"/>
  <c r="M413" i="76"/>
  <c r="M473" i="76"/>
  <c r="M470" i="76"/>
  <c r="M455" i="76"/>
  <c r="M432" i="76"/>
  <c r="M309" i="76"/>
  <c r="M476" i="76"/>
  <c r="M340" i="76"/>
  <c r="M422" i="76"/>
  <c r="M477" i="76"/>
  <c r="M296" i="76"/>
  <c r="M312" i="76"/>
  <c r="M475" i="76"/>
  <c r="M468" i="76"/>
  <c r="M338" i="76"/>
  <c r="M490" i="76"/>
  <c r="M409" i="76"/>
  <c r="M315" i="76"/>
  <c r="M367" i="76"/>
  <c r="M449" i="76"/>
  <c r="M486" i="76"/>
  <c r="M451" i="76"/>
  <c r="M266" i="76"/>
  <c r="M445" i="76"/>
  <c r="M361" i="76"/>
  <c r="M305" i="76"/>
  <c r="M274" i="76"/>
  <c r="M489" i="76"/>
  <c r="M492" i="76"/>
  <c r="M460" i="76"/>
  <c r="M362" i="76"/>
  <c r="M472" i="76"/>
  <c r="M339" i="76"/>
  <c r="M363" i="76"/>
  <c r="M359" i="76"/>
  <c r="M407" i="76"/>
  <c r="M438" i="76"/>
  <c r="M419" i="76"/>
  <c r="M433" i="76"/>
  <c r="M332" i="76"/>
  <c r="M411" i="76"/>
  <c r="M376" i="76"/>
  <c r="M415" i="76"/>
  <c r="M269" i="76"/>
  <c r="M301" i="76"/>
  <c r="M291" i="76"/>
  <c r="M346" i="76"/>
  <c r="M310" i="76"/>
  <c r="M417" i="76"/>
  <c r="M302" i="76"/>
  <c r="M456" i="76"/>
  <c r="M276" i="76"/>
  <c r="M425" i="76"/>
  <c r="M378" i="76"/>
  <c r="M284" i="76"/>
  <c r="M344" i="76"/>
  <c r="M458" i="76"/>
  <c r="M478" i="76"/>
  <c r="M271" i="76"/>
  <c r="M391" i="76"/>
  <c r="M481" i="76"/>
  <c r="M385" i="76"/>
  <c r="M343" i="76"/>
  <c r="M336" i="76"/>
  <c r="M357" i="76"/>
  <c r="M389" i="76"/>
  <c r="M272" i="76"/>
  <c r="M366" i="76"/>
  <c r="M368" i="76"/>
  <c r="M493" i="76"/>
  <c r="M337" i="76"/>
  <c r="M387" i="76"/>
  <c r="M466" i="76"/>
  <c r="F11" i="80"/>
  <c r="G9" i="80"/>
  <c r="F9" i="80"/>
  <c r="H514" i="76" l="1"/>
  <c r="G514" i="76"/>
  <c r="H513" i="76"/>
  <c r="G513" i="76"/>
  <c r="K305" i="76"/>
  <c r="K292" i="76"/>
  <c r="K425" i="76"/>
  <c r="K331" i="76"/>
  <c r="K427" i="76"/>
  <c r="K453" i="76"/>
  <c r="K340" i="76"/>
  <c r="K384" i="76"/>
  <c r="K385" i="76"/>
  <c r="K413" i="76"/>
  <c r="K289" i="76"/>
  <c r="K291" i="76"/>
  <c r="K298" i="76"/>
  <c r="K426" i="76"/>
  <c r="K454" i="76"/>
  <c r="K424" i="76"/>
  <c r="K332" i="76"/>
  <c r="K451" i="76"/>
  <c r="K336" i="76"/>
  <c r="K344" i="76"/>
  <c r="K465" i="76"/>
  <c r="K348" i="76"/>
  <c r="K468" i="76"/>
  <c r="K368" i="76"/>
  <c r="K371" i="76"/>
  <c r="K375" i="76"/>
  <c r="K279" i="76"/>
  <c r="K419" i="76"/>
  <c r="K369" i="76"/>
  <c r="K327" i="76"/>
  <c r="K270" i="76"/>
  <c r="K387" i="76"/>
  <c r="K432" i="76"/>
  <c r="K457" i="76"/>
  <c r="K398" i="76"/>
  <c r="K431" i="76"/>
  <c r="K466" i="76"/>
  <c r="K380" i="76"/>
  <c r="K437" i="76"/>
  <c r="K416" i="76"/>
  <c r="K330" i="76"/>
  <c r="K273" i="76"/>
  <c r="K355" i="76"/>
  <c r="K406" i="76"/>
  <c r="K428" i="76"/>
  <c r="K481" i="76"/>
  <c r="K276" i="76"/>
  <c r="K414" i="76"/>
  <c r="K447" i="76"/>
  <c r="K482" i="76"/>
  <c r="K361" i="76"/>
  <c r="K417" i="76"/>
  <c r="K395" i="76"/>
  <c r="K390" i="76"/>
  <c r="K435" i="76"/>
  <c r="K315" i="76"/>
  <c r="K345" i="76"/>
  <c r="K422" i="76"/>
  <c r="K280" i="76"/>
  <c r="K462" i="76"/>
  <c r="K495" i="76"/>
  <c r="K301" i="76"/>
  <c r="K458" i="76"/>
  <c r="K358" i="76"/>
  <c r="K337" i="76"/>
  <c r="K308" i="76"/>
  <c r="K408" i="76"/>
  <c r="K288" i="76"/>
  <c r="K313" i="76"/>
  <c r="K403" i="76"/>
  <c r="K296" i="76"/>
  <c r="K478" i="76"/>
  <c r="K287" i="76"/>
  <c r="K378" i="76"/>
  <c r="K488" i="76"/>
  <c r="K285" i="76"/>
  <c r="K381" i="76"/>
  <c r="K268" i="76"/>
  <c r="K494" i="76"/>
  <c r="K306" i="76"/>
  <c r="K420" i="76"/>
  <c r="K317" i="76"/>
  <c r="K295" i="76"/>
  <c r="K349" i="76"/>
  <c r="K461" i="76"/>
  <c r="K362" i="76"/>
  <c r="K284" i="76"/>
  <c r="K283" i="76"/>
  <c r="K322" i="76"/>
  <c r="K281" i="76"/>
  <c r="K448" i="76"/>
  <c r="K311" i="76"/>
  <c r="K391" i="76"/>
  <c r="K328" i="76"/>
  <c r="K286" i="76"/>
  <c r="K303" i="76"/>
  <c r="K434" i="76"/>
  <c r="K379" i="76"/>
  <c r="K272" i="76"/>
  <c r="K376" i="76"/>
  <c r="K423" i="76"/>
  <c r="K407" i="76"/>
  <c r="K352" i="76"/>
  <c r="K294" i="76"/>
  <c r="K319" i="76"/>
  <c r="K450" i="76"/>
  <c r="K480" i="76"/>
  <c r="K360" i="76"/>
  <c r="K357" i="76"/>
  <c r="K333" i="76"/>
  <c r="K471" i="76"/>
  <c r="K364" i="76"/>
  <c r="K484" i="76"/>
  <c r="K309" i="76"/>
  <c r="K335" i="76"/>
  <c r="K459" i="76"/>
  <c r="K341" i="76"/>
  <c r="K316" i="76"/>
  <c r="K389" i="76"/>
  <c r="K326" i="76"/>
  <c r="K444" i="76"/>
  <c r="K351" i="76"/>
  <c r="K440" i="76"/>
  <c r="K321" i="76"/>
  <c r="K271" i="76"/>
  <c r="K363" i="76"/>
  <c r="K467" i="76"/>
  <c r="K350" i="76"/>
  <c r="K487" i="76"/>
  <c r="K343" i="76"/>
  <c r="K493" i="76"/>
  <c r="K373" i="76"/>
  <c r="K382" i="76"/>
  <c r="K477" i="76"/>
  <c r="K474" i="76"/>
  <c r="K452" i="76"/>
  <c r="K393" i="76"/>
  <c r="K443" i="76"/>
  <c r="K374" i="76"/>
  <c r="K372" i="76"/>
  <c r="K430" i="76"/>
  <c r="K402" i="76"/>
  <c r="K339" i="76"/>
  <c r="K455" i="76"/>
  <c r="K411" i="76"/>
  <c r="K314" i="76"/>
  <c r="K307" i="76"/>
  <c r="K394" i="76"/>
  <c r="K277" i="76"/>
  <c r="K367" i="76"/>
  <c r="K421" i="76"/>
  <c r="K299" i="76"/>
  <c r="K492" i="76"/>
  <c r="K469" i="76"/>
  <c r="K312" i="76"/>
  <c r="K399" i="76"/>
  <c r="K342" i="76"/>
  <c r="K359" i="76"/>
  <c r="K476" i="76"/>
  <c r="K293" i="76"/>
  <c r="K383" i="76"/>
  <c r="K401" i="76"/>
  <c r="K274" i="76"/>
  <c r="K490" i="76"/>
  <c r="K438" i="76"/>
  <c r="K300" i="76"/>
  <c r="K397" i="76"/>
  <c r="K410" i="76"/>
  <c r="K388" i="76"/>
  <c r="K449" i="76"/>
  <c r="K267" i="76"/>
  <c r="K392" i="76"/>
  <c r="K282" i="76"/>
  <c r="K415" i="76"/>
  <c r="K323" i="76"/>
  <c r="K479" i="76"/>
  <c r="K266" i="76"/>
  <c r="K460" i="76"/>
  <c r="K338" i="76"/>
  <c r="K475" i="76"/>
  <c r="K429" i="76"/>
  <c r="K441" i="76"/>
  <c r="K456" i="76"/>
  <c r="K320" i="76"/>
  <c r="K325" i="76"/>
  <c r="K405" i="76"/>
  <c r="K366" i="76"/>
  <c r="K370" i="76"/>
  <c r="K269" i="76"/>
  <c r="K470" i="76"/>
  <c r="K464" i="76"/>
  <c r="K324" i="76"/>
  <c r="K377" i="76"/>
  <c r="K473" i="76"/>
  <c r="K346" i="76"/>
  <c r="K304" i="76"/>
  <c r="K439" i="76"/>
  <c r="K486" i="76"/>
  <c r="K356" i="76"/>
  <c r="K329" i="76"/>
  <c r="K409" i="76"/>
  <c r="K485" i="76"/>
  <c r="K353" i="76"/>
  <c r="K302" i="76"/>
  <c r="K463" i="76"/>
  <c r="K275" i="76"/>
  <c r="K365" i="76"/>
  <c r="K445" i="76"/>
  <c r="K310" i="76"/>
  <c r="K318" i="76"/>
  <c r="K491" i="76"/>
  <c r="K334" i="76"/>
  <c r="K354" i="76"/>
  <c r="K472" i="76"/>
  <c r="K483" i="76"/>
  <c r="K489" i="76"/>
  <c r="K396" i="76"/>
  <c r="K442" i="76"/>
  <c r="K290" i="76"/>
  <c r="K404" i="76"/>
  <c r="K386" i="76"/>
  <c r="K412" i="76"/>
  <c r="K433" i="76"/>
  <c r="K347" i="76"/>
  <c r="K400" i="76"/>
  <c r="K297" i="76"/>
  <c r="K436" i="76"/>
  <c r="K278" i="76"/>
  <c r="K418" i="76"/>
  <c r="K446" i="76"/>
  <c r="G512" i="76"/>
  <c r="H512" i="76"/>
  <c r="M496" i="76"/>
  <c r="P263" i="76"/>
  <c r="O375" i="76" l="1"/>
  <c r="P375" i="76" s="1"/>
  <c r="L375" i="76"/>
  <c r="F624" i="76" s="1"/>
  <c r="O287" i="76"/>
  <c r="P287" i="76" s="1"/>
  <c r="L287" i="76"/>
  <c r="F536" i="76" s="1"/>
  <c r="O368" i="76"/>
  <c r="P368" i="76" s="1"/>
  <c r="L368" i="76"/>
  <c r="F617" i="76" s="1"/>
  <c r="O474" i="76"/>
  <c r="P474" i="76" s="1"/>
  <c r="L474" i="76"/>
  <c r="F723" i="76" s="1"/>
  <c r="O407" i="76"/>
  <c r="P407" i="76" s="1"/>
  <c r="L407" i="76"/>
  <c r="F656" i="76" s="1"/>
  <c r="O362" i="76"/>
  <c r="P362" i="76" s="1"/>
  <c r="L362" i="76"/>
  <c r="F611" i="76" s="1"/>
  <c r="O403" i="76"/>
  <c r="P403" i="76" s="1"/>
  <c r="L403" i="76"/>
  <c r="F652" i="76" s="1"/>
  <c r="O390" i="76"/>
  <c r="P390" i="76" s="1"/>
  <c r="L390" i="76"/>
  <c r="F639" i="76" s="1"/>
  <c r="O380" i="76"/>
  <c r="P380" i="76" s="1"/>
  <c r="L380" i="76"/>
  <c r="F629" i="76" s="1"/>
  <c r="O348" i="76"/>
  <c r="P348" i="76" s="1"/>
  <c r="L348" i="76"/>
  <c r="F597" i="76" s="1"/>
  <c r="O453" i="76"/>
  <c r="P453" i="76" s="1"/>
  <c r="L453" i="76"/>
  <c r="F702" i="76" s="1"/>
  <c r="O378" i="76"/>
  <c r="P378" i="76" s="1"/>
  <c r="L378" i="76"/>
  <c r="F627" i="76" s="1"/>
  <c r="O330" i="76"/>
  <c r="P330" i="76" s="1"/>
  <c r="L330" i="76"/>
  <c r="F579" i="76" s="1"/>
  <c r="O294" i="76"/>
  <c r="P294" i="76" s="1"/>
  <c r="L294" i="76"/>
  <c r="F543" i="76" s="1"/>
  <c r="O468" i="76"/>
  <c r="P468" i="76" s="1"/>
  <c r="L468" i="76"/>
  <c r="F717" i="76" s="1"/>
  <c r="O418" i="76"/>
  <c r="P418" i="76" s="1"/>
  <c r="L418" i="76"/>
  <c r="F667" i="76" s="1"/>
  <c r="O354" i="76"/>
  <c r="P354" i="76" s="1"/>
  <c r="L354" i="76"/>
  <c r="F603" i="76" s="1"/>
  <c r="O439" i="76"/>
  <c r="P439" i="76" s="1"/>
  <c r="L439" i="76"/>
  <c r="F688" i="76" s="1"/>
  <c r="O429" i="76"/>
  <c r="P429" i="76" s="1"/>
  <c r="L429" i="76"/>
  <c r="F678" i="76" s="1"/>
  <c r="O438" i="76"/>
  <c r="P438" i="76" s="1"/>
  <c r="L438" i="76"/>
  <c r="F687" i="76" s="1"/>
  <c r="O277" i="76"/>
  <c r="P277" i="76" s="1"/>
  <c r="L277" i="76"/>
  <c r="F526" i="76" s="1"/>
  <c r="O382" i="76"/>
  <c r="P382" i="76" s="1"/>
  <c r="L382" i="76"/>
  <c r="F631" i="76" s="1"/>
  <c r="O341" i="76"/>
  <c r="P341" i="76" s="1"/>
  <c r="L341" i="76"/>
  <c r="F590" i="76" s="1"/>
  <c r="O423" i="76"/>
  <c r="P423" i="76" s="1"/>
  <c r="L423" i="76"/>
  <c r="F672" i="76" s="1"/>
  <c r="O461" i="76"/>
  <c r="P461" i="76" s="1"/>
  <c r="L461" i="76"/>
  <c r="F710" i="76" s="1"/>
  <c r="O313" i="76"/>
  <c r="P313" i="76" s="1"/>
  <c r="L313" i="76"/>
  <c r="F562" i="76" s="1"/>
  <c r="O395" i="76"/>
  <c r="P395" i="76" s="1"/>
  <c r="L395" i="76"/>
  <c r="F644" i="76" s="1"/>
  <c r="O466" i="76"/>
  <c r="P466" i="76" s="1"/>
  <c r="L466" i="76"/>
  <c r="F715" i="76" s="1"/>
  <c r="O465" i="76"/>
  <c r="P465" i="76" s="1"/>
  <c r="L465" i="76"/>
  <c r="F714" i="76" s="1"/>
  <c r="O427" i="76"/>
  <c r="P427" i="76" s="1"/>
  <c r="L427" i="76"/>
  <c r="F676" i="76" s="1"/>
  <c r="O442" i="76"/>
  <c r="P442" i="76" s="1"/>
  <c r="L442" i="76"/>
  <c r="F691" i="76" s="1"/>
  <c r="O443" i="76"/>
  <c r="P443" i="76" s="1"/>
  <c r="L443" i="76"/>
  <c r="F692" i="76" s="1"/>
  <c r="O409" i="76"/>
  <c r="P409" i="76" s="1"/>
  <c r="L409" i="76"/>
  <c r="F658" i="76" s="1"/>
  <c r="O393" i="76"/>
  <c r="P393" i="76" s="1"/>
  <c r="L393" i="76"/>
  <c r="F642" i="76" s="1"/>
  <c r="O320" i="76"/>
  <c r="P320" i="76" s="1"/>
  <c r="L320" i="76"/>
  <c r="F569" i="76" s="1"/>
  <c r="O452" i="76"/>
  <c r="P452" i="76" s="1"/>
  <c r="L452" i="76"/>
  <c r="F701" i="76" s="1"/>
  <c r="O483" i="76"/>
  <c r="P483" i="76" s="1"/>
  <c r="L483" i="76"/>
  <c r="F732" i="76" s="1"/>
  <c r="O441" i="76"/>
  <c r="P441" i="76" s="1"/>
  <c r="L441" i="76"/>
  <c r="F690" i="76" s="1"/>
  <c r="O334" i="76"/>
  <c r="P334" i="76" s="1"/>
  <c r="L334" i="76"/>
  <c r="F583" i="76" s="1"/>
  <c r="O288" i="76"/>
  <c r="P288" i="76" s="1"/>
  <c r="L288" i="76"/>
  <c r="F537" i="76" s="1"/>
  <c r="O338" i="76"/>
  <c r="P338" i="76" s="1"/>
  <c r="L338" i="76"/>
  <c r="F587" i="76" s="1"/>
  <c r="O335" i="76"/>
  <c r="P335" i="76" s="1"/>
  <c r="L335" i="76"/>
  <c r="F584" i="76" s="1"/>
  <c r="O272" i="76"/>
  <c r="P272" i="76" s="1"/>
  <c r="L272" i="76"/>
  <c r="F521" i="76" s="1"/>
  <c r="O295" i="76"/>
  <c r="P295" i="76" s="1"/>
  <c r="L295" i="76"/>
  <c r="F544" i="76" s="1"/>
  <c r="O408" i="76"/>
  <c r="P408" i="76" s="1"/>
  <c r="L408" i="76"/>
  <c r="F657" i="76" s="1"/>
  <c r="O361" i="76"/>
  <c r="P361" i="76" s="1"/>
  <c r="L361" i="76"/>
  <c r="F610" i="76" s="1"/>
  <c r="O398" i="76"/>
  <c r="P398" i="76" s="1"/>
  <c r="L398" i="76"/>
  <c r="F647" i="76" s="1"/>
  <c r="O336" i="76"/>
  <c r="P336" i="76" s="1"/>
  <c r="L336" i="76"/>
  <c r="F585" i="76" s="1"/>
  <c r="O425" i="76"/>
  <c r="P425" i="76" s="1"/>
  <c r="L425" i="76"/>
  <c r="F674" i="76" s="1"/>
  <c r="O469" i="76"/>
  <c r="P469" i="76" s="1"/>
  <c r="L469" i="76"/>
  <c r="F718" i="76" s="1"/>
  <c r="O371" i="76"/>
  <c r="P371" i="76" s="1"/>
  <c r="L371" i="76"/>
  <c r="F620" i="76" s="1"/>
  <c r="O478" i="76"/>
  <c r="P478" i="76" s="1"/>
  <c r="L478" i="76"/>
  <c r="F727" i="76" s="1"/>
  <c r="O435" i="76"/>
  <c r="P435" i="76" s="1"/>
  <c r="L435" i="76"/>
  <c r="F684" i="76" s="1"/>
  <c r="O446" i="76"/>
  <c r="P446" i="76" s="1"/>
  <c r="L446" i="76"/>
  <c r="F695" i="76" s="1"/>
  <c r="O394" i="76"/>
  <c r="P394" i="76" s="1"/>
  <c r="L394" i="76"/>
  <c r="F643" i="76" s="1"/>
  <c r="O331" i="76"/>
  <c r="P331" i="76" s="1"/>
  <c r="L331" i="76"/>
  <c r="F580" i="76" s="1"/>
  <c r="O343" i="76"/>
  <c r="P343" i="76" s="1"/>
  <c r="L343" i="76"/>
  <c r="F592" i="76" s="1"/>
  <c r="O309" i="76"/>
  <c r="P309" i="76" s="1"/>
  <c r="L309" i="76"/>
  <c r="F558" i="76" s="1"/>
  <c r="O379" i="76"/>
  <c r="P379" i="76" s="1"/>
  <c r="L379" i="76"/>
  <c r="F628" i="76" s="1"/>
  <c r="O317" i="76"/>
  <c r="P317" i="76" s="1"/>
  <c r="L317" i="76"/>
  <c r="F566" i="76" s="1"/>
  <c r="O308" i="76"/>
  <c r="P308" i="76" s="1"/>
  <c r="L308" i="76"/>
  <c r="F557" i="76" s="1"/>
  <c r="O482" i="76"/>
  <c r="P482" i="76" s="1"/>
  <c r="L482" i="76"/>
  <c r="F731" i="76" s="1"/>
  <c r="O457" i="76"/>
  <c r="P457" i="76" s="1"/>
  <c r="L457" i="76"/>
  <c r="F706" i="76" s="1"/>
  <c r="O451" i="76"/>
  <c r="P451" i="76" s="1"/>
  <c r="L451" i="76"/>
  <c r="F700" i="76" s="1"/>
  <c r="O292" i="76"/>
  <c r="P292" i="76" s="1"/>
  <c r="L292" i="76"/>
  <c r="F541" i="76" s="1"/>
  <c r="O273" i="76"/>
  <c r="P273" i="76" s="1"/>
  <c r="L273" i="76"/>
  <c r="F522" i="76" s="1"/>
  <c r="O345" i="76"/>
  <c r="P345" i="76" s="1"/>
  <c r="L345" i="76"/>
  <c r="F594" i="76" s="1"/>
  <c r="O416" i="76"/>
  <c r="P416" i="76" s="1"/>
  <c r="L416" i="76"/>
  <c r="F665" i="76" s="1"/>
  <c r="O296" i="76"/>
  <c r="P296" i="76" s="1"/>
  <c r="L296" i="76"/>
  <c r="F545" i="76" s="1"/>
  <c r="O310" i="76"/>
  <c r="P310" i="76" s="1"/>
  <c r="L310" i="76"/>
  <c r="F559" i="76" s="1"/>
  <c r="O383" i="76"/>
  <c r="P383" i="76" s="1"/>
  <c r="L383" i="76"/>
  <c r="F632" i="76" s="1"/>
  <c r="O411" i="76"/>
  <c r="P411" i="76" s="1"/>
  <c r="L411" i="76"/>
  <c r="F660" i="76" s="1"/>
  <c r="O487" i="76"/>
  <c r="P487" i="76" s="1"/>
  <c r="L487" i="76"/>
  <c r="F736" i="76" s="1"/>
  <c r="O484" i="76"/>
  <c r="P484" i="76" s="1"/>
  <c r="L484" i="76"/>
  <c r="F733" i="76" s="1"/>
  <c r="O434" i="76"/>
  <c r="P434" i="76" s="1"/>
  <c r="L434" i="76"/>
  <c r="F683" i="76" s="1"/>
  <c r="O420" i="76"/>
  <c r="P420" i="76" s="1"/>
  <c r="L420" i="76"/>
  <c r="F669" i="76" s="1"/>
  <c r="O337" i="76"/>
  <c r="P337" i="76" s="1"/>
  <c r="L337" i="76"/>
  <c r="F586" i="76" s="1"/>
  <c r="O447" i="76"/>
  <c r="P447" i="76" s="1"/>
  <c r="L447" i="76"/>
  <c r="F696" i="76" s="1"/>
  <c r="O432" i="76"/>
  <c r="P432" i="76" s="1"/>
  <c r="L432" i="76"/>
  <c r="F681" i="76" s="1"/>
  <c r="O332" i="76"/>
  <c r="P332" i="76" s="1"/>
  <c r="L332" i="76"/>
  <c r="F581" i="76" s="1"/>
  <c r="O305" i="76"/>
  <c r="P305" i="76" s="1"/>
  <c r="L305" i="76"/>
  <c r="F554" i="76" s="1"/>
  <c r="O422" i="76"/>
  <c r="P422" i="76" s="1"/>
  <c r="L422" i="76"/>
  <c r="F671" i="76" s="1"/>
  <c r="O322" i="76"/>
  <c r="P322" i="76" s="1"/>
  <c r="L322" i="76"/>
  <c r="F571" i="76" s="1"/>
  <c r="O315" i="76"/>
  <c r="P315" i="76" s="1"/>
  <c r="L315" i="76"/>
  <c r="F564" i="76" s="1"/>
  <c r="O340" i="76"/>
  <c r="P340" i="76" s="1"/>
  <c r="L340" i="76"/>
  <c r="F589" i="76" s="1"/>
  <c r="O472" i="76"/>
  <c r="P472" i="76" s="1"/>
  <c r="L472" i="76"/>
  <c r="F721" i="76" s="1"/>
  <c r="O475" i="76"/>
  <c r="P475" i="76" s="1"/>
  <c r="L475" i="76"/>
  <c r="F724" i="76" s="1"/>
  <c r="O344" i="76"/>
  <c r="P344" i="76" s="1"/>
  <c r="L344" i="76"/>
  <c r="F593" i="76" s="1"/>
  <c r="O491" i="76"/>
  <c r="P491" i="76" s="1"/>
  <c r="L491" i="76"/>
  <c r="F740" i="76" s="1"/>
  <c r="O314" i="76"/>
  <c r="P314" i="76" s="1"/>
  <c r="L314" i="76"/>
  <c r="F563" i="76" s="1"/>
  <c r="O293" i="76"/>
  <c r="P293" i="76" s="1"/>
  <c r="L293" i="76"/>
  <c r="F542" i="76" s="1"/>
  <c r="O455" i="76"/>
  <c r="P455" i="76" s="1"/>
  <c r="L455" i="76"/>
  <c r="F704" i="76" s="1"/>
  <c r="O350" i="76"/>
  <c r="P350" i="76" s="1"/>
  <c r="L350" i="76"/>
  <c r="F599" i="76" s="1"/>
  <c r="O364" i="76"/>
  <c r="P364" i="76" s="1"/>
  <c r="L364" i="76"/>
  <c r="F613" i="76" s="1"/>
  <c r="O303" i="76"/>
  <c r="P303" i="76" s="1"/>
  <c r="L303" i="76"/>
  <c r="F552" i="76" s="1"/>
  <c r="O306" i="76"/>
  <c r="P306" i="76" s="1"/>
  <c r="L306" i="76"/>
  <c r="F555" i="76" s="1"/>
  <c r="O358" i="76"/>
  <c r="P358" i="76" s="1"/>
  <c r="L358" i="76"/>
  <c r="F607" i="76" s="1"/>
  <c r="O414" i="76"/>
  <c r="P414" i="76" s="1"/>
  <c r="L414" i="76"/>
  <c r="F663" i="76" s="1"/>
  <c r="O387" i="76"/>
  <c r="P387" i="76" s="1"/>
  <c r="L387" i="76"/>
  <c r="F636" i="76" s="1"/>
  <c r="O424" i="76"/>
  <c r="P424" i="76" s="1"/>
  <c r="L424" i="76"/>
  <c r="F673" i="76" s="1"/>
  <c r="O319" i="76"/>
  <c r="P319" i="76" s="1"/>
  <c r="L319" i="76"/>
  <c r="F568" i="76" s="1"/>
  <c r="O356" i="76"/>
  <c r="P356" i="76" s="1"/>
  <c r="L356" i="76"/>
  <c r="F605" i="76" s="1"/>
  <c r="O284" i="76"/>
  <c r="P284" i="76" s="1"/>
  <c r="L284" i="76"/>
  <c r="F533" i="76" s="1"/>
  <c r="O367" i="76"/>
  <c r="P367" i="76" s="1"/>
  <c r="L367" i="76"/>
  <c r="F616" i="76" s="1"/>
  <c r="O459" i="76"/>
  <c r="P459" i="76" s="1"/>
  <c r="L459" i="76"/>
  <c r="F708" i="76" s="1"/>
  <c r="O431" i="76"/>
  <c r="P431" i="76" s="1"/>
  <c r="L431" i="76"/>
  <c r="F680" i="76" s="1"/>
  <c r="O436" i="76"/>
  <c r="P436" i="76" s="1"/>
  <c r="L436" i="76"/>
  <c r="F685" i="76" s="1"/>
  <c r="O460" i="76"/>
  <c r="P460" i="76" s="1"/>
  <c r="L460" i="76"/>
  <c r="F709" i="76" s="1"/>
  <c r="O339" i="76"/>
  <c r="P339" i="76" s="1"/>
  <c r="L339" i="76"/>
  <c r="F588" i="76" s="1"/>
  <c r="O494" i="76"/>
  <c r="P494" i="76" s="1"/>
  <c r="L494" i="76"/>
  <c r="F743" i="76" s="1"/>
  <c r="O458" i="76"/>
  <c r="P458" i="76" s="1"/>
  <c r="L458" i="76"/>
  <c r="F707" i="76" s="1"/>
  <c r="O276" i="76"/>
  <c r="P276" i="76" s="1"/>
  <c r="L276" i="76"/>
  <c r="F525" i="76" s="1"/>
  <c r="O270" i="76"/>
  <c r="P270" i="76" s="1"/>
  <c r="L270" i="76"/>
  <c r="F519" i="76" s="1"/>
  <c r="O454" i="76"/>
  <c r="P454" i="76" s="1"/>
  <c r="L454" i="76"/>
  <c r="F703" i="76" s="1"/>
  <c r="O351" i="76"/>
  <c r="P351" i="76" s="1"/>
  <c r="L351" i="76"/>
  <c r="F600" i="76" s="1"/>
  <c r="O385" i="76"/>
  <c r="P385" i="76" s="1"/>
  <c r="L385" i="76"/>
  <c r="F634" i="76" s="1"/>
  <c r="O283" i="76"/>
  <c r="P283" i="76" s="1"/>
  <c r="L283" i="76"/>
  <c r="F532" i="76" s="1"/>
  <c r="O437" i="76"/>
  <c r="P437" i="76" s="1"/>
  <c r="L437" i="76"/>
  <c r="F686" i="76" s="1"/>
  <c r="O486" i="76"/>
  <c r="P486" i="76" s="1"/>
  <c r="L486" i="76"/>
  <c r="F735" i="76" s="1"/>
  <c r="O304" i="76"/>
  <c r="P304" i="76" s="1"/>
  <c r="L304" i="76"/>
  <c r="F553" i="76" s="1"/>
  <c r="O349" i="76"/>
  <c r="P349" i="76" s="1"/>
  <c r="L349" i="76"/>
  <c r="F598" i="76" s="1"/>
  <c r="O417" i="76"/>
  <c r="P417" i="76" s="1"/>
  <c r="L417" i="76"/>
  <c r="F666" i="76" s="1"/>
  <c r="O346" i="76"/>
  <c r="P346" i="76" s="1"/>
  <c r="L346" i="76"/>
  <c r="F595" i="76" s="1"/>
  <c r="O473" i="76"/>
  <c r="P473" i="76" s="1"/>
  <c r="L473" i="76"/>
  <c r="F722" i="76" s="1"/>
  <c r="O347" i="76"/>
  <c r="P347" i="76" s="1"/>
  <c r="L347" i="76"/>
  <c r="F596" i="76" s="1"/>
  <c r="O402" i="76"/>
  <c r="P402" i="76" s="1"/>
  <c r="L402" i="76"/>
  <c r="F651" i="76" s="1"/>
  <c r="O328" i="76"/>
  <c r="P328" i="76" s="1"/>
  <c r="L328" i="76"/>
  <c r="F577" i="76" s="1"/>
  <c r="O481" i="76"/>
  <c r="P481" i="76" s="1"/>
  <c r="L481" i="76"/>
  <c r="F730" i="76" s="1"/>
  <c r="O327" i="76"/>
  <c r="P327" i="76" s="1"/>
  <c r="L327" i="76"/>
  <c r="F576" i="76" s="1"/>
  <c r="O426" i="76"/>
  <c r="P426" i="76" s="1"/>
  <c r="L426" i="76"/>
  <c r="F675" i="76" s="1"/>
  <c r="O485" i="76"/>
  <c r="P485" i="76" s="1"/>
  <c r="L485" i="76"/>
  <c r="F734" i="76" s="1"/>
  <c r="O413" i="76"/>
  <c r="P413" i="76" s="1"/>
  <c r="L413" i="76"/>
  <c r="F662" i="76" s="1"/>
  <c r="O388" i="76"/>
  <c r="P388" i="76" s="1"/>
  <c r="L388" i="76"/>
  <c r="F637" i="76" s="1"/>
  <c r="O489" i="76"/>
  <c r="P489" i="76" s="1"/>
  <c r="L489" i="76"/>
  <c r="F738" i="76" s="1"/>
  <c r="O410" i="76"/>
  <c r="P410" i="76" s="1"/>
  <c r="L410" i="76"/>
  <c r="F659" i="76" s="1"/>
  <c r="O384" i="76"/>
  <c r="P384" i="76" s="1"/>
  <c r="L384" i="76"/>
  <c r="F633" i="76" s="1"/>
  <c r="O397" i="76"/>
  <c r="P397" i="76" s="1"/>
  <c r="L397" i="76"/>
  <c r="F646" i="76" s="1"/>
  <c r="O300" i="76"/>
  <c r="P300" i="76" s="1"/>
  <c r="L300" i="76"/>
  <c r="F549" i="76" s="1"/>
  <c r="O278" i="76"/>
  <c r="P278" i="76" s="1"/>
  <c r="L278" i="76"/>
  <c r="F527" i="76" s="1"/>
  <c r="O376" i="76"/>
  <c r="P376" i="76" s="1"/>
  <c r="L376" i="76"/>
  <c r="F625" i="76" s="1"/>
  <c r="O274" i="76"/>
  <c r="P274" i="76" s="1"/>
  <c r="L274" i="76"/>
  <c r="F523" i="76" s="1"/>
  <c r="O318" i="76"/>
  <c r="P318" i="76" s="1"/>
  <c r="L318" i="76"/>
  <c r="F567" i="76" s="1"/>
  <c r="O377" i="76"/>
  <c r="P377" i="76" s="1"/>
  <c r="L377" i="76"/>
  <c r="F626" i="76" s="1"/>
  <c r="O445" i="76"/>
  <c r="P445" i="76" s="1"/>
  <c r="L445" i="76"/>
  <c r="F694" i="76" s="1"/>
  <c r="O433" i="76"/>
  <c r="P433" i="76" s="1"/>
  <c r="L433" i="76"/>
  <c r="F682" i="76" s="1"/>
  <c r="O286" i="76"/>
  <c r="P286" i="76" s="1"/>
  <c r="L286" i="76"/>
  <c r="F535" i="76" s="1"/>
  <c r="O470" i="76"/>
  <c r="P470" i="76" s="1"/>
  <c r="L470" i="76"/>
  <c r="F719" i="76" s="1"/>
  <c r="O415" i="76"/>
  <c r="P415" i="76" s="1"/>
  <c r="L415" i="76"/>
  <c r="F664" i="76" s="1"/>
  <c r="O359" i="76"/>
  <c r="P359" i="76" s="1"/>
  <c r="L359" i="76"/>
  <c r="F608" i="76" s="1"/>
  <c r="O363" i="76"/>
  <c r="P363" i="76" s="1"/>
  <c r="L363" i="76"/>
  <c r="F612" i="76" s="1"/>
  <c r="O333" i="76"/>
  <c r="P333" i="76" s="1"/>
  <c r="L333" i="76"/>
  <c r="F582" i="76" s="1"/>
  <c r="O386" i="76"/>
  <c r="P386" i="76" s="1"/>
  <c r="L386" i="76"/>
  <c r="F635" i="76" s="1"/>
  <c r="O463" i="76"/>
  <c r="P463" i="76" s="1"/>
  <c r="L463" i="76"/>
  <c r="F712" i="76" s="1"/>
  <c r="O269" i="76"/>
  <c r="P269" i="76" s="1"/>
  <c r="L269" i="76"/>
  <c r="F518" i="76" s="1"/>
  <c r="O282" i="76"/>
  <c r="P282" i="76" s="1"/>
  <c r="L282" i="76"/>
  <c r="F531" i="76" s="1"/>
  <c r="O342" i="76"/>
  <c r="P342" i="76" s="1"/>
  <c r="L342" i="76"/>
  <c r="F591" i="76" s="1"/>
  <c r="O430" i="76"/>
  <c r="P430" i="76" s="1"/>
  <c r="L430" i="76"/>
  <c r="F679" i="76" s="1"/>
  <c r="O271" i="76"/>
  <c r="P271" i="76" s="1"/>
  <c r="L271" i="76"/>
  <c r="F520" i="76" s="1"/>
  <c r="O357" i="76"/>
  <c r="P357" i="76" s="1"/>
  <c r="L357" i="76"/>
  <c r="F606" i="76" s="1"/>
  <c r="O391" i="76"/>
  <c r="P391" i="76" s="1"/>
  <c r="L391" i="76"/>
  <c r="F640" i="76" s="1"/>
  <c r="O381" i="76"/>
  <c r="P381" i="76" s="1"/>
  <c r="L381" i="76"/>
  <c r="F630" i="76" s="1"/>
  <c r="O495" i="76"/>
  <c r="P495" i="76" s="1"/>
  <c r="L495" i="76"/>
  <c r="F744" i="76" s="1"/>
  <c r="O428" i="76"/>
  <c r="P428" i="76" s="1"/>
  <c r="L428" i="76"/>
  <c r="F677" i="76" s="1"/>
  <c r="O369" i="76"/>
  <c r="P369" i="76" s="1"/>
  <c r="L369" i="76"/>
  <c r="F618" i="76" s="1"/>
  <c r="O298" i="76"/>
  <c r="P298" i="76" s="1"/>
  <c r="L298" i="76"/>
  <c r="F547" i="76" s="1"/>
  <c r="O449" i="76"/>
  <c r="P449" i="76" s="1"/>
  <c r="L449" i="76"/>
  <c r="F698" i="76" s="1"/>
  <c r="O281" i="76"/>
  <c r="P281" i="76" s="1"/>
  <c r="L281" i="76"/>
  <c r="F530" i="76" s="1"/>
  <c r="O396" i="76"/>
  <c r="P396" i="76" s="1"/>
  <c r="L396" i="76"/>
  <c r="F645" i="76" s="1"/>
  <c r="O492" i="76"/>
  <c r="P492" i="76" s="1"/>
  <c r="L492" i="76"/>
  <c r="F741" i="76" s="1"/>
  <c r="O299" i="76"/>
  <c r="P299" i="76" s="1"/>
  <c r="L299" i="76"/>
  <c r="F548" i="76" s="1"/>
  <c r="O421" i="76"/>
  <c r="P421" i="76" s="1"/>
  <c r="L421" i="76"/>
  <c r="F670" i="76" s="1"/>
  <c r="O352" i="76"/>
  <c r="P352" i="76" s="1"/>
  <c r="L352" i="76"/>
  <c r="F601" i="76" s="1"/>
  <c r="O316" i="76"/>
  <c r="P316" i="76" s="1"/>
  <c r="L316" i="76"/>
  <c r="F565" i="76" s="1"/>
  <c r="O490" i="76"/>
  <c r="P490" i="76" s="1"/>
  <c r="L490" i="76"/>
  <c r="F739" i="76" s="1"/>
  <c r="O307" i="76"/>
  <c r="P307" i="76" s="1"/>
  <c r="L307" i="76"/>
  <c r="F556" i="76" s="1"/>
  <c r="O401" i="76"/>
  <c r="P401" i="76" s="1"/>
  <c r="L401" i="76"/>
  <c r="F650" i="76" s="1"/>
  <c r="O400" i="76"/>
  <c r="P400" i="76" s="1"/>
  <c r="L400" i="76"/>
  <c r="F649" i="76" s="1"/>
  <c r="O479" i="76"/>
  <c r="P479" i="76" s="1"/>
  <c r="L479" i="76"/>
  <c r="F728" i="76" s="1"/>
  <c r="O464" i="76"/>
  <c r="P464" i="76" s="1"/>
  <c r="L464" i="76"/>
  <c r="F713" i="76" s="1"/>
  <c r="O476" i="76"/>
  <c r="P476" i="76" s="1"/>
  <c r="L476" i="76"/>
  <c r="F725" i="76" s="1"/>
  <c r="O471" i="76"/>
  <c r="P471" i="76" s="1"/>
  <c r="L471" i="76"/>
  <c r="F720" i="76" s="1"/>
  <c r="O412" i="76"/>
  <c r="P412" i="76" s="1"/>
  <c r="L412" i="76"/>
  <c r="F661" i="76" s="1"/>
  <c r="O301" i="76"/>
  <c r="P301" i="76" s="1"/>
  <c r="L301" i="76"/>
  <c r="F550" i="76" s="1"/>
  <c r="O404" i="76"/>
  <c r="P404" i="76" s="1"/>
  <c r="L404" i="76"/>
  <c r="F653" i="76" s="1"/>
  <c r="O302" i="76"/>
  <c r="P302" i="76" s="1"/>
  <c r="L302" i="76"/>
  <c r="F551" i="76" s="1"/>
  <c r="O370" i="76"/>
  <c r="P370" i="76" s="1"/>
  <c r="L370" i="76"/>
  <c r="F619" i="76" s="1"/>
  <c r="O392" i="76"/>
  <c r="P392" i="76" s="1"/>
  <c r="L392" i="76"/>
  <c r="F641" i="76" s="1"/>
  <c r="O399" i="76"/>
  <c r="P399" i="76" s="1"/>
  <c r="L399" i="76"/>
  <c r="F648" i="76" s="1"/>
  <c r="O372" i="76"/>
  <c r="P372" i="76" s="1"/>
  <c r="L372" i="76"/>
  <c r="F621" i="76" s="1"/>
  <c r="O321" i="76"/>
  <c r="P321" i="76" s="1"/>
  <c r="L321" i="76"/>
  <c r="F570" i="76" s="1"/>
  <c r="O360" i="76"/>
  <c r="P360" i="76" s="1"/>
  <c r="L360" i="76"/>
  <c r="F609" i="76" s="1"/>
  <c r="O311" i="76"/>
  <c r="P311" i="76" s="1"/>
  <c r="L311" i="76"/>
  <c r="F560" i="76" s="1"/>
  <c r="O285" i="76"/>
  <c r="P285" i="76" s="1"/>
  <c r="L285" i="76"/>
  <c r="F534" i="76" s="1"/>
  <c r="O462" i="76"/>
  <c r="P462" i="76" s="1"/>
  <c r="L462" i="76"/>
  <c r="F711" i="76" s="1"/>
  <c r="O406" i="76"/>
  <c r="P406" i="76" s="1"/>
  <c r="L406" i="76"/>
  <c r="F655" i="76" s="1"/>
  <c r="O419" i="76"/>
  <c r="P419" i="76" s="1"/>
  <c r="L419" i="76"/>
  <c r="F668" i="76" s="1"/>
  <c r="O291" i="76"/>
  <c r="P291" i="76" s="1"/>
  <c r="L291" i="76"/>
  <c r="F540" i="76" s="1"/>
  <c r="O405" i="76"/>
  <c r="P405" i="76" s="1"/>
  <c r="L405" i="76"/>
  <c r="F654" i="76" s="1"/>
  <c r="O450" i="76"/>
  <c r="P450" i="76" s="1"/>
  <c r="L450" i="76"/>
  <c r="F699" i="76" s="1"/>
  <c r="O325" i="76"/>
  <c r="P325" i="76" s="1"/>
  <c r="L325" i="76"/>
  <c r="F574" i="76" s="1"/>
  <c r="O444" i="76"/>
  <c r="P444" i="76" s="1"/>
  <c r="L444" i="76"/>
  <c r="F693" i="76" s="1"/>
  <c r="O329" i="76"/>
  <c r="P329" i="76" s="1"/>
  <c r="L329" i="76"/>
  <c r="F578" i="76" s="1"/>
  <c r="O326" i="76"/>
  <c r="P326" i="76" s="1"/>
  <c r="L326" i="76"/>
  <c r="F575" i="76" s="1"/>
  <c r="O456" i="76"/>
  <c r="P456" i="76" s="1"/>
  <c r="L456" i="76"/>
  <c r="F705" i="76" s="1"/>
  <c r="O389" i="76"/>
  <c r="P389" i="76" s="1"/>
  <c r="L389" i="76"/>
  <c r="F638" i="76" s="1"/>
  <c r="O477" i="76"/>
  <c r="P477" i="76" s="1"/>
  <c r="L477" i="76"/>
  <c r="F726" i="76" s="1"/>
  <c r="O373" i="76"/>
  <c r="P373" i="76" s="1"/>
  <c r="L373" i="76"/>
  <c r="F622" i="76" s="1"/>
  <c r="O493" i="76"/>
  <c r="P493" i="76" s="1"/>
  <c r="L493" i="76"/>
  <c r="F742" i="76" s="1"/>
  <c r="O297" i="76"/>
  <c r="P297" i="76" s="1"/>
  <c r="L297" i="76"/>
  <c r="F546" i="76" s="1"/>
  <c r="O266" i="76"/>
  <c r="L266" i="76"/>
  <c r="F515" i="76" s="1"/>
  <c r="O324" i="76"/>
  <c r="P324" i="76" s="1"/>
  <c r="L324" i="76"/>
  <c r="F573" i="76" s="1"/>
  <c r="O365" i="76"/>
  <c r="P365" i="76" s="1"/>
  <c r="L365" i="76"/>
  <c r="F614" i="76" s="1"/>
  <c r="O323" i="76"/>
  <c r="P323" i="76" s="1"/>
  <c r="L323" i="76"/>
  <c r="F572" i="76" s="1"/>
  <c r="O467" i="76"/>
  <c r="P467" i="76" s="1"/>
  <c r="L467" i="76"/>
  <c r="F716" i="76" s="1"/>
  <c r="O275" i="76"/>
  <c r="P275" i="76" s="1"/>
  <c r="L275" i="76"/>
  <c r="F524" i="76" s="1"/>
  <c r="O268" i="76"/>
  <c r="P268" i="76" s="1"/>
  <c r="L268" i="76"/>
  <c r="F517" i="76" s="1"/>
  <c r="O290" i="76"/>
  <c r="P290" i="76" s="1"/>
  <c r="L290" i="76"/>
  <c r="F539" i="76" s="1"/>
  <c r="O353" i="76"/>
  <c r="P353" i="76" s="1"/>
  <c r="L353" i="76"/>
  <c r="F602" i="76" s="1"/>
  <c r="O366" i="76"/>
  <c r="P366" i="76" s="1"/>
  <c r="L366" i="76"/>
  <c r="F615" i="76" s="1"/>
  <c r="O267" i="76"/>
  <c r="P267" i="76" s="1"/>
  <c r="L267" i="76"/>
  <c r="O312" i="76"/>
  <c r="P312" i="76" s="1"/>
  <c r="L312" i="76"/>
  <c r="F561" i="76" s="1"/>
  <c r="O374" i="76"/>
  <c r="P374" i="76" s="1"/>
  <c r="L374" i="76"/>
  <c r="F623" i="76" s="1"/>
  <c r="O440" i="76"/>
  <c r="P440" i="76" s="1"/>
  <c r="L440" i="76"/>
  <c r="F689" i="76" s="1"/>
  <c r="O480" i="76"/>
  <c r="P480" i="76" s="1"/>
  <c r="L480" i="76"/>
  <c r="F729" i="76" s="1"/>
  <c r="O448" i="76"/>
  <c r="P448" i="76" s="1"/>
  <c r="L448" i="76"/>
  <c r="F697" i="76" s="1"/>
  <c r="O488" i="76"/>
  <c r="P488" i="76" s="1"/>
  <c r="L488" i="76"/>
  <c r="F737" i="76" s="1"/>
  <c r="O280" i="76"/>
  <c r="P280" i="76" s="1"/>
  <c r="L280" i="76"/>
  <c r="F529" i="76" s="1"/>
  <c r="O355" i="76"/>
  <c r="P355" i="76" s="1"/>
  <c r="L355" i="76"/>
  <c r="F604" i="76" s="1"/>
  <c r="O279" i="76"/>
  <c r="P279" i="76" s="1"/>
  <c r="L279" i="76"/>
  <c r="F528" i="76" s="1"/>
  <c r="O289" i="76"/>
  <c r="P289" i="76" s="1"/>
  <c r="L289" i="76"/>
  <c r="F538" i="76" s="1"/>
  <c r="M4" i="84"/>
  <c r="M6" i="84"/>
  <c r="M7" i="84"/>
  <c r="M8" i="84"/>
  <c r="M5" i="84"/>
  <c r="M9" i="84"/>
  <c r="M10" i="84"/>
  <c r="M11" i="84"/>
  <c r="G633" i="76" l="1"/>
  <c r="H633" i="76"/>
  <c r="H583" i="76"/>
  <c r="G583" i="76"/>
  <c r="G651" i="76"/>
  <c r="H651" i="76"/>
  <c r="G605" i="76"/>
  <c r="H605" i="76"/>
  <c r="G613" i="76"/>
  <c r="H613" i="76"/>
  <c r="H721" i="76"/>
  <c r="G721" i="76"/>
  <c r="H696" i="76"/>
  <c r="G696" i="76"/>
  <c r="H559" i="76"/>
  <c r="G559" i="76"/>
  <c r="G731" i="76"/>
  <c r="H731" i="76"/>
  <c r="G695" i="76"/>
  <c r="H695" i="76"/>
  <c r="H610" i="76"/>
  <c r="G610" i="76"/>
  <c r="H690" i="76"/>
  <c r="G690" i="76"/>
  <c r="H676" i="76"/>
  <c r="G676" i="76"/>
  <c r="G631" i="76"/>
  <c r="H631" i="76"/>
  <c r="H543" i="76"/>
  <c r="G543" i="76"/>
  <c r="H611" i="76"/>
  <c r="G611" i="76"/>
  <c r="G616" i="76"/>
  <c r="H616" i="76"/>
  <c r="G699" i="76"/>
  <c r="H699" i="76"/>
  <c r="G552" i="76"/>
  <c r="H552" i="76"/>
  <c r="H623" i="76"/>
  <c r="G623" i="76"/>
  <c r="G572" i="76"/>
  <c r="H572" i="76"/>
  <c r="H720" i="76"/>
  <c r="G720" i="76"/>
  <c r="H565" i="76"/>
  <c r="G565" i="76"/>
  <c r="H547" i="76"/>
  <c r="G547" i="76"/>
  <c r="G679" i="76"/>
  <c r="H679" i="76"/>
  <c r="G608" i="76"/>
  <c r="H608" i="76"/>
  <c r="H553" i="76"/>
  <c r="G553" i="76"/>
  <c r="G667" i="76"/>
  <c r="H667" i="76"/>
  <c r="H622" i="76"/>
  <c r="G622" i="76"/>
  <c r="G606" i="76"/>
  <c r="H606" i="76"/>
  <c r="G659" i="76"/>
  <c r="H659" i="76"/>
  <c r="G652" i="76"/>
  <c r="H652" i="76"/>
  <c r="H716" i="76"/>
  <c r="G716" i="76"/>
  <c r="G520" i="76"/>
  <c r="H520" i="76"/>
  <c r="H738" i="76"/>
  <c r="G738" i="76"/>
  <c r="H621" i="76"/>
  <c r="G621" i="76"/>
  <c r="H545" i="76"/>
  <c r="G545" i="76"/>
  <c r="G593" i="76"/>
  <c r="H593" i="76"/>
  <c r="G582" i="76"/>
  <c r="H582" i="76"/>
  <c r="H707" i="76"/>
  <c r="G707" i="76"/>
  <c r="H661" i="76"/>
  <c r="G661" i="76"/>
  <c r="H656" i="76"/>
  <c r="G656" i="76"/>
  <c r="G604" i="76"/>
  <c r="H604" i="76"/>
  <c r="H722" i="76"/>
  <c r="G722" i="76"/>
  <c r="G634" i="76"/>
  <c r="H634" i="76"/>
  <c r="G709" i="76"/>
  <c r="H709" i="76"/>
  <c r="H673" i="76"/>
  <c r="G673" i="76"/>
  <c r="H704" i="76"/>
  <c r="G704" i="76"/>
  <c r="H564" i="76"/>
  <c r="G564" i="76"/>
  <c r="H669" i="76"/>
  <c r="G669" i="76"/>
  <c r="G665" i="76"/>
  <c r="H665" i="76"/>
  <c r="H566" i="76"/>
  <c r="G566" i="76"/>
  <c r="G727" i="76"/>
  <c r="H727" i="76"/>
  <c r="H544" i="76"/>
  <c r="G544" i="76"/>
  <c r="G701" i="76"/>
  <c r="H701" i="76"/>
  <c r="G715" i="76"/>
  <c r="H715" i="76"/>
  <c r="H687" i="76"/>
  <c r="G687" i="76"/>
  <c r="G627" i="76"/>
  <c r="H627" i="76"/>
  <c r="G723" i="76"/>
  <c r="H723" i="76"/>
  <c r="H580" i="76"/>
  <c r="G580" i="76"/>
  <c r="G524" i="76"/>
  <c r="H524" i="76"/>
  <c r="G643" i="76"/>
  <c r="H643" i="76"/>
  <c r="G612" i="76"/>
  <c r="H612" i="76"/>
  <c r="H532" i="76"/>
  <c r="G532" i="76"/>
  <c r="G684" i="76"/>
  <c r="H684" i="76"/>
  <c r="G648" i="76"/>
  <c r="H648" i="76"/>
  <c r="G670" i="76"/>
  <c r="H670" i="76"/>
  <c r="G585" i="76"/>
  <c r="H585" i="76"/>
  <c r="H609" i="76"/>
  <c r="G609" i="76"/>
  <c r="H647" i="76"/>
  <c r="G647" i="76"/>
  <c r="H698" i="76"/>
  <c r="G698" i="76"/>
  <c r="H714" i="76"/>
  <c r="G714" i="76"/>
  <c r="F516" i="76"/>
  <c r="N46" i="84"/>
  <c r="G591" i="76"/>
  <c r="H591" i="76"/>
  <c r="G625" i="76"/>
  <c r="H625" i="76"/>
  <c r="G527" i="76"/>
  <c r="H527" i="76"/>
  <c r="G734" i="76"/>
  <c r="H734" i="76"/>
  <c r="H595" i="76"/>
  <c r="G595" i="76"/>
  <c r="G600" i="76"/>
  <c r="H600" i="76"/>
  <c r="H685" i="76"/>
  <c r="G685" i="76"/>
  <c r="G636" i="76"/>
  <c r="H636" i="76"/>
  <c r="H542" i="76"/>
  <c r="G542" i="76"/>
  <c r="G571" i="76"/>
  <c r="H571" i="76"/>
  <c r="G683" i="76"/>
  <c r="H683" i="76"/>
  <c r="H594" i="76"/>
  <c r="G594" i="76"/>
  <c r="H628" i="76"/>
  <c r="G628" i="76"/>
  <c r="G620" i="76"/>
  <c r="H620" i="76"/>
  <c r="H521" i="76"/>
  <c r="G521" i="76"/>
  <c r="G569" i="76"/>
  <c r="H569" i="76"/>
  <c r="G644" i="76"/>
  <c r="H644" i="76"/>
  <c r="G678" i="76"/>
  <c r="H678" i="76"/>
  <c r="G702" i="76"/>
  <c r="H702" i="76"/>
  <c r="G617" i="76"/>
  <c r="H617" i="76"/>
  <c r="G537" i="76"/>
  <c r="H537" i="76"/>
  <c r="H632" i="76"/>
  <c r="G632" i="76"/>
  <c r="G739" i="76"/>
  <c r="H739" i="76"/>
  <c r="H579" i="76"/>
  <c r="G579" i="76"/>
  <c r="H705" i="76"/>
  <c r="G705" i="76"/>
  <c r="H618" i="76"/>
  <c r="G618" i="76"/>
  <c r="H664" i="76"/>
  <c r="G664" i="76"/>
  <c r="G662" i="76"/>
  <c r="H662" i="76"/>
  <c r="H737" i="76"/>
  <c r="G737" i="76"/>
  <c r="H660" i="76"/>
  <c r="G660" i="76"/>
  <c r="G550" i="76"/>
  <c r="H550" i="76"/>
  <c r="H706" i="76"/>
  <c r="G706" i="76"/>
  <c r="H538" i="76"/>
  <c r="G538" i="76"/>
  <c r="H588" i="76"/>
  <c r="G588" i="76"/>
  <c r="H657" i="76"/>
  <c r="G657" i="76"/>
  <c r="H725" i="76"/>
  <c r="G725" i="76"/>
  <c r="H573" i="76"/>
  <c r="G573" i="76"/>
  <c r="G677" i="76"/>
  <c r="H677" i="76"/>
  <c r="G666" i="76"/>
  <c r="H666" i="76"/>
  <c r="H680" i="76"/>
  <c r="G680" i="76"/>
  <c r="H671" i="76"/>
  <c r="G671" i="76"/>
  <c r="G733" i="76"/>
  <c r="H733" i="76"/>
  <c r="G522" i="76"/>
  <c r="H522" i="76"/>
  <c r="G558" i="76"/>
  <c r="H558" i="76"/>
  <c r="G718" i="76"/>
  <c r="H718" i="76"/>
  <c r="H584" i="76"/>
  <c r="G584" i="76"/>
  <c r="H642" i="76"/>
  <c r="G642" i="76"/>
  <c r="H562" i="76"/>
  <c r="G562" i="76"/>
  <c r="H688" i="76"/>
  <c r="G688" i="76"/>
  <c r="H597" i="76"/>
  <c r="G597" i="76"/>
  <c r="G536" i="76"/>
  <c r="H536" i="76"/>
  <c r="G555" i="76"/>
  <c r="H555" i="76"/>
  <c r="H639" i="76"/>
  <c r="G639" i="76"/>
  <c r="G530" i="76"/>
  <c r="H530" i="76"/>
  <c r="G577" i="76"/>
  <c r="H577" i="76"/>
  <c r="G724" i="76"/>
  <c r="H724" i="76"/>
  <c r="H691" i="76"/>
  <c r="G691" i="76"/>
  <c r="G726" i="76"/>
  <c r="H726" i="76"/>
  <c r="H528" i="76"/>
  <c r="G528" i="76"/>
  <c r="H540" i="76"/>
  <c r="G540" i="76"/>
  <c r="G568" i="76"/>
  <c r="H568" i="76"/>
  <c r="G732" i="76"/>
  <c r="H732" i="76"/>
  <c r="G668" i="76"/>
  <c r="H668" i="76"/>
  <c r="G655" i="76"/>
  <c r="H655" i="76"/>
  <c r="G578" i="76"/>
  <c r="H578" i="76"/>
  <c r="G728" i="76"/>
  <c r="H728" i="76"/>
  <c r="G535" i="76"/>
  <c r="H535" i="76"/>
  <c r="O496" i="76"/>
  <c r="P266" i="76"/>
  <c r="P496" i="76" s="1"/>
  <c r="H675" i="76"/>
  <c r="G675" i="76"/>
  <c r="H703" i="76"/>
  <c r="G703" i="76"/>
  <c r="H546" i="76"/>
  <c r="G546" i="76"/>
  <c r="H693" i="76"/>
  <c r="G693" i="76"/>
  <c r="H551" i="76"/>
  <c r="G551" i="76"/>
  <c r="G649" i="76"/>
  <c r="H649" i="76"/>
  <c r="H741" i="76"/>
  <c r="G741" i="76"/>
  <c r="G630" i="76"/>
  <c r="H630" i="76"/>
  <c r="G712" i="76"/>
  <c r="H712" i="76"/>
  <c r="G682" i="76"/>
  <c r="H682" i="76"/>
  <c r="H730" i="76"/>
  <c r="G730" i="76"/>
  <c r="H581" i="76"/>
  <c r="G581" i="76"/>
  <c r="H672" i="76"/>
  <c r="G672" i="76"/>
  <c r="H689" i="76"/>
  <c r="G689" i="76"/>
  <c r="G626" i="76"/>
  <c r="H626" i="76"/>
  <c r="H533" i="76"/>
  <c r="G533" i="76"/>
  <c r="G590" i="76"/>
  <c r="H590" i="76"/>
  <c r="H654" i="76"/>
  <c r="G654" i="76"/>
  <c r="H743" i="76"/>
  <c r="G743" i="76"/>
  <c r="G638" i="76"/>
  <c r="H638" i="76"/>
  <c r="H637" i="76"/>
  <c r="G637" i="76"/>
  <c r="H596" i="76"/>
  <c r="G596" i="76"/>
  <c r="G599" i="76"/>
  <c r="H599" i="76"/>
  <c r="G589" i="76"/>
  <c r="H589" i="76"/>
  <c r="G586" i="76"/>
  <c r="H586" i="76"/>
  <c r="G557" i="76"/>
  <c r="H557" i="76"/>
  <c r="G614" i="76"/>
  <c r="H614" i="76"/>
  <c r="G529" i="76"/>
  <c r="H529" i="76"/>
  <c r="G575" i="76"/>
  <c r="H575" i="76"/>
  <c r="G713" i="76"/>
  <c r="H713" i="76"/>
  <c r="H531" i="76"/>
  <c r="G531" i="76"/>
  <c r="H515" i="76"/>
  <c r="G515" i="76"/>
  <c r="G619" i="76"/>
  <c r="H619" i="76"/>
  <c r="G744" i="76"/>
  <c r="H744" i="76"/>
  <c r="G563" i="76"/>
  <c r="H563" i="76"/>
  <c r="G539" i="76"/>
  <c r="H539" i="76"/>
  <c r="G646" i="76"/>
  <c r="H646" i="76"/>
  <c r="H576" i="76"/>
  <c r="G576" i="76"/>
  <c r="H598" i="76"/>
  <c r="G598" i="76"/>
  <c r="G519" i="76"/>
  <c r="H519" i="76"/>
  <c r="G708" i="76"/>
  <c r="H708" i="76"/>
  <c r="G607" i="76"/>
  <c r="H607" i="76"/>
  <c r="H740" i="76"/>
  <c r="G740" i="76"/>
  <c r="G554" i="76"/>
  <c r="H554" i="76"/>
  <c r="H736" i="76"/>
  <c r="G736" i="76"/>
  <c r="G541" i="76"/>
  <c r="H541" i="76"/>
  <c r="H592" i="76"/>
  <c r="G592" i="76"/>
  <c r="H674" i="76"/>
  <c r="G674" i="76"/>
  <c r="G587" i="76"/>
  <c r="H587" i="76"/>
  <c r="H658" i="76"/>
  <c r="G658" i="76"/>
  <c r="G710" i="76"/>
  <c r="H710" i="76"/>
  <c r="G603" i="76"/>
  <c r="H603" i="76"/>
  <c r="H629" i="76"/>
  <c r="G629" i="76"/>
  <c r="G624" i="76"/>
  <c r="H624" i="76"/>
  <c r="H525" i="76"/>
  <c r="G525" i="76"/>
  <c r="H700" i="76"/>
  <c r="G700" i="76"/>
  <c r="H692" i="76"/>
  <c r="G692" i="76"/>
  <c r="G556" i="76"/>
  <c r="H556" i="76"/>
  <c r="G735" i="76"/>
  <c r="H735" i="76"/>
  <c r="G681" i="76"/>
  <c r="H681" i="76"/>
  <c r="H717" i="76"/>
  <c r="G717" i="76"/>
  <c r="G570" i="76"/>
  <c r="H570" i="76"/>
  <c r="G567" i="76"/>
  <c r="H567" i="76"/>
  <c r="G686" i="76"/>
  <c r="H686" i="76"/>
  <c r="G561" i="76"/>
  <c r="H561" i="76"/>
  <c r="G523" i="76"/>
  <c r="H523" i="76"/>
  <c r="H526" i="76"/>
  <c r="G526" i="76"/>
  <c r="G601" i="76"/>
  <c r="H601" i="76"/>
  <c r="G615" i="76"/>
  <c r="H615" i="76"/>
  <c r="H641" i="76"/>
  <c r="G641" i="76"/>
  <c r="G719" i="76"/>
  <c r="H719" i="76"/>
  <c r="G602" i="76"/>
  <c r="H602" i="76"/>
  <c r="G711" i="76"/>
  <c r="H711" i="76"/>
  <c r="H548" i="76"/>
  <c r="G548" i="76"/>
  <c r="H518" i="76"/>
  <c r="G518" i="76"/>
  <c r="H549" i="76"/>
  <c r="G549" i="76"/>
  <c r="G663" i="76"/>
  <c r="H663" i="76"/>
  <c r="H697" i="76"/>
  <c r="G697" i="76"/>
  <c r="G534" i="76"/>
  <c r="H534" i="76"/>
  <c r="H729" i="76"/>
  <c r="G729" i="76"/>
  <c r="H517" i="76"/>
  <c r="G517" i="76"/>
  <c r="G742" i="76"/>
  <c r="H742" i="76"/>
  <c r="H574" i="76"/>
  <c r="G574" i="76"/>
  <c r="H560" i="76"/>
  <c r="G560" i="76"/>
  <c r="G653" i="76"/>
  <c r="H653" i="76"/>
  <c r="G650" i="76"/>
  <c r="H650" i="76"/>
  <c r="G645" i="76"/>
  <c r="H645" i="76"/>
  <c r="G640" i="76"/>
  <c r="H640" i="76"/>
  <c r="G635" i="76"/>
  <c r="H635" i="76"/>
  <c r="H694" i="76"/>
  <c r="G694" i="76"/>
  <c r="N47" i="84" l="1"/>
  <c r="N48" i="84"/>
  <c r="H516" i="76"/>
  <c r="G516" i="7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Jessica Warren</author>
  </authors>
  <commentList>
    <comment ref="D13" authorId="0" shapeId="0" xr:uid="{5CFD30EF-E1E4-4CEA-9F34-558A21AD2071}">
      <text>
        <r>
          <rPr>
            <b/>
            <sz val="9"/>
            <color indexed="81"/>
            <rFont val="Tahoma"/>
            <family val="2"/>
          </rPr>
          <t>Jessica Warren:</t>
        </r>
        <r>
          <rPr>
            <sz val="9"/>
            <color indexed="81"/>
            <rFont val="Tahoma"/>
            <family val="2"/>
          </rPr>
          <t xml:space="preserve">
S.Strange until J.Warren
</t>
        </r>
      </text>
    </comment>
    <comment ref="F13" authorId="0" shapeId="0" xr:uid="{03226243-FC8C-464D-8227-C6DC42E30982}">
      <text>
        <r>
          <rPr>
            <b/>
            <sz val="9"/>
            <color indexed="81"/>
            <rFont val="Tahoma"/>
            <family val="2"/>
          </rPr>
          <t>Jessica Warren:</t>
        </r>
        <r>
          <rPr>
            <sz val="9"/>
            <color indexed="81"/>
            <rFont val="Tahoma"/>
            <family val="2"/>
          </rPr>
          <t xml:space="preserve">
Jessica was made accountant 11/2021, Stephanie moved to CSR supervisor 2/2021</t>
        </r>
      </text>
    </comment>
    <comment ref="D14" authorId="0" shapeId="0" xr:uid="{845EE309-869D-4EBC-B1AC-71A6FAEF1779}">
      <text>
        <r>
          <rPr>
            <b/>
            <sz val="9"/>
            <color indexed="81"/>
            <rFont val="Tahoma"/>
            <family val="2"/>
          </rPr>
          <t>Jessica Warren:</t>
        </r>
        <r>
          <rPr>
            <sz val="9"/>
            <color indexed="81"/>
            <rFont val="Tahoma"/>
            <family val="2"/>
          </rPr>
          <t xml:space="preserve">
S.O'Bryant
</t>
        </r>
      </text>
    </comment>
    <comment ref="D15" authorId="0" shapeId="0" xr:uid="{35839FE6-EEF2-42FA-9016-B050593C0482}">
      <text>
        <r>
          <rPr>
            <b/>
            <sz val="9"/>
            <color indexed="81"/>
            <rFont val="Tahoma"/>
            <family val="2"/>
          </rPr>
          <t>Jessica Warren:</t>
        </r>
        <r>
          <rPr>
            <sz val="9"/>
            <color indexed="81"/>
            <rFont val="Tahoma"/>
            <family val="2"/>
          </rPr>
          <t xml:space="preserve">
M.Probst - 2022
</t>
        </r>
      </text>
    </comment>
    <comment ref="F15" authorId="0" shapeId="0" xr:uid="{84B79B54-FB06-4E8F-B9C6-FAB5C7BACA75}">
      <text>
        <r>
          <rPr>
            <b/>
            <sz val="9"/>
            <color indexed="81"/>
            <rFont val="Tahoma"/>
            <family val="2"/>
          </rPr>
          <t>Jessica Warren:</t>
        </r>
        <r>
          <rPr>
            <sz val="9"/>
            <color indexed="81"/>
            <rFont val="Tahoma"/>
            <family val="2"/>
          </rPr>
          <t xml:space="preserve">
unfilled at 12/31/2022
Jessica was Accounting Specialist until 11/2021
</t>
        </r>
      </text>
    </comment>
    <comment ref="D16" authorId="0" shapeId="0" xr:uid="{1BCB69DF-CDA7-404C-8CBA-EEF8EBCD2E00}">
      <text>
        <r>
          <rPr>
            <b/>
            <sz val="9"/>
            <color indexed="81"/>
            <rFont val="Tahoma"/>
            <family val="2"/>
          </rPr>
          <t>Jessica Warren:</t>
        </r>
        <r>
          <rPr>
            <sz val="9"/>
            <color indexed="81"/>
            <rFont val="Tahoma"/>
            <family val="2"/>
          </rPr>
          <t xml:space="preserve">
J.Boyken</t>
        </r>
      </text>
    </comment>
    <comment ref="D17" authorId="0" shapeId="0" xr:uid="{69746E0F-34D6-4BC9-BE36-A51D7A5C352F}">
      <text>
        <r>
          <rPr>
            <b/>
            <sz val="9"/>
            <color indexed="81"/>
            <rFont val="Tahoma"/>
            <family val="2"/>
          </rPr>
          <t>Jessica Warren:</t>
        </r>
        <r>
          <rPr>
            <sz val="9"/>
            <color indexed="81"/>
            <rFont val="Tahoma"/>
            <family val="2"/>
          </rPr>
          <t xml:space="preserve">
J.Metz</t>
        </r>
      </text>
    </comment>
    <comment ref="D18" authorId="0" shapeId="0" xr:uid="{8AA93F6D-13CE-488D-9622-DF3787AF3A69}">
      <text>
        <r>
          <rPr>
            <b/>
            <sz val="9"/>
            <color indexed="81"/>
            <rFont val="Tahoma"/>
            <family val="2"/>
          </rPr>
          <t>Jessica Warren:</t>
        </r>
        <r>
          <rPr>
            <sz val="9"/>
            <color indexed="81"/>
            <rFont val="Tahoma"/>
            <family val="2"/>
          </rPr>
          <t xml:space="preserve">
D.Woodlee</t>
        </r>
      </text>
    </comment>
    <comment ref="D19" authorId="0" shapeId="0" xr:uid="{DAD17E8B-9B30-4D27-B729-1DF15A62A501}">
      <text>
        <r>
          <rPr>
            <b/>
            <sz val="9"/>
            <color indexed="81"/>
            <rFont val="Tahoma"/>
            <family val="2"/>
          </rPr>
          <t>Jessica Warren:</t>
        </r>
        <r>
          <rPr>
            <sz val="9"/>
            <color indexed="81"/>
            <rFont val="Tahoma"/>
            <family val="2"/>
          </rPr>
          <t xml:space="preserve">
D.Clifford
</t>
        </r>
      </text>
    </comment>
    <comment ref="D20" authorId="0" shapeId="0" xr:uid="{1C41D5AF-91C0-410A-A0F3-D177F1A1EF04}">
      <text>
        <r>
          <rPr>
            <b/>
            <sz val="9"/>
            <color indexed="81"/>
            <rFont val="Tahoma"/>
            <family val="2"/>
          </rPr>
          <t>Jessica Warren:</t>
        </r>
        <r>
          <rPr>
            <sz val="9"/>
            <color indexed="81"/>
            <rFont val="Tahoma"/>
            <family val="2"/>
          </rPr>
          <t xml:space="preserve">
N.Gocking</t>
        </r>
      </text>
    </comment>
    <comment ref="G20" authorId="0" shapeId="0" xr:uid="{58FDF317-58BD-42D3-89DB-04FF6B68A50F}">
      <text>
        <r>
          <rPr>
            <b/>
            <sz val="9"/>
            <color indexed="81"/>
            <rFont val="Tahoma"/>
            <family val="2"/>
          </rPr>
          <t>Jessica Warren:</t>
        </r>
        <r>
          <rPr>
            <sz val="9"/>
            <color indexed="81"/>
            <rFont val="Tahoma"/>
            <family val="2"/>
          </rPr>
          <t xml:space="preserve">
Position was vaacated mid-year so I annualized by multiplying rate at that time by 2080
</t>
        </r>
      </text>
    </comment>
    <comment ref="D21" authorId="0" shapeId="0" xr:uid="{929F0482-64EF-4818-84FB-05DFC0513891}">
      <text>
        <r>
          <rPr>
            <b/>
            <sz val="9"/>
            <color indexed="81"/>
            <rFont val="Tahoma"/>
            <family val="2"/>
          </rPr>
          <t>Jessica Warren:</t>
        </r>
        <r>
          <rPr>
            <sz val="9"/>
            <color indexed="81"/>
            <rFont val="Tahoma"/>
            <family val="2"/>
          </rPr>
          <t xml:space="preserve">
S.Schmuck
</t>
        </r>
      </text>
    </comment>
    <comment ref="D22" authorId="0" shapeId="0" xr:uid="{F34C4522-F9CE-4190-8AB8-0065C6625999}">
      <text>
        <r>
          <rPr>
            <b/>
            <sz val="9"/>
            <color indexed="81"/>
            <rFont val="Tahoma"/>
            <family val="2"/>
          </rPr>
          <t>Jessica Warren:</t>
        </r>
        <r>
          <rPr>
            <sz val="9"/>
            <color indexed="81"/>
            <rFont val="Tahoma"/>
            <family val="2"/>
          </rPr>
          <t xml:space="preserve">
S.Hogan
</t>
        </r>
      </text>
    </comment>
    <comment ref="D23" authorId="0" shapeId="0" xr:uid="{FD70AEDA-216A-436A-BA20-3A8338CE0F08}">
      <text>
        <r>
          <rPr>
            <b/>
            <sz val="9"/>
            <color indexed="81"/>
            <rFont val="Tahoma"/>
            <family val="2"/>
          </rPr>
          <t>Jessica Warren:</t>
        </r>
        <r>
          <rPr>
            <sz val="9"/>
            <color indexed="81"/>
            <rFont val="Tahoma"/>
            <family val="2"/>
          </rPr>
          <t xml:space="preserve">
Not filled in 2021 or 2022, budgeted for 2023
</t>
        </r>
      </text>
    </comment>
    <comment ref="J23" authorId="0" shapeId="0" xr:uid="{0A6F6C78-44D2-4D8F-AEC4-5CA9D589B598}">
      <text>
        <r>
          <rPr>
            <b/>
            <sz val="9"/>
            <color indexed="81"/>
            <rFont val="Tahoma"/>
            <family val="2"/>
          </rPr>
          <t>Jessica Warren:</t>
        </r>
        <r>
          <rPr>
            <sz val="9"/>
            <color indexed="81"/>
            <rFont val="Tahoma"/>
            <family val="2"/>
          </rPr>
          <t xml:space="preserve">
12/hour for 416 hours
</t>
        </r>
      </text>
    </comment>
    <comment ref="D24" authorId="0" shapeId="0" xr:uid="{62683372-A86E-4607-A652-57AC496E9922}">
      <text>
        <r>
          <rPr>
            <b/>
            <sz val="9"/>
            <color indexed="81"/>
            <rFont val="Tahoma"/>
            <family val="2"/>
          </rPr>
          <t>Jessica Warren:</t>
        </r>
        <r>
          <rPr>
            <sz val="9"/>
            <color indexed="81"/>
            <rFont val="Tahoma"/>
            <family val="2"/>
          </rPr>
          <t xml:space="preserve">
Not filled in 2021 or 2022, budgeted for 2023
</t>
        </r>
      </text>
    </comment>
    <comment ref="J24" authorId="0" shapeId="0" xr:uid="{D7480E6D-94A1-4567-BBB4-E046276DD973}">
      <text>
        <r>
          <rPr>
            <b/>
            <sz val="9"/>
            <color indexed="81"/>
            <rFont val="Tahoma"/>
            <family val="2"/>
          </rPr>
          <t>Jessica Warren:</t>
        </r>
        <r>
          <rPr>
            <sz val="9"/>
            <color indexed="81"/>
            <rFont val="Tahoma"/>
            <family val="2"/>
          </rPr>
          <t xml:space="preserve">
$12.5/hour for 416 hours
</t>
        </r>
      </text>
    </comment>
    <comment ref="D25" authorId="0" shapeId="0" xr:uid="{89B7C053-75F2-4173-A4BB-9FF86F8DAA85}">
      <text>
        <r>
          <rPr>
            <b/>
            <sz val="9"/>
            <color indexed="81"/>
            <rFont val="Tahoma"/>
            <family val="2"/>
          </rPr>
          <t>Jessica Warren:</t>
        </r>
        <r>
          <rPr>
            <sz val="9"/>
            <color indexed="81"/>
            <rFont val="Tahoma"/>
            <family val="2"/>
          </rPr>
          <t xml:space="preserve">
P.Flanagan</t>
        </r>
      </text>
    </comment>
    <comment ref="H25" authorId="0" shapeId="0" xr:uid="{8D894412-22D5-4541-91E6-007A8A1A766A}">
      <text>
        <r>
          <rPr>
            <b/>
            <sz val="9"/>
            <color indexed="81"/>
            <rFont val="Tahoma"/>
            <family val="2"/>
          </rPr>
          <t>Jessica Warren:</t>
        </r>
        <r>
          <rPr>
            <sz val="9"/>
            <color indexed="81"/>
            <rFont val="Tahoma"/>
            <family val="2"/>
          </rPr>
          <t xml:space="preserve">
estimated for the year because this position was not filled for the whole year
</t>
        </r>
      </text>
    </comment>
    <comment ref="D26" authorId="0" shapeId="0" xr:uid="{AFCF62E8-8255-443F-99D4-6AA7A576713F}">
      <text>
        <r>
          <rPr>
            <b/>
            <sz val="9"/>
            <color indexed="81"/>
            <rFont val="Tahoma"/>
            <family val="2"/>
          </rPr>
          <t>Jessica Warren:</t>
        </r>
        <r>
          <rPr>
            <sz val="9"/>
            <color indexed="81"/>
            <rFont val="Tahoma"/>
            <family val="2"/>
          </rPr>
          <t xml:space="preserve">
B.Ammerman
</t>
        </r>
      </text>
    </comment>
    <comment ref="F29" authorId="0" shapeId="0" xr:uid="{62341658-FD71-4412-ADEC-3A289E92E953}">
      <text>
        <r>
          <rPr>
            <b/>
            <sz val="9"/>
            <color indexed="81"/>
            <rFont val="Tahoma"/>
            <family val="2"/>
          </rPr>
          <t>Jessica Warren:</t>
        </r>
        <r>
          <rPr>
            <sz val="9"/>
            <color indexed="81"/>
            <rFont val="Tahoma"/>
            <family val="2"/>
          </rPr>
          <t xml:space="preserve">
typically an exempt position
</t>
        </r>
      </text>
    </comment>
    <comment ref="H36" authorId="0" shapeId="0" xr:uid="{BC757C07-0B5F-4F48-8A7B-95442E8B6A6B}">
      <text>
        <r>
          <rPr>
            <b/>
            <sz val="9"/>
            <color indexed="81"/>
            <rFont val="Tahoma"/>
            <family val="2"/>
          </rPr>
          <t>Jessica Warren:</t>
        </r>
        <r>
          <rPr>
            <sz val="9"/>
            <color indexed="81"/>
            <rFont val="Tahoma"/>
            <family val="2"/>
          </rPr>
          <t xml:space="preserve">
derived from the OT hours YTD for 2022.  They were multiplied by 0.23 to annualize the projected overtime for the remainder of the year, then  multiplied by 1.5 times the employees hourly rate.</t>
        </r>
      </text>
    </comment>
    <comment ref="H55" authorId="0" shapeId="0" xr:uid="{6EA5BDEB-1E3A-4F1B-9416-18075D8F0A00}">
      <text>
        <r>
          <rPr>
            <b/>
            <sz val="9"/>
            <color indexed="81"/>
            <rFont val="Tahoma"/>
            <family val="2"/>
          </rPr>
          <t>Jessica Warren:</t>
        </r>
        <r>
          <rPr>
            <sz val="9"/>
            <color indexed="81"/>
            <rFont val="Tahoma"/>
            <family val="2"/>
          </rPr>
          <t xml:space="preserve">
GIS Position not filled in 2022
 - not a full-time position
</t>
        </r>
      </text>
    </comment>
    <comment ref="J55" authorId="0" shapeId="0" xr:uid="{D99A287E-304D-40F7-AAD9-7E02259028A6}">
      <text>
        <r>
          <rPr>
            <b/>
            <sz val="9"/>
            <color indexed="81"/>
            <rFont val="Tahoma"/>
            <family val="2"/>
          </rPr>
          <t>Jessica Warren:</t>
        </r>
        <r>
          <rPr>
            <sz val="9"/>
            <color indexed="81"/>
            <rFont val="Tahoma"/>
            <family val="2"/>
          </rPr>
          <t xml:space="preserve">
GIS Position not filled in 2022
 - not a full-time position
</t>
        </r>
      </text>
    </comment>
    <comment ref="H56" authorId="0" shapeId="0" xr:uid="{19043EA6-E6C7-40DD-AEF3-5846557C88B0}">
      <text>
        <r>
          <rPr>
            <b/>
            <sz val="9"/>
            <color indexed="81"/>
            <rFont val="Tahoma"/>
            <family val="2"/>
          </rPr>
          <t>Jessica Warren:</t>
        </r>
        <r>
          <rPr>
            <sz val="9"/>
            <color indexed="81"/>
            <rFont val="Tahoma"/>
            <family val="2"/>
          </rPr>
          <t xml:space="preserve">
GIS Position not filled in 2022
 - not a full-time position
</t>
        </r>
      </text>
    </comment>
    <comment ref="J56" authorId="0" shapeId="0" xr:uid="{3B460119-E522-4316-8D2B-9B96FB8BCE5B}">
      <text>
        <r>
          <rPr>
            <b/>
            <sz val="9"/>
            <color indexed="81"/>
            <rFont val="Tahoma"/>
            <family val="2"/>
          </rPr>
          <t>Jessica Warren:</t>
        </r>
        <r>
          <rPr>
            <sz val="9"/>
            <color indexed="81"/>
            <rFont val="Tahoma"/>
            <family val="2"/>
          </rPr>
          <t xml:space="preserve">
GIS Position not filled in 2022
 - not a full-time position
</t>
        </r>
      </text>
    </comment>
    <comment ref="F57" authorId="0" shapeId="0" xr:uid="{5F5ED760-338A-49D4-B9D5-41409C34CA25}">
      <text>
        <r>
          <rPr>
            <b/>
            <sz val="9"/>
            <color indexed="81"/>
            <rFont val="Tahoma"/>
            <family val="2"/>
          </rPr>
          <t>Jessica Warren:</t>
        </r>
        <r>
          <rPr>
            <sz val="9"/>
            <color indexed="81"/>
            <rFont val="Tahoma"/>
            <family val="2"/>
          </rPr>
          <t xml:space="preserve">
Patrick waived his insurance
</t>
        </r>
      </text>
    </comment>
    <comment ref="I61" authorId="0" shapeId="0" xr:uid="{82E5013D-2A7E-42FE-9CBE-80ED55E4509C}">
      <text>
        <r>
          <rPr>
            <b/>
            <sz val="9"/>
            <color indexed="81"/>
            <rFont val="Tahoma"/>
            <family val="2"/>
          </rPr>
          <t>Jessica Warren:</t>
        </r>
        <r>
          <rPr>
            <sz val="9"/>
            <color indexed="81"/>
            <rFont val="Tahoma"/>
            <family val="2"/>
          </rPr>
          <t xml:space="preserve">
preliminary numbers are forcasting a 1% decrease in WC premiums
</t>
        </r>
      </text>
    </comment>
    <comment ref="F63" authorId="0" shapeId="0" xr:uid="{9D8162DE-1384-46D0-A6F3-C773505A796D}">
      <text>
        <r>
          <rPr>
            <b/>
            <sz val="9"/>
            <color indexed="81"/>
            <rFont val="Tahoma"/>
            <family val="2"/>
          </rPr>
          <t>Jessica Warren:</t>
        </r>
        <r>
          <rPr>
            <sz val="9"/>
            <color indexed="81"/>
            <rFont val="Tahoma"/>
            <family val="2"/>
          </rPr>
          <t xml:space="preserve">
open position in 2021
</t>
        </r>
      </text>
    </comment>
    <comment ref="H63" authorId="0" shapeId="0" xr:uid="{98357D96-25FF-42B4-8A0D-6C37FC730D4D}">
      <text>
        <r>
          <rPr>
            <b/>
            <sz val="9"/>
            <color indexed="81"/>
            <rFont val="Tahoma"/>
            <family val="2"/>
          </rPr>
          <t>Jessica Warren:</t>
        </r>
        <r>
          <rPr>
            <sz val="9"/>
            <color indexed="81"/>
            <rFont val="Tahoma"/>
            <family val="2"/>
          </rPr>
          <t xml:space="preserve">
used the same amount as other accounting specialist position
</t>
        </r>
      </text>
    </comment>
    <comment ref="H71" authorId="0" shapeId="0" xr:uid="{2EBE6110-8DBE-42A9-A87E-89868E056A78}">
      <text>
        <r>
          <rPr>
            <b/>
            <sz val="9"/>
            <color indexed="81"/>
            <rFont val="Tahoma"/>
            <family val="2"/>
          </rPr>
          <t>Jessica Warren:</t>
        </r>
        <r>
          <rPr>
            <sz val="9"/>
            <color indexed="81"/>
            <rFont val="Tahoma"/>
            <family val="2"/>
          </rPr>
          <t xml:space="preserve">
GIS Intern Position not filled in 2022, but budgeted
</t>
        </r>
      </text>
    </comment>
    <comment ref="H72" authorId="0" shapeId="0" xr:uid="{552B69E0-F0C1-4497-B204-8A754FC35D12}">
      <text>
        <r>
          <rPr>
            <b/>
            <sz val="9"/>
            <color indexed="81"/>
            <rFont val="Tahoma"/>
            <family val="2"/>
          </rPr>
          <t>Jessica Warren:</t>
        </r>
        <r>
          <rPr>
            <sz val="9"/>
            <color indexed="81"/>
            <rFont val="Tahoma"/>
            <family val="2"/>
          </rPr>
          <t xml:space="preserve">
Finance Intern Position not filled in 2022, but budgeted
</t>
        </r>
      </text>
    </comment>
    <comment ref="F77" authorId="0" shapeId="0" xr:uid="{24C2C2C6-09F0-48B6-835B-EE83112C15B6}">
      <text>
        <r>
          <rPr>
            <b/>
            <sz val="9"/>
            <color indexed="81"/>
            <rFont val="Tahoma"/>
            <family val="2"/>
          </rPr>
          <t>Jessica Warren:</t>
        </r>
        <r>
          <rPr>
            <sz val="9"/>
            <color indexed="81"/>
            <rFont val="Tahoma"/>
            <family val="2"/>
          </rPr>
          <t xml:space="preserve">
20.99+6.29 = 27.28
</t>
        </r>
      </text>
    </comment>
    <comment ref="H87" authorId="0" shapeId="0" xr:uid="{6A1A247F-97D1-4FE6-944D-7105EEB63A4B}">
      <text>
        <r>
          <rPr>
            <b/>
            <sz val="9"/>
            <color indexed="81"/>
            <rFont val="Tahoma"/>
            <family val="2"/>
          </rPr>
          <t>Jessica Warren:</t>
        </r>
        <r>
          <rPr>
            <sz val="9"/>
            <color indexed="81"/>
            <rFont val="Tahoma"/>
            <family val="2"/>
          </rPr>
          <t xml:space="preserve">
GIS Position not filled in 2022
 - not a full-time position
</t>
        </r>
      </text>
    </comment>
    <comment ref="J87" authorId="0" shapeId="0" xr:uid="{0808F919-D646-4E56-BC6D-DF1825407A5B}">
      <text>
        <r>
          <rPr>
            <b/>
            <sz val="9"/>
            <color indexed="81"/>
            <rFont val="Tahoma"/>
            <family val="2"/>
          </rPr>
          <t>Jessica Warren:</t>
        </r>
        <r>
          <rPr>
            <sz val="9"/>
            <color indexed="81"/>
            <rFont val="Tahoma"/>
            <family val="2"/>
          </rPr>
          <t xml:space="preserve">
GIS Position not filled in 2022
 - not a full-time position
</t>
        </r>
      </text>
    </comment>
    <comment ref="H88" authorId="0" shapeId="0" xr:uid="{AF9151C3-12CB-434B-AF00-54721AE88098}">
      <text>
        <r>
          <rPr>
            <b/>
            <sz val="9"/>
            <color indexed="81"/>
            <rFont val="Tahoma"/>
            <family val="2"/>
          </rPr>
          <t>Jessica Warren:</t>
        </r>
        <r>
          <rPr>
            <sz val="9"/>
            <color indexed="81"/>
            <rFont val="Tahoma"/>
            <family val="2"/>
          </rPr>
          <t xml:space="preserve">
GIS Position not filled in 2022
 - not a full-time position
</t>
        </r>
      </text>
    </comment>
    <comment ref="J88" authorId="0" shapeId="0" xr:uid="{48BD3A2E-2363-445E-AA3E-FBE0A8FD3B37}">
      <text>
        <r>
          <rPr>
            <b/>
            <sz val="9"/>
            <color indexed="81"/>
            <rFont val="Tahoma"/>
            <family val="2"/>
          </rPr>
          <t>Jessica Warren:</t>
        </r>
        <r>
          <rPr>
            <sz val="9"/>
            <color indexed="81"/>
            <rFont val="Tahoma"/>
            <family val="2"/>
          </rPr>
          <t xml:space="preserve">
GIS Position not filled in 2022
 - not a full-time position
</t>
        </r>
      </text>
    </comment>
    <comment ref="F89" authorId="0" shapeId="0" xr:uid="{CC5BE996-76B7-4248-BA2D-CCC9923F5934}">
      <text>
        <r>
          <rPr>
            <b/>
            <sz val="9"/>
            <color indexed="81"/>
            <rFont val="Tahoma"/>
            <family val="2"/>
          </rPr>
          <t>Jessica Warren:</t>
        </r>
        <r>
          <rPr>
            <sz val="9"/>
            <color indexed="81"/>
            <rFont val="Tahoma"/>
            <family val="2"/>
          </rPr>
          <t xml:space="preserve">
Patrick waived his insurance
</t>
        </r>
      </text>
    </comment>
    <comment ref="F95" authorId="0" shapeId="0" xr:uid="{6BE294F6-A942-48F7-BA73-6005D7D0D9D7}">
      <text>
        <r>
          <rPr>
            <b/>
            <sz val="9"/>
            <color indexed="81"/>
            <rFont val="Tahoma"/>
            <family val="2"/>
          </rPr>
          <t>Jessica Warren:</t>
        </r>
        <r>
          <rPr>
            <sz val="9"/>
            <color indexed="81"/>
            <rFont val="Tahoma"/>
            <family val="2"/>
          </rPr>
          <t xml:space="preserve">
open position in 2021
</t>
        </r>
      </text>
    </comment>
    <comment ref="H103" authorId="0" shapeId="0" xr:uid="{21CA120C-5859-4E4E-8B60-E76A3AEF82E9}">
      <text>
        <r>
          <rPr>
            <b/>
            <sz val="9"/>
            <color indexed="81"/>
            <rFont val="Tahoma"/>
            <family val="2"/>
          </rPr>
          <t>Jessica Warren:</t>
        </r>
        <r>
          <rPr>
            <sz val="9"/>
            <color indexed="81"/>
            <rFont val="Tahoma"/>
            <family val="2"/>
          </rPr>
          <t xml:space="preserve">
GIS Position not filled in 2022
 - not a full-time position
</t>
        </r>
      </text>
    </comment>
    <comment ref="J103" authorId="0" shapeId="0" xr:uid="{F53C9100-C19E-49DE-A107-63E89C7B43F5}">
      <text>
        <r>
          <rPr>
            <b/>
            <sz val="9"/>
            <color indexed="81"/>
            <rFont val="Tahoma"/>
            <family val="2"/>
          </rPr>
          <t>Jessica Warren:</t>
        </r>
        <r>
          <rPr>
            <sz val="9"/>
            <color indexed="81"/>
            <rFont val="Tahoma"/>
            <family val="2"/>
          </rPr>
          <t xml:space="preserve">
GIS Position not filled in 2022
 - not a full-time position
</t>
        </r>
      </text>
    </comment>
    <comment ref="H104" authorId="0" shapeId="0" xr:uid="{0A3E5924-8F18-463E-B44F-90F5055B1303}">
      <text>
        <r>
          <rPr>
            <b/>
            <sz val="9"/>
            <color indexed="81"/>
            <rFont val="Tahoma"/>
            <family val="2"/>
          </rPr>
          <t>Jessica Warren:</t>
        </r>
        <r>
          <rPr>
            <sz val="9"/>
            <color indexed="81"/>
            <rFont val="Tahoma"/>
            <family val="2"/>
          </rPr>
          <t xml:space="preserve">
GIS Position not filled in 2022
 - not a full-time position
</t>
        </r>
      </text>
    </comment>
    <comment ref="J104" authorId="0" shapeId="0" xr:uid="{5C94E6CF-CD77-414F-8B9C-06FCCA67B8BD}">
      <text>
        <r>
          <rPr>
            <b/>
            <sz val="9"/>
            <color indexed="81"/>
            <rFont val="Tahoma"/>
            <family val="2"/>
          </rPr>
          <t>Jessica Warren:</t>
        </r>
        <r>
          <rPr>
            <sz val="9"/>
            <color indexed="81"/>
            <rFont val="Tahoma"/>
            <family val="2"/>
          </rPr>
          <t xml:space="preserve">
GIS Position not filled in 2022
 - not a full-time position
</t>
        </r>
      </text>
    </comment>
    <comment ref="F111" authorId="0" shapeId="0" xr:uid="{89EDD35F-FD7F-4832-A536-1D732C41B439}">
      <text>
        <r>
          <rPr>
            <b/>
            <sz val="9"/>
            <color indexed="81"/>
            <rFont val="Tahoma"/>
            <family val="2"/>
          </rPr>
          <t>Jessica Warren:</t>
        </r>
        <r>
          <rPr>
            <sz val="9"/>
            <color indexed="81"/>
            <rFont val="Tahoma"/>
            <family val="2"/>
          </rPr>
          <t xml:space="preserve">
open position in 2021
</t>
        </r>
      </text>
    </comment>
    <comment ref="F127" authorId="0" shapeId="0" xr:uid="{0737F33B-66CC-4637-9ECA-92B97C7C0E63}">
      <text>
        <r>
          <rPr>
            <b/>
            <sz val="9"/>
            <color indexed="81"/>
            <rFont val="Tahoma"/>
            <family val="2"/>
          </rPr>
          <t>Jessica Warren:</t>
        </r>
        <r>
          <rPr>
            <sz val="9"/>
            <color indexed="81"/>
            <rFont val="Tahoma"/>
            <family val="2"/>
          </rPr>
          <t xml:space="preserve">
open position in 2021
</t>
        </r>
      </text>
    </comment>
    <comment ref="H135" authorId="0" shapeId="0" xr:uid="{5A5B57A4-36B1-4D45-B6A5-A558F22AC597}">
      <text>
        <r>
          <rPr>
            <b/>
            <sz val="9"/>
            <color indexed="81"/>
            <rFont val="Tahoma"/>
            <family val="2"/>
          </rPr>
          <t>Jessica Warren:</t>
        </r>
        <r>
          <rPr>
            <sz val="9"/>
            <color indexed="81"/>
            <rFont val="Tahoma"/>
            <family val="2"/>
          </rPr>
          <t xml:space="preserve">
GIS Position not filled in 2022
 - not a full-time position
</t>
        </r>
      </text>
    </comment>
    <comment ref="J135" authorId="0" shapeId="0" xr:uid="{D73090B9-44E9-4C19-86F5-F4981C60037B}">
      <text>
        <r>
          <rPr>
            <b/>
            <sz val="9"/>
            <color indexed="81"/>
            <rFont val="Tahoma"/>
            <family val="2"/>
          </rPr>
          <t>Jessica Warren:</t>
        </r>
        <r>
          <rPr>
            <sz val="9"/>
            <color indexed="81"/>
            <rFont val="Tahoma"/>
            <family val="2"/>
          </rPr>
          <t xml:space="preserve">
GIS Position not filled in 2022
 - not a full-time position
</t>
        </r>
      </text>
    </comment>
    <comment ref="H136" authorId="0" shapeId="0" xr:uid="{4A617D02-103D-4B9E-90AB-A7314002C26B}">
      <text>
        <r>
          <rPr>
            <b/>
            <sz val="9"/>
            <color indexed="81"/>
            <rFont val="Tahoma"/>
            <family val="2"/>
          </rPr>
          <t>Jessica Warren:</t>
        </r>
        <r>
          <rPr>
            <sz val="9"/>
            <color indexed="81"/>
            <rFont val="Tahoma"/>
            <family val="2"/>
          </rPr>
          <t xml:space="preserve">
GIS Position not filled in 2022
 - not a full-time position
</t>
        </r>
      </text>
    </comment>
    <comment ref="J136" authorId="0" shapeId="0" xr:uid="{DBD13056-D639-43DE-AB4C-5C4526A7A39D}">
      <text>
        <r>
          <rPr>
            <b/>
            <sz val="9"/>
            <color indexed="81"/>
            <rFont val="Tahoma"/>
            <family val="2"/>
          </rPr>
          <t>Jessica Warren:</t>
        </r>
        <r>
          <rPr>
            <sz val="9"/>
            <color indexed="81"/>
            <rFont val="Tahoma"/>
            <family val="2"/>
          </rPr>
          <t xml:space="preserve">
GIS Position not filled in 2022
 - not a full-time position
</t>
        </r>
      </text>
    </comment>
    <comment ref="J141" authorId="0" shapeId="0" xr:uid="{23F76DB8-8D11-415C-9AB6-A5EFE81CC8BF}">
      <text>
        <r>
          <rPr>
            <b/>
            <sz val="9"/>
            <color indexed="81"/>
            <rFont val="Tahoma"/>
            <family val="2"/>
          </rPr>
          <t>Jessica Warren:</t>
        </r>
        <r>
          <rPr>
            <sz val="9"/>
            <color indexed="81"/>
            <rFont val="Tahoma"/>
            <family val="2"/>
          </rPr>
          <t xml:space="preserve">
Estimated the 2023 july increase to be 12%</t>
        </r>
      </text>
    </comment>
    <comment ref="F143" authorId="0" shapeId="0" xr:uid="{92A31818-B2FB-4690-934C-5C80233C4AA6}">
      <text>
        <r>
          <rPr>
            <b/>
            <sz val="9"/>
            <color indexed="81"/>
            <rFont val="Tahoma"/>
            <family val="2"/>
          </rPr>
          <t>Jessica Warren:</t>
        </r>
        <r>
          <rPr>
            <sz val="9"/>
            <color indexed="81"/>
            <rFont val="Tahoma"/>
            <family val="2"/>
          </rPr>
          <t xml:space="preserve">
open position in 2021
</t>
        </r>
      </text>
    </comment>
    <comment ref="H151" authorId="0" shapeId="0" xr:uid="{964BA7E6-B13C-49D5-BACC-A8E676636E94}">
      <text>
        <r>
          <rPr>
            <b/>
            <sz val="9"/>
            <color indexed="81"/>
            <rFont val="Tahoma"/>
            <family val="2"/>
          </rPr>
          <t>Jessica Warren:</t>
        </r>
        <r>
          <rPr>
            <sz val="9"/>
            <color indexed="81"/>
            <rFont val="Tahoma"/>
            <family val="2"/>
          </rPr>
          <t xml:space="preserve">
GIS Position not filled in 2022
 - not a full-time position
</t>
        </r>
      </text>
    </comment>
    <comment ref="J151" authorId="0" shapeId="0" xr:uid="{E50449FD-68F9-446E-B18F-2F8A1095B8EB}">
      <text>
        <r>
          <rPr>
            <b/>
            <sz val="9"/>
            <color indexed="81"/>
            <rFont val="Tahoma"/>
            <family val="2"/>
          </rPr>
          <t>Jessica Warren:</t>
        </r>
        <r>
          <rPr>
            <sz val="9"/>
            <color indexed="81"/>
            <rFont val="Tahoma"/>
            <family val="2"/>
          </rPr>
          <t xml:space="preserve">
GIS Position not filled in 2022
 - not a full-time position
</t>
        </r>
      </text>
    </comment>
    <comment ref="H152" authorId="0" shapeId="0" xr:uid="{97D714B6-736B-45DF-9003-3E0BBFC28ADA}">
      <text>
        <r>
          <rPr>
            <b/>
            <sz val="9"/>
            <color indexed="81"/>
            <rFont val="Tahoma"/>
            <family val="2"/>
          </rPr>
          <t>Jessica Warren:</t>
        </r>
        <r>
          <rPr>
            <sz val="9"/>
            <color indexed="81"/>
            <rFont val="Tahoma"/>
            <family val="2"/>
          </rPr>
          <t xml:space="preserve">
GIS Position not filled in 2022
 - not a full-time position
</t>
        </r>
      </text>
    </comment>
    <comment ref="J152" authorId="0" shapeId="0" xr:uid="{D89BC306-8005-4EDE-83C4-498C822BC2B6}">
      <text>
        <r>
          <rPr>
            <b/>
            <sz val="9"/>
            <color indexed="81"/>
            <rFont val="Tahoma"/>
            <family val="2"/>
          </rPr>
          <t>Jessica Warren:</t>
        </r>
        <r>
          <rPr>
            <sz val="9"/>
            <color indexed="81"/>
            <rFont val="Tahoma"/>
            <family val="2"/>
          </rPr>
          <t xml:space="preserve">
GIS Position not filled in 2022
 - not a full-time position
</t>
        </r>
      </text>
    </comment>
    <comment ref="D175" authorId="0" shapeId="0" xr:uid="{7767C2B2-4299-4634-9C9B-92D4389FA43C}">
      <text>
        <r>
          <rPr>
            <b/>
            <sz val="9"/>
            <color indexed="81"/>
            <rFont val="Tahoma"/>
            <family val="2"/>
          </rPr>
          <t>Jessica Warren:</t>
        </r>
        <r>
          <rPr>
            <sz val="9"/>
            <color indexed="81"/>
            <rFont val="Tahoma"/>
            <family val="2"/>
          </rPr>
          <t xml:space="preserve">
J. Tindall
</t>
        </r>
      </text>
    </comment>
    <comment ref="F189" authorId="0" shapeId="0" xr:uid="{B171A7D0-D566-4078-97F4-AE5581B9F9F5}">
      <text>
        <r>
          <rPr>
            <b/>
            <sz val="9"/>
            <color indexed="81"/>
            <rFont val="Tahoma"/>
            <family val="2"/>
          </rPr>
          <t>Jessica Warren:</t>
        </r>
        <r>
          <rPr>
            <sz val="9"/>
            <color indexed="81"/>
            <rFont val="Tahoma"/>
            <family val="2"/>
          </rPr>
          <t xml:space="preserve">
waived
</t>
        </r>
      </text>
    </comment>
    <comment ref="F190" authorId="0" shapeId="0" xr:uid="{92A838B2-5993-496A-AE0F-E231B824C5BE}">
      <text>
        <r>
          <rPr>
            <b/>
            <sz val="9"/>
            <color indexed="81"/>
            <rFont val="Tahoma"/>
            <family val="2"/>
          </rPr>
          <t>Jessica Warren:</t>
        </r>
        <r>
          <rPr>
            <sz val="9"/>
            <color indexed="81"/>
            <rFont val="Tahoma"/>
            <family val="2"/>
          </rPr>
          <t xml:space="preserve">
waived
</t>
        </r>
      </text>
    </comment>
    <comment ref="I193" authorId="0" shapeId="0" xr:uid="{31C52216-F7CB-48FA-9280-EB7B1A74F543}">
      <text>
        <r>
          <rPr>
            <b/>
            <sz val="9"/>
            <color indexed="81"/>
            <rFont val="Tahoma"/>
            <family val="2"/>
          </rPr>
          <t>Jessica Warren:</t>
        </r>
        <r>
          <rPr>
            <sz val="9"/>
            <color indexed="81"/>
            <rFont val="Tahoma"/>
            <family val="2"/>
          </rPr>
          <t xml:space="preserve">
preliminary numbers are forcasting a 1% decrease in WC premiums
</t>
        </r>
      </text>
    </comment>
    <comment ref="F203" authorId="0" shapeId="0" xr:uid="{18BCFCB9-7FF2-4FDB-9082-0DECCE5EF27D}">
      <text>
        <r>
          <rPr>
            <b/>
            <sz val="9"/>
            <color indexed="81"/>
            <rFont val="Tahoma"/>
            <family val="2"/>
          </rPr>
          <t>Jessica Warren:</t>
        </r>
        <r>
          <rPr>
            <sz val="9"/>
            <color indexed="81"/>
            <rFont val="Tahoma"/>
            <family val="2"/>
          </rPr>
          <t xml:space="preserve">
waived
</t>
        </r>
      </text>
    </comment>
    <comment ref="F204" authorId="0" shapeId="0" xr:uid="{5CEB901F-2189-48E7-B1F3-DBA49AA9CBD0}">
      <text>
        <r>
          <rPr>
            <b/>
            <sz val="9"/>
            <color indexed="81"/>
            <rFont val="Tahoma"/>
            <family val="2"/>
          </rPr>
          <t>Jessica Warren:</t>
        </r>
        <r>
          <rPr>
            <sz val="9"/>
            <color indexed="81"/>
            <rFont val="Tahoma"/>
            <family val="2"/>
          </rPr>
          <t xml:space="preserve">
waived
</t>
        </r>
      </text>
    </comment>
    <comment ref="F207" authorId="0" shapeId="0" xr:uid="{8D162F72-B40B-4BE8-8730-9456A8F3394F}">
      <text>
        <r>
          <rPr>
            <b/>
            <sz val="9"/>
            <color indexed="81"/>
            <rFont val="Tahoma"/>
            <family val="2"/>
          </rPr>
          <t>Jessica Warren:</t>
        </r>
        <r>
          <rPr>
            <sz val="9"/>
            <color indexed="81"/>
            <rFont val="Tahoma"/>
            <family val="2"/>
          </rPr>
          <t xml:space="preserve">
not offered for commissioners
</t>
        </r>
      </text>
    </comment>
    <comment ref="H207" authorId="0" shapeId="0" xr:uid="{D5CBAA4F-3A60-4ED5-AB07-F52253839CEC}">
      <text>
        <r>
          <rPr>
            <b/>
            <sz val="9"/>
            <color indexed="81"/>
            <rFont val="Tahoma"/>
            <family val="2"/>
          </rPr>
          <t>Jessica Warren:</t>
        </r>
        <r>
          <rPr>
            <sz val="9"/>
            <color indexed="81"/>
            <rFont val="Tahoma"/>
            <family val="2"/>
          </rPr>
          <t xml:space="preserve">
not offered for commissioners
</t>
        </r>
      </text>
    </comment>
    <comment ref="J207" authorId="0" shapeId="0" xr:uid="{D3A1F49D-D644-4E51-B6F9-C662B0F70D4F}">
      <text>
        <r>
          <rPr>
            <b/>
            <sz val="9"/>
            <color indexed="81"/>
            <rFont val="Tahoma"/>
            <family val="2"/>
          </rPr>
          <t>Jessica Warren:</t>
        </r>
        <r>
          <rPr>
            <sz val="9"/>
            <color indexed="81"/>
            <rFont val="Tahoma"/>
            <family val="2"/>
          </rPr>
          <t xml:space="preserve">
not offered for commissioners
</t>
        </r>
      </text>
    </comment>
    <comment ref="D247" authorId="0" shapeId="0" xr:uid="{CDEA596A-8CAE-4549-9968-9DC4A305080F}">
      <text>
        <r>
          <rPr>
            <b/>
            <sz val="9"/>
            <color indexed="81"/>
            <rFont val="Tahoma"/>
            <family val="2"/>
          </rPr>
          <t>Jessica Warren:</t>
        </r>
        <r>
          <rPr>
            <sz val="9"/>
            <color indexed="81"/>
            <rFont val="Tahoma"/>
            <family val="2"/>
          </rPr>
          <t xml:space="preserve">
S.Strange
</t>
        </r>
      </text>
    </comment>
    <comment ref="F247" authorId="0" shapeId="0" xr:uid="{F4BEF8BB-70F0-4DC6-9E1F-70B1629789B9}">
      <text>
        <r>
          <rPr>
            <b/>
            <sz val="9"/>
            <color indexed="81"/>
            <rFont val="Tahoma"/>
            <family val="2"/>
          </rPr>
          <t>Jessica Warren:</t>
        </r>
        <r>
          <rPr>
            <sz val="9"/>
            <color indexed="81"/>
            <rFont val="Tahoma"/>
            <family val="2"/>
          </rPr>
          <t xml:space="preserve">
S.Strange promoted to CS Supervisor 2/15/2021</t>
        </r>
      </text>
    </comment>
    <comment ref="D248" authorId="0" shapeId="0" xr:uid="{9E638F0B-AC08-485B-ADE9-10A09FC34760}">
      <text>
        <r>
          <rPr>
            <b/>
            <sz val="9"/>
            <color indexed="81"/>
            <rFont val="Tahoma"/>
            <family val="2"/>
          </rPr>
          <t>Jessica Warren:</t>
        </r>
        <r>
          <rPr>
            <sz val="9"/>
            <color indexed="81"/>
            <rFont val="Tahoma"/>
            <family val="2"/>
          </rPr>
          <t xml:space="preserve">
B.Cruse
</t>
        </r>
      </text>
    </comment>
    <comment ref="F248" authorId="0" shapeId="0" xr:uid="{DEDADF0E-9F8B-4A5F-90C4-20646357D4BF}">
      <text>
        <r>
          <rPr>
            <b/>
            <sz val="9"/>
            <color indexed="81"/>
            <rFont val="Tahoma"/>
            <family val="2"/>
          </rPr>
          <t>Jessica Warren:</t>
        </r>
        <r>
          <rPr>
            <sz val="9"/>
            <color indexed="81"/>
            <rFont val="Tahoma"/>
            <family val="2"/>
          </rPr>
          <t xml:space="preserve">
Not employed for the full year.  Annualized the year at the hourly rate.  16*2080</t>
        </r>
      </text>
    </comment>
    <comment ref="G248" authorId="0" shapeId="0" xr:uid="{B4982ECE-F213-4BCC-9C93-3AB899D48B0C}">
      <text>
        <r>
          <rPr>
            <b/>
            <sz val="9"/>
            <color indexed="81"/>
            <rFont val="Tahoma"/>
            <family val="2"/>
          </rPr>
          <t>Jessica Warren:</t>
        </r>
        <r>
          <rPr>
            <sz val="9"/>
            <color indexed="81"/>
            <rFont val="Tahoma"/>
            <family val="2"/>
          </rPr>
          <t xml:space="preserve">
Position open - estimated at 16.00/hour
Tori Martin was employed until October</t>
        </r>
      </text>
    </comment>
    <comment ref="H248" authorId="0" shapeId="0" xr:uid="{6F8CAF74-9823-452D-8A12-DFA3B9FED919}">
      <text>
        <r>
          <rPr>
            <b/>
            <sz val="9"/>
            <color indexed="81"/>
            <rFont val="Tahoma"/>
            <family val="2"/>
          </rPr>
          <t>Jessica Warren:</t>
        </r>
        <r>
          <rPr>
            <sz val="9"/>
            <color indexed="81"/>
            <rFont val="Tahoma"/>
            <family val="2"/>
          </rPr>
          <t xml:space="preserve">
estimated as 16*2080 because the position was not filled for the entire year
</t>
        </r>
      </text>
    </comment>
    <comment ref="D249" authorId="0" shapeId="0" xr:uid="{01488352-97F7-4988-8280-09D134982374}">
      <text>
        <r>
          <rPr>
            <b/>
            <sz val="9"/>
            <color indexed="81"/>
            <rFont val="Tahoma"/>
            <family val="2"/>
          </rPr>
          <t>Jessica Warren:</t>
        </r>
        <r>
          <rPr>
            <sz val="9"/>
            <color indexed="81"/>
            <rFont val="Tahoma"/>
            <family val="2"/>
          </rPr>
          <t xml:space="preserve">
J.Steck
</t>
        </r>
      </text>
    </comment>
    <comment ref="F249" authorId="0" shapeId="0" xr:uid="{C10DAFC9-4C45-4F60-9C53-7376A9C25F5E}">
      <text>
        <r>
          <rPr>
            <b/>
            <sz val="9"/>
            <color indexed="81"/>
            <rFont val="Tahoma"/>
            <family val="2"/>
          </rPr>
          <t>Jessica Warren:</t>
        </r>
        <r>
          <rPr>
            <sz val="9"/>
            <color indexed="81"/>
            <rFont val="Tahoma"/>
            <family val="2"/>
          </rPr>
          <t xml:space="preserve">
Not employed for the full year.  Annualized the year at the hourly rate.  16*2080</t>
        </r>
      </text>
    </comment>
    <comment ref="D250" authorId="0" shapeId="0" xr:uid="{DA26ED56-E8A9-4633-886D-3F55A6DF5B48}">
      <text>
        <r>
          <rPr>
            <b/>
            <sz val="9"/>
            <color indexed="81"/>
            <rFont val="Tahoma"/>
            <family val="2"/>
          </rPr>
          <t>Jessica Warren:</t>
        </r>
        <r>
          <rPr>
            <sz val="9"/>
            <color indexed="81"/>
            <rFont val="Tahoma"/>
            <family val="2"/>
          </rPr>
          <t xml:space="preserve">
C.Campbell
</t>
        </r>
      </text>
    </comment>
    <comment ref="D251" authorId="0" shapeId="0" xr:uid="{9CECAB26-BA52-44DA-9EC1-BC9530E56AAC}">
      <text>
        <r>
          <rPr>
            <b/>
            <sz val="9"/>
            <color indexed="81"/>
            <rFont val="Tahoma"/>
            <family val="2"/>
          </rPr>
          <t>Jessica Warren:</t>
        </r>
        <r>
          <rPr>
            <sz val="9"/>
            <color indexed="81"/>
            <rFont val="Tahoma"/>
            <family val="2"/>
          </rPr>
          <t xml:space="preserve">
l.thomas
</t>
        </r>
      </text>
    </comment>
    <comment ref="G251" authorId="0" shapeId="0" xr:uid="{255119FC-14D1-4B06-9704-6424335925D5}">
      <text>
        <r>
          <rPr>
            <b/>
            <sz val="9"/>
            <color indexed="81"/>
            <rFont val="Tahoma"/>
            <family val="2"/>
          </rPr>
          <t>Jessica Warren:</t>
        </r>
        <r>
          <rPr>
            <sz val="9"/>
            <color indexed="81"/>
            <rFont val="Tahoma"/>
            <family val="2"/>
          </rPr>
          <t xml:space="preserve">
Susanna promoted to Utility Billing Specialist and Lacey Thomas Hired </t>
        </r>
      </text>
    </comment>
    <comment ref="D252" authorId="0" shapeId="0" xr:uid="{B63E61DC-CFC4-457D-B084-980AC2A426EC}">
      <text>
        <r>
          <rPr>
            <b/>
            <sz val="9"/>
            <color indexed="81"/>
            <rFont val="Tahoma"/>
            <family val="2"/>
          </rPr>
          <t>Jessica Warren:</t>
        </r>
        <r>
          <rPr>
            <sz val="9"/>
            <color indexed="81"/>
            <rFont val="Tahoma"/>
            <family val="2"/>
          </rPr>
          <t xml:space="preserve">
s.wittstock
</t>
        </r>
      </text>
    </comment>
    <comment ref="F252" authorId="0" shapeId="0" xr:uid="{0E3452FE-E8D5-4BFC-AF91-A96B931A6C70}">
      <text>
        <r>
          <rPr>
            <b/>
            <sz val="9"/>
            <color indexed="81"/>
            <rFont val="Tahoma"/>
            <family val="2"/>
          </rPr>
          <t>Jessica Warren:</t>
        </r>
        <r>
          <rPr>
            <sz val="9"/>
            <color indexed="81"/>
            <rFont val="Tahoma"/>
            <family val="2"/>
          </rPr>
          <t xml:space="preserve">
Retired 11/30/2022
multiplied by 1.0833 because 1 month of 12 total</t>
        </r>
      </text>
    </comment>
    <comment ref="G252" authorId="0" shapeId="0" xr:uid="{23F23AFF-8027-476B-A57E-980D980EE9BD}">
      <text>
        <r>
          <rPr>
            <b/>
            <sz val="9"/>
            <color indexed="81"/>
            <rFont val="Tahoma"/>
            <family val="2"/>
          </rPr>
          <t>Jessica Warren:</t>
        </r>
        <r>
          <rPr>
            <sz val="9"/>
            <color indexed="81"/>
            <rFont val="Tahoma"/>
            <family val="2"/>
          </rPr>
          <t xml:space="preserve">
Susanna promoted to Utility Billing Specialist and Lacey Thomas Hired </t>
        </r>
      </text>
    </comment>
    <comment ref="F253" authorId="0" shapeId="0" xr:uid="{1FE39B67-7DC4-47CC-8AEE-BC3450A27A9F}">
      <text>
        <r>
          <rPr>
            <b/>
            <sz val="9"/>
            <color indexed="81"/>
            <rFont val="Tahoma"/>
            <family val="2"/>
          </rPr>
          <t>Jessica Warren:</t>
        </r>
        <r>
          <rPr>
            <sz val="9"/>
            <color indexed="81"/>
            <rFont val="Tahoma"/>
            <family val="2"/>
          </rPr>
          <t xml:space="preserve">
Not Filled in 2021
</t>
        </r>
      </text>
    </comment>
    <comment ref="H253" authorId="0" shapeId="0" xr:uid="{E5956523-365E-495E-A989-1DA50E12274D}">
      <text>
        <r>
          <rPr>
            <b/>
            <sz val="9"/>
            <color indexed="81"/>
            <rFont val="Tahoma"/>
            <family val="2"/>
          </rPr>
          <t>Jessica Warren:</t>
        </r>
        <r>
          <rPr>
            <sz val="9"/>
            <color indexed="81"/>
            <rFont val="Tahoma"/>
            <family val="2"/>
          </rPr>
          <t xml:space="preserve">
Not filled in 2022 but budgeted
</t>
        </r>
      </text>
    </comment>
    <comment ref="J253" authorId="0" shapeId="0" xr:uid="{36AA01E6-9470-4CB1-8F8D-A616120E54B1}">
      <text>
        <r>
          <rPr>
            <b/>
            <sz val="9"/>
            <color indexed="81"/>
            <rFont val="Tahoma"/>
            <family val="2"/>
          </rPr>
          <t>Jessica Warren:</t>
        </r>
        <r>
          <rPr>
            <sz val="9"/>
            <color indexed="81"/>
            <rFont val="Tahoma"/>
            <family val="2"/>
          </rPr>
          <t xml:space="preserve">
Not filled in 2022 but budgeted
$12/hour for 416 hours</t>
        </r>
      </text>
    </comment>
    <comment ref="D256" authorId="0" shapeId="0" xr:uid="{C806741D-649E-4894-BC9F-2A54395079C9}">
      <text>
        <r>
          <rPr>
            <b/>
            <sz val="9"/>
            <color indexed="81"/>
            <rFont val="Tahoma"/>
            <family val="2"/>
          </rPr>
          <t>Jessica Warren:</t>
        </r>
        <r>
          <rPr>
            <sz val="9"/>
            <color indexed="81"/>
            <rFont val="Tahoma"/>
            <family val="2"/>
          </rPr>
          <t xml:space="preserve">
S.Strange
</t>
        </r>
      </text>
    </comment>
    <comment ref="F256" authorId="0" shapeId="0" xr:uid="{F2FA103F-882A-4786-B673-0AD603E1B13A}">
      <text>
        <r>
          <rPr>
            <b/>
            <sz val="9"/>
            <color indexed="81"/>
            <rFont val="Tahoma"/>
            <family val="2"/>
          </rPr>
          <t>Jessica Warren:</t>
        </r>
        <r>
          <rPr>
            <sz val="9"/>
            <color indexed="81"/>
            <rFont val="Tahoma"/>
            <family val="2"/>
          </rPr>
          <t xml:space="preserve">
exempt position
</t>
        </r>
      </text>
    </comment>
    <comment ref="H256" authorId="0" shapeId="0" xr:uid="{6B08C264-10CA-4108-9E1D-EB1F66B15F74}">
      <text>
        <r>
          <rPr>
            <b/>
            <sz val="9"/>
            <color indexed="81"/>
            <rFont val="Tahoma"/>
            <family val="2"/>
          </rPr>
          <t>Jessica Warren:</t>
        </r>
        <r>
          <rPr>
            <sz val="9"/>
            <color indexed="81"/>
            <rFont val="Tahoma"/>
            <family val="2"/>
          </rPr>
          <t xml:space="preserve">
no OT because this is an exempt position
</t>
        </r>
      </text>
    </comment>
    <comment ref="D257" authorId="0" shapeId="0" xr:uid="{E07BC536-25ED-4E55-97D5-4561304EE792}">
      <text>
        <r>
          <rPr>
            <b/>
            <sz val="9"/>
            <color indexed="81"/>
            <rFont val="Tahoma"/>
            <family val="2"/>
          </rPr>
          <t>Jessica Warren:</t>
        </r>
        <r>
          <rPr>
            <sz val="9"/>
            <color indexed="81"/>
            <rFont val="Tahoma"/>
            <family val="2"/>
          </rPr>
          <t xml:space="preserve">
B.Cruse
</t>
        </r>
      </text>
    </comment>
    <comment ref="F257" authorId="0" shapeId="0" xr:uid="{96C7659E-23BD-4363-9B19-FA05038ED0A1}">
      <text>
        <r>
          <rPr>
            <b/>
            <sz val="9"/>
            <color indexed="81"/>
            <rFont val="Tahoma"/>
            <family val="2"/>
          </rPr>
          <t>Jessica Warren:</t>
        </r>
        <r>
          <rPr>
            <sz val="9"/>
            <color indexed="81"/>
            <rFont val="Tahoma"/>
            <family val="2"/>
          </rPr>
          <t xml:space="preserve">
of the 402 hours worked, 7% of those were overtime.  2080*7 = 145 hours at $24/hour ($16 at 1.5 hours)</t>
        </r>
      </text>
    </comment>
    <comment ref="H257" authorId="0" shapeId="0" xr:uid="{7234F204-4222-4030-9260-21C21586C14F}">
      <text>
        <r>
          <rPr>
            <b/>
            <sz val="9"/>
            <color indexed="81"/>
            <rFont val="Tahoma"/>
            <family val="2"/>
          </rPr>
          <t>Jessica Warren:</t>
        </r>
        <r>
          <rPr>
            <sz val="9"/>
            <color indexed="81"/>
            <rFont val="Tahoma"/>
            <family val="2"/>
          </rPr>
          <t xml:space="preserve">
estimated beased on Tori Martins YTD OT vs REG</t>
        </r>
      </text>
    </comment>
    <comment ref="D258" authorId="0" shapeId="0" xr:uid="{35F93570-E99D-41B1-BB07-20ADFBFA6BCE}">
      <text>
        <r>
          <rPr>
            <b/>
            <sz val="9"/>
            <color indexed="81"/>
            <rFont val="Tahoma"/>
            <family val="2"/>
          </rPr>
          <t>Jessica Warren:</t>
        </r>
        <r>
          <rPr>
            <sz val="9"/>
            <color indexed="81"/>
            <rFont val="Tahoma"/>
            <family val="2"/>
          </rPr>
          <t xml:space="preserve">
J.Steck
</t>
        </r>
      </text>
    </comment>
    <comment ref="F258" authorId="0" shapeId="0" xr:uid="{E47E8386-4705-4DC2-A0AA-E4D58362F5B4}">
      <text>
        <r>
          <rPr>
            <b/>
            <sz val="9"/>
            <color indexed="81"/>
            <rFont val="Tahoma"/>
            <family val="2"/>
          </rPr>
          <t>Jessica Warren:</t>
        </r>
        <r>
          <rPr>
            <sz val="9"/>
            <color indexed="81"/>
            <rFont val="Tahoma"/>
            <family val="2"/>
          </rPr>
          <t xml:space="preserve">
of the 174.74 hours worked, 7% of those were overtime.  2080*7 = 145 hours at $24/hour ($16 at 1.5 hours)</t>
        </r>
      </text>
    </comment>
    <comment ref="D259" authorId="0" shapeId="0" xr:uid="{397EC63B-16E9-4C28-92A1-0F4ECC60F8A9}">
      <text>
        <r>
          <rPr>
            <b/>
            <sz val="9"/>
            <color indexed="81"/>
            <rFont val="Tahoma"/>
            <family val="2"/>
          </rPr>
          <t>Jessica Warren:</t>
        </r>
        <r>
          <rPr>
            <sz val="9"/>
            <color indexed="81"/>
            <rFont val="Tahoma"/>
            <family val="2"/>
          </rPr>
          <t xml:space="preserve">
C.Campbell
</t>
        </r>
      </text>
    </comment>
    <comment ref="D260" authorId="0" shapeId="0" xr:uid="{C92C4721-2F83-4408-98AB-08A2E98BA297}">
      <text>
        <r>
          <rPr>
            <b/>
            <sz val="9"/>
            <color indexed="81"/>
            <rFont val="Tahoma"/>
            <family val="2"/>
          </rPr>
          <t>Jessica Warren:</t>
        </r>
        <r>
          <rPr>
            <sz val="9"/>
            <color indexed="81"/>
            <rFont val="Tahoma"/>
            <family val="2"/>
          </rPr>
          <t xml:space="preserve">
l.thomas
</t>
        </r>
      </text>
    </comment>
    <comment ref="H260" authorId="0" shapeId="0" xr:uid="{CA03328E-414D-4D91-85FD-C325BC93B742}">
      <text>
        <r>
          <rPr>
            <b/>
            <sz val="9"/>
            <color indexed="81"/>
            <rFont val="Tahoma"/>
            <family val="2"/>
          </rPr>
          <t>Jessica Warren:</t>
        </r>
        <r>
          <rPr>
            <sz val="9"/>
            <color indexed="81"/>
            <rFont val="Tahoma"/>
            <family val="2"/>
          </rPr>
          <t xml:space="preserve">
used lacey's ytd info</t>
        </r>
      </text>
    </comment>
    <comment ref="D261" authorId="0" shapeId="0" xr:uid="{6F9BDCD7-E0E4-40FA-A62B-ADBD44D664D1}">
      <text>
        <r>
          <rPr>
            <b/>
            <sz val="9"/>
            <color indexed="81"/>
            <rFont val="Tahoma"/>
            <family val="2"/>
          </rPr>
          <t>Jessica Warren:</t>
        </r>
        <r>
          <rPr>
            <sz val="9"/>
            <color indexed="81"/>
            <rFont val="Tahoma"/>
            <family val="2"/>
          </rPr>
          <t xml:space="preserve">
s.wittstock
</t>
        </r>
      </text>
    </comment>
    <comment ref="F261" authorId="0" shapeId="0" xr:uid="{5C0EE35B-10FC-430A-977F-E34B02489CC3}">
      <text>
        <r>
          <rPr>
            <b/>
            <sz val="9"/>
            <color indexed="81"/>
            <rFont val="Tahoma"/>
            <family val="2"/>
          </rPr>
          <t>Jessica Warren:</t>
        </r>
        <r>
          <rPr>
            <sz val="9"/>
            <color indexed="81"/>
            <rFont val="Tahoma"/>
            <family val="2"/>
          </rPr>
          <t xml:space="preserve">
Retired 11/30/2022
multiplied by 1.0833 because 1 month of 12 total</t>
        </r>
      </text>
    </comment>
    <comment ref="F266" authorId="0" shapeId="0" xr:uid="{8BA05198-A786-4891-9320-4B288B76B4CB}">
      <text>
        <r>
          <rPr>
            <b/>
            <sz val="9"/>
            <color indexed="81"/>
            <rFont val="Tahoma"/>
            <family val="2"/>
          </rPr>
          <t>Jessica Warren:</t>
        </r>
        <r>
          <rPr>
            <sz val="9"/>
            <color indexed="81"/>
            <rFont val="Tahoma"/>
            <family val="2"/>
          </rPr>
          <t xml:space="preserve">
although Jami was hired in November, Melanie, her predecessor was covered for the full year
</t>
        </r>
      </text>
    </comment>
    <comment ref="F271" authorId="0" shapeId="0" xr:uid="{4BF33389-9E37-43D0-AB5F-F56207A243B7}">
      <text>
        <r>
          <rPr>
            <b/>
            <sz val="9"/>
            <color indexed="81"/>
            <rFont val="Tahoma"/>
            <family val="2"/>
          </rPr>
          <t>Jessica Warren:</t>
        </r>
        <r>
          <rPr>
            <sz val="9"/>
            <color indexed="81"/>
            <rFont val="Tahoma"/>
            <family val="2"/>
          </rPr>
          <t xml:space="preserve">
Not a full-time Position</t>
        </r>
      </text>
    </comment>
    <comment ref="I274" authorId="0" shapeId="0" xr:uid="{092885D5-A9C9-4459-81BF-104B0C40046A}">
      <text>
        <r>
          <rPr>
            <b/>
            <sz val="9"/>
            <color indexed="81"/>
            <rFont val="Tahoma"/>
            <family val="2"/>
          </rPr>
          <t>Jessica Warren:</t>
        </r>
        <r>
          <rPr>
            <sz val="9"/>
            <color indexed="81"/>
            <rFont val="Tahoma"/>
            <family val="2"/>
          </rPr>
          <t xml:space="preserve">
preliminary numbers are forcasting a 1% decrease in WC premiums
</t>
        </r>
      </text>
    </comment>
    <comment ref="F275" authorId="0" shapeId="0" xr:uid="{33FE403E-2BC2-4475-A8CE-0F3778CBA6DC}">
      <text>
        <r>
          <rPr>
            <b/>
            <sz val="9"/>
            <color indexed="81"/>
            <rFont val="Tahoma"/>
            <family val="2"/>
          </rPr>
          <t>Jessica Warren:</t>
        </r>
        <r>
          <rPr>
            <sz val="9"/>
            <color indexed="81"/>
            <rFont val="Tahoma"/>
            <family val="2"/>
          </rPr>
          <t xml:space="preserve">
used David cruz as the model because rate was comparable
</t>
        </r>
      </text>
    </comment>
    <comment ref="H275" authorId="0" shapeId="0" xr:uid="{7112372A-BB32-4839-A537-E0EB6554E188}">
      <text>
        <r>
          <rPr>
            <b/>
            <sz val="9"/>
            <color indexed="81"/>
            <rFont val="Tahoma"/>
            <family val="2"/>
          </rPr>
          <t>Jessica Warren:</t>
        </r>
        <r>
          <rPr>
            <sz val="9"/>
            <color indexed="81"/>
            <rFont val="Tahoma"/>
            <family val="2"/>
          </rPr>
          <t xml:space="preserve">
used Mia Nichols estimate because they were similar in wages
</t>
        </r>
      </text>
    </comment>
    <comment ref="F276" authorId="0" shapeId="0" xr:uid="{F0888AD8-4CB8-4566-87CE-26B97B9644B7}">
      <text>
        <r>
          <rPr>
            <b/>
            <sz val="9"/>
            <color indexed="81"/>
            <rFont val="Tahoma"/>
            <family val="2"/>
          </rPr>
          <t>Jessica Warren:</t>
        </r>
        <r>
          <rPr>
            <sz val="9"/>
            <color indexed="81"/>
            <rFont val="Tahoma"/>
            <family val="2"/>
          </rPr>
          <t xml:space="preserve">
used David cruz as the model because rate was comparable
</t>
        </r>
      </text>
    </comment>
    <comment ref="F278" authorId="0" shapeId="0" xr:uid="{97359E3D-424D-4EEC-AE95-73F35BF2A47F}">
      <text>
        <r>
          <rPr>
            <b/>
            <sz val="9"/>
            <color indexed="81"/>
            <rFont val="Tahoma"/>
            <family val="2"/>
          </rPr>
          <t>Jessica Warren:</t>
        </r>
        <r>
          <rPr>
            <sz val="9"/>
            <color indexed="81"/>
            <rFont val="Tahoma"/>
            <family val="2"/>
          </rPr>
          <t xml:space="preserve">
Susanna was factored into PSWTP department Her salary was similar to Christie's, so it was replicated in the approximate cost</t>
        </r>
      </text>
    </comment>
    <comment ref="F289" authorId="0" shapeId="0" xr:uid="{860F0509-9FE1-466B-8D4A-9E621B100A0F}">
      <text>
        <r>
          <rPr>
            <b/>
            <sz val="9"/>
            <color indexed="81"/>
            <rFont val="Tahoma"/>
            <family val="2"/>
          </rPr>
          <t>Jessica Warren:</t>
        </r>
        <r>
          <rPr>
            <sz val="9"/>
            <color indexed="81"/>
            <rFont val="Tahoma"/>
            <family val="2"/>
          </rPr>
          <t xml:space="preserve">
Not a full-time Position</t>
        </r>
      </text>
    </comment>
    <comment ref="H293" authorId="0" shapeId="0" xr:uid="{97228B79-CC34-4E9F-A4F7-6DDA7CFCE9DC}">
      <text>
        <r>
          <rPr>
            <b/>
            <sz val="9"/>
            <color indexed="81"/>
            <rFont val="Tahoma"/>
            <family val="2"/>
          </rPr>
          <t>Jessica Warren:</t>
        </r>
        <r>
          <rPr>
            <sz val="9"/>
            <color indexed="81"/>
            <rFont val="Tahoma"/>
            <family val="2"/>
          </rPr>
          <t xml:space="preserve">
estimated using Tori Martin
</t>
        </r>
      </text>
    </comment>
    <comment ref="F294" authorId="0" shapeId="0" xr:uid="{E450EC83-EDD4-4545-B052-75B01DF05ED0}">
      <text>
        <r>
          <rPr>
            <b/>
            <sz val="9"/>
            <color indexed="81"/>
            <rFont val="Tahoma"/>
            <family val="2"/>
          </rPr>
          <t>Jessica Warren:</t>
        </r>
        <r>
          <rPr>
            <sz val="9"/>
            <color indexed="81"/>
            <rFont val="Tahoma"/>
            <family val="2"/>
          </rPr>
          <t xml:space="preserve">
estimated same as linda frost</t>
        </r>
      </text>
    </comment>
    <comment ref="F298" authorId="0" shapeId="0" xr:uid="{D2EEBBFD-A0C7-4572-83C4-E4640503D79B}">
      <text>
        <r>
          <rPr>
            <b/>
            <sz val="9"/>
            <color indexed="81"/>
            <rFont val="Tahoma"/>
            <family val="2"/>
          </rPr>
          <t>Jessica Warren:</t>
        </r>
        <r>
          <rPr>
            <sz val="9"/>
            <color indexed="81"/>
            <rFont val="Tahoma"/>
            <family val="2"/>
          </rPr>
          <t xml:space="preserve">
Not a full-time Position</t>
        </r>
      </text>
    </comment>
    <comment ref="F316" authorId="0" shapeId="0" xr:uid="{874064D0-4A03-4220-A2D9-1A9FD683BF15}">
      <text>
        <r>
          <rPr>
            <b/>
            <sz val="9"/>
            <color indexed="81"/>
            <rFont val="Tahoma"/>
            <family val="2"/>
          </rPr>
          <t>Jessica Warren:</t>
        </r>
        <r>
          <rPr>
            <sz val="9"/>
            <color indexed="81"/>
            <rFont val="Tahoma"/>
            <family val="2"/>
          </rPr>
          <t xml:space="preserve">
Not a full-time Position</t>
        </r>
      </text>
    </comment>
    <comment ref="F325" authorId="0" shapeId="0" xr:uid="{5315B1AD-11BD-4325-845F-9B15B1BCF832}">
      <text>
        <r>
          <rPr>
            <b/>
            <sz val="9"/>
            <color indexed="81"/>
            <rFont val="Tahoma"/>
            <family val="2"/>
          </rPr>
          <t>Jessica Warren:</t>
        </r>
        <r>
          <rPr>
            <sz val="9"/>
            <color indexed="81"/>
            <rFont val="Tahoma"/>
            <family val="2"/>
          </rPr>
          <t xml:space="preserve">
Not a full-time Position</t>
        </r>
      </text>
    </comment>
    <comment ref="D340" authorId="0" shapeId="0" xr:uid="{2872E6B1-ACA0-498E-8CC0-015AAAE35554}">
      <text>
        <r>
          <rPr>
            <b/>
            <sz val="9"/>
            <color indexed="81"/>
            <rFont val="Tahoma"/>
            <family val="2"/>
          </rPr>
          <t>Jessica Warren:</t>
        </r>
        <r>
          <rPr>
            <sz val="9"/>
            <color indexed="81"/>
            <rFont val="Tahoma"/>
            <family val="2"/>
          </rPr>
          <t xml:space="preserve">
A.LaPierre</t>
        </r>
      </text>
    </comment>
    <comment ref="F340" authorId="0" shapeId="0" xr:uid="{577668D3-DEB6-4395-AA34-90BC8C758655}">
      <text>
        <r>
          <rPr>
            <b/>
            <sz val="9"/>
            <color indexed="81"/>
            <rFont val="Tahoma"/>
            <family val="2"/>
          </rPr>
          <t>Jessica Warren:</t>
        </r>
        <r>
          <rPr>
            <sz val="9"/>
            <color indexed="81"/>
            <rFont val="Tahoma"/>
            <family val="2"/>
          </rPr>
          <t xml:space="preserve">
terminated 11/26/2021. annualized by multiplying by 1/12 for the month of December
less ot
</t>
        </r>
      </text>
    </comment>
    <comment ref="G340" authorId="0" shapeId="0" xr:uid="{89B08086-6704-474F-B587-8CCE9A06CB82}">
      <text>
        <r>
          <rPr>
            <b/>
            <sz val="9"/>
            <color indexed="81"/>
            <rFont val="Tahoma"/>
            <family val="2"/>
          </rPr>
          <t>Jessica Warren:</t>
        </r>
        <r>
          <rPr>
            <sz val="9"/>
            <color indexed="81"/>
            <rFont val="Tahoma"/>
            <family val="2"/>
          </rPr>
          <t xml:space="preserve">
Replaced by Alex Hager</t>
        </r>
      </text>
    </comment>
    <comment ref="D341" authorId="0" shapeId="0" xr:uid="{6066D78D-E6C0-4F90-A4D1-43000ABBB233}">
      <text>
        <r>
          <rPr>
            <b/>
            <sz val="9"/>
            <color indexed="81"/>
            <rFont val="Tahoma"/>
            <family val="2"/>
          </rPr>
          <t>Jessica Warren:</t>
        </r>
        <r>
          <rPr>
            <sz val="9"/>
            <color indexed="81"/>
            <rFont val="Tahoma"/>
            <family val="2"/>
          </rPr>
          <t xml:space="preserve">
W.Duvall
</t>
        </r>
      </text>
    </comment>
    <comment ref="G341" authorId="0" shapeId="0" xr:uid="{E66C1E9D-0220-414A-BF2F-EBDEED6FD30E}">
      <text>
        <r>
          <rPr>
            <b/>
            <sz val="9"/>
            <color indexed="81"/>
            <rFont val="Tahoma"/>
            <family val="2"/>
          </rPr>
          <t>Jessica Warren:</t>
        </r>
        <r>
          <rPr>
            <sz val="9"/>
            <color indexed="81"/>
            <rFont val="Tahoma"/>
            <family val="2"/>
          </rPr>
          <t xml:space="preserve">
replaced by Waylon Duvall
</t>
        </r>
      </text>
    </comment>
    <comment ref="H341" authorId="0" shapeId="0" xr:uid="{16D72C36-86FA-4EDE-A81B-0C4353E83999}">
      <text>
        <r>
          <rPr>
            <b/>
            <sz val="9"/>
            <color indexed="81"/>
            <rFont val="Tahoma"/>
            <family val="2"/>
          </rPr>
          <t xml:space="preserve">Jessica Warren:
</t>
        </r>
        <r>
          <rPr>
            <sz val="9"/>
            <color indexed="81"/>
            <rFont val="Tahoma"/>
            <family val="2"/>
          </rPr>
          <t xml:space="preserve">calculated as 17*2080 for 2022because he was hired mid-way through the year
</t>
        </r>
      </text>
    </comment>
    <comment ref="D342" authorId="0" shapeId="0" xr:uid="{ED825BF5-B0BE-485E-8249-F44A3794C2B8}">
      <text>
        <r>
          <rPr>
            <b/>
            <sz val="9"/>
            <color indexed="81"/>
            <rFont val="Tahoma"/>
            <family val="2"/>
          </rPr>
          <t>Jessica Warren:</t>
        </r>
        <r>
          <rPr>
            <sz val="9"/>
            <color indexed="81"/>
            <rFont val="Tahoma"/>
            <family val="2"/>
          </rPr>
          <t xml:space="preserve">
B. Reed</t>
        </r>
      </text>
    </comment>
    <comment ref="D343" authorId="0" shapeId="0" xr:uid="{18E99B68-B854-4480-A30F-DA788BA92C1F}">
      <text>
        <r>
          <rPr>
            <b/>
            <sz val="9"/>
            <color indexed="81"/>
            <rFont val="Tahoma"/>
            <family val="2"/>
          </rPr>
          <t>Jessica Warren:</t>
        </r>
        <r>
          <rPr>
            <sz val="9"/>
            <color indexed="81"/>
            <rFont val="Tahoma"/>
            <family val="2"/>
          </rPr>
          <t xml:space="preserve">
J.Maier</t>
        </r>
      </text>
    </comment>
    <comment ref="G343" authorId="0" shapeId="0" xr:uid="{4EF4A65C-9104-40D2-BE06-9451BB88F744}">
      <text>
        <r>
          <rPr>
            <b/>
            <sz val="9"/>
            <color indexed="81"/>
            <rFont val="Tahoma"/>
            <family val="2"/>
          </rPr>
          <t xml:space="preserve">Jessica Warren:
</t>
        </r>
        <r>
          <rPr>
            <sz val="9"/>
            <color indexed="81"/>
            <rFont val="Tahoma"/>
            <family val="2"/>
          </rPr>
          <t xml:space="preserve">Replaced with Mike Moseley from 1.02
</t>
        </r>
      </text>
    </comment>
    <comment ref="H343" authorId="0" shapeId="0" xr:uid="{0BE3910B-3249-4FF5-89AD-D3E3F85E7D88}">
      <text>
        <r>
          <rPr>
            <b/>
            <sz val="9"/>
            <color indexed="81"/>
            <rFont val="Tahoma"/>
            <family val="2"/>
          </rPr>
          <t>Jessica Warren:</t>
        </r>
        <r>
          <rPr>
            <sz val="9"/>
            <color indexed="81"/>
            <rFont val="Tahoma"/>
            <family val="2"/>
          </rPr>
          <t xml:space="preserve">
removed shift premium and holiday worked because these no longer apply for 2023
</t>
        </r>
      </text>
    </comment>
    <comment ref="D344" authorId="0" shapeId="0" xr:uid="{10FC3975-5432-4128-ADDF-977CE7B4BE05}">
      <text>
        <r>
          <rPr>
            <b/>
            <sz val="9"/>
            <color indexed="81"/>
            <rFont val="Tahoma"/>
            <family val="2"/>
          </rPr>
          <t>Jessica Warren:</t>
        </r>
        <r>
          <rPr>
            <sz val="9"/>
            <color indexed="81"/>
            <rFont val="Tahoma"/>
            <family val="2"/>
          </rPr>
          <t xml:space="preserve">
J.Probus
</t>
        </r>
      </text>
    </comment>
    <comment ref="D345" authorId="0" shapeId="0" xr:uid="{BA61D24E-180B-4823-B220-307E7C8A2607}">
      <text>
        <r>
          <rPr>
            <b/>
            <sz val="9"/>
            <color indexed="81"/>
            <rFont val="Tahoma"/>
            <family val="2"/>
          </rPr>
          <t>Jessica Warren:</t>
        </r>
        <r>
          <rPr>
            <sz val="9"/>
            <color indexed="81"/>
            <rFont val="Tahoma"/>
            <family val="2"/>
          </rPr>
          <t xml:space="preserve">
R.Barnes
</t>
        </r>
      </text>
    </comment>
    <comment ref="D346" authorId="0" shapeId="0" xr:uid="{80733C59-13A7-4A04-96B5-C054082D20A0}">
      <text>
        <r>
          <rPr>
            <b/>
            <sz val="9"/>
            <color indexed="81"/>
            <rFont val="Tahoma"/>
            <family val="2"/>
          </rPr>
          <t>Jessica Warren:</t>
        </r>
        <r>
          <rPr>
            <sz val="9"/>
            <color indexed="81"/>
            <rFont val="Tahoma"/>
            <family val="2"/>
          </rPr>
          <t xml:space="preserve">
T.Bowman</t>
        </r>
      </text>
    </comment>
    <comment ref="G346" authorId="0" shapeId="0" xr:uid="{E476E176-2980-4D3F-AC54-A7449CE12093}">
      <text>
        <r>
          <rPr>
            <b/>
            <sz val="9"/>
            <color indexed="81"/>
            <rFont val="Tahoma"/>
            <family val="2"/>
          </rPr>
          <t>Jessica Warren:</t>
        </r>
        <r>
          <rPr>
            <sz val="9"/>
            <color indexed="81"/>
            <rFont val="Tahoma"/>
            <family val="2"/>
          </rPr>
          <t xml:space="preserve">
Replaced by Devin Woosley</t>
        </r>
      </text>
    </comment>
    <comment ref="D347" authorId="0" shapeId="0" xr:uid="{39B1ABA3-EA3D-4F75-9CC7-35FE07B346CA}">
      <text>
        <r>
          <rPr>
            <b/>
            <sz val="9"/>
            <color indexed="81"/>
            <rFont val="Tahoma"/>
            <family val="2"/>
          </rPr>
          <t>Jessica Warren:</t>
        </r>
        <r>
          <rPr>
            <sz val="9"/>
            <color indexed="81"/>
            <rFont val="Tahoma"/>
            <family val="2"/>
          </rPr>
          <t xml:space="preserve">
G.Howard</t>
        </r>
      </text>
    </comment>
    <comment ref="G347" authorId="0" shapeId="0" xr:uid="{3B4C7244-E315-4B4A-B8A7-48070B38CB21}">
      <text>
        <r>
          <rPr>
            <b/>
            <sz val="9"/>
            <color indexed="81"/>
            <rFont val="Tahoma"/>
            <family val="2"/>
          </rPr>
          <t>Jessica Warren:</t>
        </r>
        <r>
          <rPr>
            <sz val="9"/>
            <color indexed="81"/>
            <rFont val="Tahoma"/>
            <family val="2"/>
          </rPr>
          <t xml:space="preserve">
open position estimated at 17.50 for Dist Oper - I</t>
        </r>
      </text>
    </comment>
    <comment ref="H347" authorId="0" shapeId="0" xr:uid="{2713D363-C193-4834-9C0A-E2CF1E873AC4}">
      <text>
        <r>
          <rPr>
            <b/>
            <sz val="9"/>
            <color indexed="81"/>
            <rFont val="Tahoma"/>
            <family val="2"/>
          </rPr>
          <t>Jessica Warren:</t>
        </r>
        <r>
          <rPr>
            <sz val="9"/>
            <color indexed="81"/>
            <rFont val="Tahoma"/>
            <family val="2"/>
          </rPr>
          <t xml:space="preserve">
Retired 7/31/2022
estimated that it will be replaced by a level I operator</t>
        </r>
      </text>
    </comment>
    <comment ref="D348" authorId="0" shapeId="0" xr:uid="{A44A963D-2913-4EB5-8CC7-A1EFA6DC17E0}">
      <text>
        <r>
          <rPr>
            <b/>
            <sz val="9"/>
            <color indexed="81"/>
            <rFont val="Tahoma"/>
            <family val="2"/>
          </rPr>
          <t>Jessica Warren:</t>
        </r>
        <r>
          <rPr>
            <sz val="9"/>
            <color indexed="81"/>
            <rFont val="Tahoma"/>
            <family val="2"/>
          </rPr>
          <t xml:space="preserve">
T.Osborne</t>
        </r>
      </text>
    </comment>
    <comment ref="F348" authorId="0" shapeId="0" xr:uid="{407FE594-7532-4F8B-8CCF-B8B7909CC7AA}">
      <text>
        <r>
          <rPr>
            <b/>
            <sz val="9"/>
            <color indexed="81"/>
            <rFont val="Tahoma"/>
            <family val="2"/>
          </rPr>
          <t>Jessica Warren:</t>
        </r>
        <r>
          <rPr>
            <sz val="9"/>
            <color indexed="81"/>
            <rFont val="Tahoma"/>
            <family val="2"/>
          </rPr>
          <t xml:space="preserve">
retired 9/30/2022
but jay took over the duties so the rate is accounted for with his salary</t>
        </r>
      </text>
    </comment>
    <comment ref="D349" authorId="0" shapeId="0" xr:uid="{DA09B0CC-93E2-4C2E-A9FC-82216389AD44}">
      <text>
        <r>
          <rPr>
            <b/>
            <sz val="9"/>
            <color indexed="81"/>
            <rFont val="Tahoma"/>
            <family val="2"/>
          </rPr>
          <t>Jessica Warren:</t>
        </r>
        <r>
          <rPr>
            <sz val="9"/>
            <color indexed="81"/>
            <rFont val="Tahoma"/>
            <family val="2"/>
          </rPr>
          <t xml:space="preserve">
J.Davis</t>
        </r>
      </text>
    </comment>
    <comment ref="F349" authorId="0" shapeId="0" xr:uid="{9BB44CE2-BD76-4AAE-9812-F59D348B3C20}">
      <text>
        <r>
          <rPr>
            <b/>
            <sz val="9"/>
            <color indexed="81"/>
            <rFont val="Tahoma"/>
            <family val="2"/>
          </rPr>
          <t>Jessica Warren:</t>
        </r>
        <r>
          <rPr>
            <sz val="9"/>
            <color indexed="81"/>
            <rFont val="Tahoma"/>
            <family val="2"/>
          </rPr>
          <t xml:space="preserve">
promoted to Supervisor 10/11/22
</t>
        </r>
      </text>
    </comment>
    <comment ref="G349" authorId="0" shapeId="0" xr:uid="{53392693-9B07-46D7-8B12-E6FD324EE449}">
      <text>
        <r>
          <rPr>
            <b/>
            <sz val="9"/>
            <color indexed="81"/>
            <rFont val="Tahoma"/>
            <family val="2"/>
          </rPr>
          <t>Jessica Warren:</t>
        </r>
        <r>
          <rPr>
            <sz val="9"/>
            <color indexed="81"/>
            <rFont val="Tahoma"/>
            <family val="2"/>
          </rPr>
          <t xml:space="preserve">
replaced by David Napper</t>
        </r>
      </text>
    </comment>
    <comment ref="D350" authorId="0" shapeId="0" xr:uid="{6C846DDE-132E-49AB-A2DD-08E73EAEBD90}">
      <text>
        <r>
          <rPr>
            <b/>
            <sz val="9"/>
            <color indexed="81"/>
            <rFont val="Tahoma"/>
            <family val="2"/>
          </rPr>
          <t>Jessica Warren:</t>
        </r>
        <r>
          <rPr>
            <sz val="9"/>
            <color indexed="81"/>
            <rFont val="Tahoma"/>
            <family val="2"/>
          </rPr>
          <t xml:space="preserve">
P.Arnold
</t>
        </r>
      </text>
    </comment>
    <comment ref="F351" authorId="0" shapeId="0" xr:uid="{44C2ED03-3A73-4E68-AC43-03FFFCD86EBA}">
      <text>
        <r>
          <rPr>
            <b/>
            <sz val="9"/>
            <color indexed="81"/>
            <rFont val="Tahoma"/>
            <family val="2"/>
          </rPr>
          <t>Jessica Warren:</t>
        </r>
        <r>
          <rPr>
            <sz val="9"/>
            <color indexed="81"/>
            <rFont val="Tahoma"/>
            <family val="2"/>
          </rPr>
          <t xml:space="preserve">
Not Filled in 2021
</t>
        </r>
      </text>
    </comment>
    <comment ref="J351" authorId="0" shapeId="0" xr:uid="{7A1DAB2E-CDEA-43D1-B731-D9B72676D3E4}">
      <text>
        <r>
          <rPr>
            <b/>
            <sz val="9"/>
            <color indexed="81"/>
            <rFont val="Tahoma"/>
            <family val="2"/>
          </rPr>
          <t>Jessica Warren:</t>
        </r>
        <r>
          <rPr>
            <sz val="9"/>
            <color indexed="81"/>
            <rFont val="Tahoma"/>
            <family val="2"/>
          </rPr>
          <t xml:space="preserve">
Not filled in 2022, but budgeted in 2023
$12/hour for 416 hours</t>
        </r>
      </text>
    </comment>
    <comment ref="D354" authorId="0" shapeId="0" xr:uid="{91E4D8A2-6432-4CC8-912A-D4FE74DB08AA}">
      <text>
        <r>
          <rPr>
            <b/>
            <sz val="9"/>
            <color indexed="81"/>
            <rFont val="Tahoma"/>
            <family val="2"/>
          </rPr>
          <t>Jessica Warren:</t>
        </r>
        <r>
          <rPr>
            <sz val="9"/>
            <color indexed="81"/>
            <rFont val="Tahoma"/>
            <family val="2"/>
          </rPr>
          <t xml:space="preserve">
A.LaPierre</t>
        </r>
      </text>
    </comment>
    <comment ref="D355" authorId="0" shapeId="0" xr:uid="{1247088B-6135-44FE-970D-09CD4B00CC1B}">
      <text>
        <r>
          <rPr>
            <b/>
            <sz val="9"/>
            <color indexed="81"/>
            <rFont val="Tahoma"/>
            <family val="2"/>
          </rPr>
          <t>Jessica Warren:</t>
        </r>
        <r>
          <rPr>
            <sz val="9"/>
            <color indexed="81"/>
            <rFont val="Tahoma"/>
            <family val="2"/>
          </rPr>
          <t xml:space="preserve">
J.Carman</t>
        </r>
      </text>
    </comment>
    <comment ref="D356" authorId="0" shapeId="0" xr:uid="{D293433C-D644-4DE2-91D5-D49648767C36}">
      <text>
        <r>
          <rPr>
            <b/>
            <sz val="9"/>
            <color indexed="81"/>
            <rFont val="Tahoma"/>
            <family val="2"/>
          </rPr>
          <t>Jessica Warren:</t>
        </r>
        <r>
          <rPr>
            <sz val="9"/>
            <color indexed="81"/>
            <rFont val="Tahoma"/>
            <family val="2"/>
          </rPr>
          <t xml:space="preserve">
B. Reed</t>
        </r>
      </text>
    </comment>
    <comment ref="D357" authorId="0" shapeId="0" xr:uid="{A2356C51-EAE7-4C13-8953-4ED208AC12B5}">
      <text>
        <r>
          <rPr>
            <b/>
            <sz val="9"/>
            <color indexed="81"/>
            <rFont val="Tahoma"/>
            <family val="2"/>
          </rPr>
          <t>Jessica Warren:</t>
        </r>
        <r>
          <rPr>
            <sz val="9"/>
            <color indexed="81"/>
            <rFont val="Tahoma"/>
            <family val="2"/>
          </rPr>
          <t xml:space="preserve">
J.Maier</t>
        </r>
      </text>
    </comment>
    <comment ref="D358" authorId="0" shapeId="0" xr:uid="{F749FA5D-5CCF-4FE7-9FE2-FA7900CA8264}">
      <text>
        <r>
          <rPr>
            <b/>
            <sz val="9"/>
            <color indexed="81"/>
            <rFont val="Tahoma"/>
            <family val="2"/>
          </rPr>
          <t>Jessica Warren:</t>
        </r>
        <r>
          <rPr>
            <sz val="9"/>
            <color indexed="81"/>
            <rFont val="Tahoma"/>
            <family val="2"/>
          </rPr>
          <t xml:space="preserve">
J.Probus
</t>
        </r>
      </text>
    </comment>
    <comment ref="D359" authorId="0" shapeId="0" xr:uid="{1C0CAA7E-0F28-466D-8D27-6B9E467EE4E2}">
      <text>
        <r>
          <rPr>
            <b/>
            <sz val="9"/>
            <color indexed="81"/>
            <rFont val="Tahoma"/>
            <family val="2"/>
          </rPr>
          <t>Jessica Warren:</t>
        </r>
        <r>
          <rPr>
            <sz val="9"/>
            <color indexed="81"/>
            <rFont val="Tahoma"/>
            <family val="2"/>
          </rPr>
          <t xml:space="preserve">
R.Barnes
</t>
        </r>
      </text>
    </comment>
    <comment ref="D360" authorId="0" shapeId="0" xr:uid="{C01B174B-DFFF-421A-8BB5-71A98589DA43}">
      <text>
        <r>
          <rPr>
            <b/>
            <sz val="9"/>
            <color indexed="81"/>
            <rFont val="Tahoma"/>
            <family val="2"/>
          </rPr>
          <t>Jessica Warren:</t>
        </r>
        <r>
          <rPr>
            <sz val="9"/>
            <color indexed="81"/>
            <rFont val="Tahoma"/>
            <family val="2"/>
          </rPr>
          <t xml:space="preserve">
T.Bowman</t>
        </r>
      </text>
    </comment>
    <comment ref="H360" authorId="0" shapeId="0" xr:uid="{5583BF10-307E-41C5-890E-A385A4C2678E}">
      <text>
        <r>
          <rPr>
            <b/>
            <sz val="9"/>
            <color indexed="81"/>
            <rFont val="Tahoma"/>
            <family val="2"/>
          </rPr>
          <t>Jessica Warren:</t>
        </r>
        <r>
          <rPr>
            <sz val="9"/>
            <color indexed="81"/>
            <rFont val="Tahoma"/>
            <family val="2"/>
          </rPr>
          <t xml:space="preserve">
replaced by Devin Woosley</t>
        </r>
      </text>
    </comment>
    <comment ref="D361" authorId="0" shapeId="0" xr:uid="{DC081E09-4E69-4119-B167-D94F496C6AB0}">
      <text>
        <r>
          <rPr>
            <b/>
            <sz val="9"/>
            <color indexed="81"/>
            <rFont val="Tahoma"/>
            <family val="2"/>
          </rPr>
          <t>Jessica Warren:</t>
        </r>
        <r>
          <rPr>
            <sz val="9"/>
            <color indexed="81"/>
            <rFont val="Tahoma"/>
            <family val="2"/>
          </rPr>
          <t xml:space="preserve">
G.Howard</t>
        </r>
      </text>
    </comment>
    <comment ref="H361" authorId="0" shapeId="0" xr:uid="{61E6CBB0-E669-4A2E-B727-6DA0AD33CD6A}">
      <text>
        <r>
          <rPr>
            <b/>
            <sz val="9"/>
            <color indexed="81"/>
            <rFont val="Tahoma"/>
            <family val="2"/>
          </rPr>
          <t>Jessica Warren:</t>
        </r>
        <r>
          <rPr>
            <sz val="9"/>
            <color indexed="81"/>
            <rFont val="Tahoma"/>
            <family val="2"/>
          </rPr>
          <t xml:space="preserve">
Cannot estimate OT for an open position</t>
        </r>
      </text>
    </comment>
    <comment ref="D362" authorId="0" shapeId="0" xr:uid="{AB16894B-29ED-4812-8B76-A76FBE4B9C87}">
      <text>
        <r>
          <rPr>
            <b/>
            <sz val="9"/>
            <color indexed="81"/>
            <rFont val="Tahoma"/>
            <family val="2"/>
          </rPr>
          <t>Jessica Warren:</t>
        </r>
        <r>
          <rPr>
            <sz val="9"/>
            <color indexed="81"/>
            <rFont val="Tahoma"/>
            <family val="2"/>
          </rPr>
          <t xml:space="preserve">
T.Osborne</t>
        </r>
      </text>
    </comment>
    <comment ref="F362" authorId="0" shapeId="0" xr:uid="{5674D17F-6B79-473E-B390-E630DAE968BB}">
      <text>
        <r>
          <rPr>
            <b/>
            <sz val="9"/>
            <color indexed="81"/>
            <rFont val="Tahoma"/>
            <family val="2"/>
          </rPr>
          <t>Jessica Warren:</t>
        </r>
        <r>
          <rPr>
            <sz val="9"/>
            <color indexed="81"/>
            <rFont val="Tahoma"/>
            <family val="2"/>
          </rPr>
          <t xml:space="preserve">
exempt position
</t>
        </r>
      </text>
    </comment>
    <comment ref="H362" authorId="0" shapeId="0" xr:uid="{62582C7D-37FB-419F-A260-9A2581E3EE8A}">
      <text>
        <r>
          <rPr>
            <b/>
            <sz val="9"/>
            <color indexed="81"/>
            <rFont val="Tahoma"/>
            <family val="2"/>
          </rPr>
          <t>Jessica Warren:</t>
        </r>
        <r>
          <rPr>
            <sz val="9"/>
            <color indexed="81"/>
            <rFont val="Tahoma"/>
            <family val="2"/>
          </rPr>
          <t xml:space="preserve">
exempt position
</t>
        </r>
      </text>
    </comment>
    <comment ref="D363" authorId="0" shapeId="0" xr:uid="{4778E560-ED7E-4822-B0C2-C972BFDF4E45}">
      <text>
        <r>
          <rPr>
            <b/>
            <sz val="9"/>
            <color indexed="81"/>
            <rFont val="Tahoma"/>
            <family val="2"/>
          </rPr>
          <t>Jessica Warren:</t>
        </r>
        <r>
          <rPr>
            <sz val="9"/>
            <color indexed="81"/>
            <rFont val="Tahoma"/>
            <family val="2"/>
          </rPr>
          <t xml:space="preserve">
J.Davis</t>
        </r>
      </text>
    </comment>
    <comment ref="D364" authorId="0" shapeId="0" xr:uid="{87C2910C-B5CF-4655-9C71-D5A6109DA0DC}">
      <text>
        <r>
          <rPr>
            <b/>
            <sz val="9"/>
            <color indexed="81"/>
            <rFont val="Tahoma"/>
            <family val="2"/>
          </rPr>
          <t>Jessica Warren:</t>
        </r>
        <r>
          <rPr>
            <sz val="9"/>
            <color indexed="81"/>
            <rFont val="Tahoma"/>
            <family val="2"/>
          </rPr>
          <t xml:space="preserve">
P.Arnold
</t>
        </r>
      </text>
    </comment>
    <comment ref="D368" authorId="0" shapeId="0" xr:uid="{31819559-2792-4BB0-857D-C8A6CF15D968}">
      <text>
        <r>
          <rPr>
            <b/>
            <sz val="9"/>
            <color indexed="81"/>
            <rFont val="Tahoma"/>
            <family val="2"/>
          </rPr>
          <t>Jessica Warren:</t>
        </r>
        <r>
          <rPr>
            <sz val="9"/>
            <color indexed="81"/>
            <rFont val="Tahoma"/>
            <family val="2"/>
          </rPr>
          <t xml:space="preserve">
A.LaPierre</t>
        </r>
      </text>
    </comment>
    <comment ref="D369" authorId="0" shapeId="0" xr:uid="{43C7D644-FDC9-462F-BBD0-EFC8F3DF8172}">
      <text>
        <r>
          <rPr>
            <b/>
            <sz val="9"/>
            <color indexed="81"/>
            <rFont val="Tahoma"/>
            <family val="2"/>
          </rPr>
          <t>Jessica Warren:</t>
        </r>
        <r>
          <rPr>
            <sz val="9"/>
            <color indexed="81"/>
            <rFont val="Tahoma"/>
            <family val="2"/>
          </rPr>
          <t xml:space="preserve">
J.Carman</t>
        </r>
      </text>
    </comment>
    <comment ref="D370" authorId="0" shapeId="0" xr:uid="{B89981A0-9C4B-41C7-BEFB-4617CAB43F58}">
      <text>
        <r>
          <rPr>
            <b/>
            <sz val="9"/>
            <color indexed="81"/>
            <rFont val="Tahoma"/>
            <family val="2"/>
          </rPr>
          <t>Jessica Warren:</t>
        </r>
        <r>
          <rPr>
            <sz val="9"/>
            <color indexed="81"/>
            <rFont val="Tahoma"/>
            <family val="2"/>
          </rPr>
          <t xml:space="preserve">
B. Reed</t>
        </r>
      </text>
    </comment>
    <comment ref="D371" authorId="0" shapeId="0" xr:uid="{4CA87948-131A-4F12-8AA3-4093E89ECB57}">
      <text>
        <r>
          <rPr>
            <b/>
            <sz val="9"/>
            <color indexed="81"/>
            <rFont val="Tahoma"/>
            <family val="2"/>
          </rPr>
          <t>Jessica Warren:</t>
        </r>
        <r>
          <rPr>
            <sz val="9"/>
            <color indexed="81"/>
            <rFont val="Tahoma"/>
            <family val="2"/>
          </rPr>
          <t xml:space="preserve">
J.Maier</t>
        </r>
      </text>
    </comment>
    <comment ref="D372" authorId="0" shapeId="0" xr:uid="{AF7450E2-8357-4624-8279-F0CAD08185B4}">
      <text>
        <r>
          <rPr>
            <b/>
            <sz val="9"/>
            <color indexed="81"/>
            <rFont val="Tahoma"/>
            <family val="2"/>
          </rPr>
          <t>Jessica Warren:</t>
        </r>
        <r>
          <rPr>
            <sz val="9"/>
            <color indexed="81"/>
            <rFont val="Tahoma"/>
            <family val="2"/>
          </rPr>
          <t xml:space="preserve">
J.Probus
</t>
        </r>
      </text>
    </comment>
    <comment ref="D373" authorId="0" shapeId="0" xr:uid="{AB7E5D5A-7887-4C70-82A9-1DF88452BC7D}">
      <text>
        <r>
          <rPr>
            <b/>
            <sz val="9"/>
            <color indexed="81"/>
            <rFont val="Tahoma"/>
            <family val="2"/>
          </rPr>
          <t>Jessica Warren:</t>
        </r>
        <r>
          <rPr>
            <sz val="9"/>
            <color indexed="81"/>
            <rFont val="Tahoma"/>
            <family val="2"/>
          </rPr>
          <t xml:space="preserve">
R.Barnes
</t>
        </r>
      </text>
    </comment>
    <comment ref="D374" authorId="0" shapeId="0" xr:uid="{C958CAD0-4999-4B16-A677-739E37CF5D88}">
      <text>
        <r>
          <rPr>
            <b/>
            <sz val="9"/>
            <color indexed="81"/>
            <rFont val="Tahoma"/>
            <family val="2"/>
          </rPr>
          <t>Jessica Warren:</t>
        </r>
        <r>
          <rPr>
            <sz val="9"/>
            <color indexed="81"/>
            <rFont val="Tahoma"/>
            <family val="2"/>
          </rPr>
          <t xml:space="preserve">
T.Bowman</t>
        </r>
      </text>
    </comment>
    <comment ref="D375" authorId="0" shapeId="0" xr:uid="{4BEE4876-A7E2-4721-96C3-A9CF9D16798C}">
      <text>
        <r>
          <rPr>
            <b/>
            <sz val="9"/>
            <color indexed="81"/>
            <rFont val="Tahoma"/>
            <family val="2"/>
          </rPr>
          <t>Jessica Warren:</t>
        </r>
        <r>
          <rPr>
            <sz val="9"/>
            <color indexed="81"/>
            <rFont val="Tahoma"/>
            <family val="2"/>
          </rPr>
          <t xml:space="preserve">
G.Howard</t>
        </r>
      </text>
    </comment>
    <comment ref="D376" authorId="0" shapeId="0" xr:uid="{70544F44-7403-452B-AE7C-623EDE344B8A}">
      <text>
        <r>
          <rPr>
            <b/>
            <sz val="9"/>
            <color indexed="81"/>
            <rFont val="Tahoma"/>
            <family val="2"/>
          </rPr>
          <t>Jessica Warren:</t>
        </r>
        <r>
          <rPr>
            <sz val="9"/>
            <color indexed="81"/>
            <rFont val="Tahoma"/>
            <family val="2"/>
          </rPr>
          <t xml:space="preserve">
T.Osborne</t>
        </r>
      </text>
    </comment>
    <comment ref="D377" authorId="0" shapeId="0" xr:uid="{93BDC605-54A5-40FE-987F-BF88FB7EC1F8}">
      <text>
        <r>
          <rPr>
            <b/>
            <sz val="9"/>
            <color indexed="81"/>
            <rFont val="Tahoma"/>
            <family val="2"/>
          </rPr>
          <t>Jessica Warren:</t>
        </r>
        <r>
          <rPr>
            <sz val="9"/>
            <color indexed="81"/>
            <rFont val="Tahoma"/>
            <family val="2"/>
          </rPr>
          <t xml:space="preserve">
J.Davis</t>
        </r>
      </text>
    </comment>
    <comment ref="D378" authorId="0" shapeId="0" xr:uid="{1929FB7D-9D48-4E51-9E9C-5EE6860C60B7}">
      <text>
        <r>
          <rPr>
            <b/>
            <sz val="9"/>
            <color indexed="81"/>
            <rFont val="Tahoma"/>
            <family val="2"/>
          </rPr>
          <t>Jessica Warren:</t>
        </r>
        <r>
          <rPr>
            <sz val="9"/>
            <color indexed="81"/>
            <rFont val="Tahoma"/>
            <family val="2"/>
          </rPr>
          <t xml:space="preserve">
P.Arnold
</t>
        </r>
      </text>
    </comment>
    <comment ref="F379" authorId="0" shapeId="0" xr:uid="{6539CA5E-D576-4E12-B6E2-7D474524971F}">
      <text>
        <r>
          <rPr>
            <b/>
            <sz val="9"/>
            <color indexed="81"/>
            <rFont val="Tahoma"/>
            <family val="2"/>
          </rPr>
          <t>Jessica Warren:</t>
        </r>
        <r>
          <rPr>
            <sz val="9"/>
            <color indexed="81"/>
            <rFont val="Tahoma"/>
            <family val="2"/>
          </rPr>
          <t xml:space="preserve">
Not a full-time EE</t>
        </r>
      </text>
    </comment>
    <comment ref="D382" authorId="0" shapeId="0" xr:uid="{340CA1DF-00C4-4EDE-88BB-F70A582CB755}">
      <text>
        <r>
          <rPr>
            <b/>
            <sz val="9"/>
            <color indexed="81"/>
            <rFont val="Tahoma"/>
            <family val="2"/>
          </rPr>
          <t>Jessica Warren:</t>
        </r>
        <r>
          <rPr>
            <sz val="9"/>
            <color indexed="81"/>
            <rFont val="Tahoma"/>
            <family val="2"/>
          </rPr>
          <t xml:space="preserve">
A.LaPierre</t>
        </r>
      </text>
    </comment>
    <comment ref="H382" authorId="0" shapeId="0" xr:uid="{11F1A951-A6BE-4B46-B0C5-4CD4641CAA19}">
      <text>
        <r>
          <rPr>
            <sz val="9"/>
            <color indexed="81"/>
            <rFont val="Tahoma"/>
            <family val="2"/>
          </rPr>
          <t xml:space="preserve">used David napper because gross wages were similar
</t>
        </r>
      </text>
    </comment>
    <comment ref="I382" authorId="0" shapeId="0" xr:uid="{962AF7A7-3023-4237-93FD-096D17D7E3ED}">
      <text>
        <r>
          <rPr>
            <b/>
            <sz val="9"/>
            <color indexed="81"/>
            <rFont val="Tahoma"/>
            <family val="2"/>
          </rPr>
          <t>Jessica Warren:</t>
        </r>
        <r>
          <rPr>
            <sz val="9"/>
            <color indexed="81"/>
            <rFont val="Tahoma"/>
            <family val="2"/>
          </rPr>
          <t xml:space="preserve">
preliminary numbers are forcasting a 1% decrease in WC premiums
</t>
        </r>
      </text>
    </comment>
    <comment ref="D383" authorId="0" shapeId="0" xr:uid="{59669B0E-D253-4916-A4A0-A65541A84CB2}">
      <text>
        <r>
          <rPr>
            <b/>
            <sz val="9"/>
            <color indexed="81"/>
            <rFont val="Tahoma"/>
            <family val="2"/>
          </rPr>
          <t>Jessica Warren:</t>
        </r>
        <r>
          <rPr>
            <sz val="9"/>
            <color indexed="81"/>
            <rFont val="Tahoma"/>
            <family val="2"/>
          </rPr>
          <t xml:space="preserve">
J.Carman</t>
        </r>
      </text>
    </comment>
    <comment ref="H383" authorId="0" shapeId="0" xr:uid="{86B28527-FEB6-475B-8F22-A2110367E290}">
      <text>
        <r>
          <rPr>
            <b/>
            <sz val="9"/>
            <color indexed="81"/>
            <rFont val="Tahoma"/>
            <family val="2"/>
          </rPr>
          <t>Jessica Warren:</t>
        </r>
        <r>
          <rPr>
            <sz val="9"/>
            <color indexed="81"/>
            <rFont val="Tahoma"/>
            <family val="2"/>
          </rPr>
          <t xml:space="preserve">
Waylon Duvall - used David napper because gross wages were similar
</t>
        </r>
      </text>
    </comment>
    <comment ref="D384" authorId="0" shapeId="0" xr:uid="{E01B825D-5C8F-4886-9E39-F1E578C59E2D}">
      <text>
        <r>
          <rPr>
            <b/>
            <sz val="9"/>
            <color indexed="81"/>
            <rFont val="Tahoma"/>
            <family val="2"/>
          </rPr>
          <t>Jessica Warren:</t>
        </r>
        <r>
          <rPr>
            <sz val="9"/>
            <color indexed="81"/>
            <rFont val="Tahoma"/>
            <family val="2"/>
          </rPr>
          <t xml:space="preserve">
B. Reed</t>
        </r>
      </text>
    </comment>
    <comment ref="D385" authorId="0" shapeId="0" xr:uid="{568BD00E-E3CF-4008-93B3-CBB67F1CDA04}">
      <text>
        <r>
          <rPr>
            <b/>
            <sz val="9"/>
            <color indexed="81"/>
            <rFont val="Tahoma"/>
            <family val="2"/>
          </rPr>
          <t>Jessica Warren:</t>
        </r>
        <r>
          <rPr>
            <sz val="9"/>
            <color indexed="81"/>
            <rFont val="Tahoma"/>
            <family val="2"/>
          </rPr>
          <t xml:space="preserve">
J.Maier</t>
        </r>
      </text>
    </comment>
    <comment ref="H385" authorId="0" shapeId="0" xr:uid="{10C5B139-53FA-47D7-85BB-A1014A72C16B}">
      <text>
        <r>
          <rPr>
            <b/>
            <sz val="9"/>
            <color indexed="81"/>
            <rFont val="Tahoma"/>
            <family val="2"/>
          </rPr>
          <t>Jessica Warren:</t>
        </r>
        <r>
          <rPr>
            <sz val="9"/>
            <color indexed="81"/>
            <rFont val="Tahoma"/>
            <family val="2"/>
          </rPr>
          <t xml:space="preserve">
Mike Moseley</t>
        </r>
      </text>
    </comment>
    <comment ref="D386" authorId="0" shapeId="0" xr:uid="{E6D910AB-78E4-497B-B60D-DEBECCACF0B1}">
      <text>
        <r>
          <rPr>
            <b/>
            <sz val="9"/>
            <color indexed="81"/>
            <rFont val="Tahoma"/>
            <family val="2"/>
          </rPr>
          <t>Jessica Warren:</t>
        </r>
        <r>
          <rPr>
            <sz val="9"/>
            <color indexed="81"/>
            <rFont val="Tahoma"/>
            <family val="2"/>
          </rPr>
          <t xml:space="preserve">
J.Probus
</t>
        </r>
      </text>
    </comment>
    <comment ref="D387" authorId="0" shapeId="0" xr:uid="{797618FB-490C-41B5-B69C-3B98371CBCD8}">
      <text>
        <r>
          <rPr>
            <b/>
            <sz val="9"/>
            <color indexed="81"/>
            <rFont val="Tahoma"/>
            <family val="2"/>
          </rPr>
          <t>Jessica Warren:</t>
        </r>
        <r>
          <rPr>
            <sz val="9"/>
            <color indexed="81"/>
            <rFont val="Tahoma"/>
            <family val="2"/>
          </rPr>
          <t xml:space="preserve">
R.Barnes
</t>
        </r>
      </text>
    </comment>
    <comment ref="D388" authorId="0" shapeId="0" xr:uid="{4961BC24-107F-49F2-948B-57BDF9121330}">
      <text>
        <r>
          <rPr>
            <b/>
            <sz val="9"/>
            <color indexed="81"/>
            <rFont val="Tahoma"/>
            <family val="2"/>
          </rPr>
          <t>Jessica Warren:</t>
        </r>
        <r>
          <rPr>
            <sz val="9"/>
            <color indexed="81"/>
            <rFont val="Tahoma"/>
            <family val="2"/>
          </rPr>
          <t xml:space="preserve">
T.Bowman</t>
        </r>
      </text>
    </comment>
    <comment ref="H388" authorId="0" shapeId="0" xr:uid="{237D4466-8467-4BC0-BB18-68EE4C93E2D1}">
      <text>
        <r>
          <rPr>
            <b/>
            <sz val="9"/>
            <color indexed="81"/>
            <rFont val="Tahoma"/>
            <family val="2"/>
          </rPr>
          <t>Jessica Warren:</t>
        </r>
        <r>
          <rPr>
            <sz val="9"/>
            <color indexed="81"/>
            <rFont val="Tahoma"/>
            <family val="2"/>
          </rPr>
          <t xml:space="preserve">
used David Napper because gross wages were similar</t>
        </r>
      </text>
    </comment>
    <comment ref="D389" authorId="0" shapeId="0" xr:uid="{18FBDCD3-D8A1-4613-8E58-E9A3C4098D85}">
      <text>
        <r>
          <rPr>
            <b/>
            <sz val="9"/>
            <color indexed="81"/>
            <rFont val="Tahoma"/>
            <family val="2"/>
          </rPr>
          <t>Jessica Warren:</t>
        </r>
        <r>
          <rPr>
            <sz val="9"/>
            <color indexed="81"/>
            <rFont val="Tahoma"/>
            <family val="2"/>
          </rPr>
          <t xml:space="preserve">
G.Howard</t>
        </r>
      </text>
    </comment>
    <comment ref="H389" authorId="0" shapeId="0" xr:uid="{88CE0CF0-BA4E-45F4-ACA4-C80225760021}">
      <text>
        <r>
          <rPr>
            <b/>
            <sz val="9"/>
            <color indexed="81"/>
            <rFont val="Tahoma"/>
            <family val="2"/>
          </rPr>
          <t>Jessica Warren:</t>
        </r>
        <r>
          <rPr>
            <sz val="9"/>
            <color indexed="81"/>
            <rFont val="Tahoma"/>
            <family val="2"/>
          </rPr>
          <t xml:space="preserve">
used Chris Probus estimate because the gross wages were similar</t>
        </r>
      </text>
    </comment>
    <comment ref="D390" authorId="0" shapeId="0" xr:uid="{C92C7AEC-2924-4EAE-BC92-4BA54B02D275}">
      <text>
        <r>
          <rPr>
            <b/>
            <sz val="9"/>
            <color indexed="81"/>
            <rFont val="Tahoma"/>
            <family val="2"/>
          </rPr>
          <t>Jessica Warren:</t>
        </r>
        <r>
          <rPr>
            <sz val="9"/>
            <color indexed="81"/>
            <rFont val="Tahoma"/>
            <family val="2"/>
          </rPr>
          <t xml:space="preserve">
T.Osborne</t>
        </r>
      </text>
    </comment>
    <comment ref="H390" authorId="0" shapeId="0" xr:uid="{E6568D98-590B-4AF0-80D9-E41565D795F5}">
      <text>
        <r>
          <rPr>
            <b/>
            <sz val="9"/>
            <color indexed="81"/>
            <rFont val="Tahoma"/>
            <family val="2"/>
          </rPr>
          <t>Jessica Warren:</t>
        </r>
        <r>
          <rPr>
            <sz val="9"/>
            <color indexed="81"/>
            <rFont val="Tahoma"/>
            <family val="2"/>
          </rPr>
          <t xml:space="preserve">
exempt position
</t>
        </r>
      </text>
    </comment>
    <comment ref="D391" authorId="0" shapeId="0" xr:uid="{12F6A651-AEA2-4DD5-8FFB-21C571D38314}">
      <text>
        <r>
          <rPr>
            <b/>
            <sz val="9"/>
            <color indexed="81"/>
            <rFont val="Tahoma"/>
            <family val="2"/>
          </rPr>
          <t>Jessica Warren:</t>
        </r>
        <r>
          <rPr>
            <sz val="9"/>
            <color indexed="81"/>
            <rFont val="Tahoma"/>
            <family val="2"/>
          </rPr>
          <t xml:space="preserve">
J.Davis</t>
        </r>
      </text>
    </comment>
    <comment ref="H391" authorId="0" shapeId="0" xr:uid="{F213E4A5-FB1C-4EA0-B763-B5DF81B23B3A}">
      <text>
        <r>
          <rPr>
            <b/>
            <sz val="9"/>
            <color indexed="81"/>
            <rFont val="Tahoma"/>
            <family val="2"/>
          </rPr>
          <t>Jessica Warren:</t>
        </r>
        <r>
          <rPr>
            <sz val="9"/>
            <color indexed="81"/>
            <rFont val="Tahoma"/>
            <family val="2"/>
          </rPr>
          <t xml:space="preserve">
I used the estimate for Mike Moseley because the gross wages were similar
</t>
        </r>
      </text>
    </comment>
    <comment ref="D392" authorId="0" shapeId="0" xr:uid="{13E5721A-4145-4C18-AEC5-E6798A1D03F9}">
      <text>
        <r>
          <rPr>
            <b/>
            <sz val="9"/>
            <color indexed="81"/>
            <rFont val="Tahoma"/>
            <family val="2"/>
          </rPr>
          <t>Jessica Warren:</t>
        </r>
        <r>
          <rPr>
            <sz val="9"/>
            <color indexed="81"/>
            <rFont val="Tahoma"/>
            <family val="2"/>
          </rPr>
          <t xml:space="preserve">
P.Arnold
</t>
        </r>
      </text>
    </comment>
    <comment ref="D396" authorId="0" shapeId="0" xr:uid="{8F69860D-4364-42D6-BDAC-C5634115AD6D}">
      <text>
        <r>
          <rPr>
            <b/>
            <sz val="9"/>
            <color indexed="81"/>
            <rFont val="Tahoma"/>
            <family val="2"/>
          </rPr>
          <t>Jessica Warren:</t>
        </r>
        <r>
          <rPr>
            <sz val="9"/>
            <color indexed="81"/>
            <rFont val="Tahoma"/>
            <family val="2"/>
          </rPr>
          <t xml:space="preserve">
A.LaPierre</t>
        </r>
      </text>
    </comment>
    <comment ref="D397" authorId="0" shapeId="0" xr:uid="{F349DA67-5DA7-4E08-9318-B0F97666E786}">
      <text>
        <r>
          <rPr>
            <b/>
            <sz val="9"/>
            <color indexed="81"/>
            <rFont val="Tahoma"/>
            <family val="2"/>
          </rPr>
          <t>Jessica Warren:</t>
        </r>
        <r>
          <rPr>
            <sz val="9"/>
            <color indexed="81"/>
            <rFont val="Tahoma"/>
            <family val="2"/>
          </rPr>
          <t xml:space="preserve">
J.Carman</t>
        </r>
      </text>
    </comment>
    <comment ref="D398" authorId="0" shapeId="0" xr:uid="{CD1801A3-AB96-4AF2-9C3C-95771BE0BA4F}">
      <text>
        <r>
          <rPr>
            <b/>
            <sz val="9"/>
            <color indexed="81"/>
            <rFont val="Tahoma"/>
            <family val="2"/>
          </rPr>
          <t>Jessica Warren:</t>
        </r>
        <r>
          <rPr>
            <sz val="9"/>
            <color indexed="81"/>
            <rFont val="Tahoma"/>
            <family val="2"/>
          </rPr>
          <t xml:space="preserve">
B. Reed</t>
        </r>
      </text>
    </comment>
    <comment ref="D399" authorId="0" shapeId="0" xr:uid="{086D6E3D-6834-47D3-B943-2BA82800D9BC}">
      <text>
        <r>
          <rPr>
            <b/>
            <sz val="9"/>
            <color indexed="81"/>
            <rFont val="Tahoma"/>
            <family val="2"/>
          </rPr>
          <t>Jessica Warren:</t>
        </r>
        <r>
          <rPr>
            <sz val="9"/>
            <color indexed="81"/>
            <rFont val="Tahoma"/>
            <family val="2"/>
          </rPr>
          <t xml:space="preserve">
J.Maier</t>
        </r>
      </text>
    </comment>
    <comment ref="D400" authorId="0" shapeId="0" xr:uid="{1331D131-3687-4E25-8E6A-325638D8CEFB}">
      <text>
        <r>
          <rPr>
            <b/>
            <sz val="9"/>
            <color indexed="81"/>
            <rFont val="Tahoma"/>
            <family val="2"/>
          </rPr>
          <t>Jessica Warren:</t>
        </r>
        <r>
          <rPr>
            <sz val="9"/>
            <color indexed="81"/>
            <rFont val="Tahoma"/>
            <family val="2"/>
          </rPr>
          <t xml:space="preserve">
J.Probus
</t>
        </r>
      </text>
    </comment>
    <comment ref="D401" authorId="0" shapeId="0" xr:uid="{06D33DD1-FA7C-4ABB-93BE-08C049C4433D}">
      <text>
        <r>
          <rPr>
            <b/>
            <sz val="9"/>
            <color indexed="81"/>
            <rFont val="Tahoma"/>
            <family val="2"/>
          </rPr>
          <t>Jessica Warren:</t>
        </r>
        <r>
          <rPr>
            <sz val="9"/>
            <color indexed="81"/>
            <rFont val="Tahoma"/>
            <family val="2"/>
          </rPr>
          <t xml:space="preserve">
R.Barnes
</t>
        </r>
      </text>
    </comment>
    <comment ref="D402" authorId="0" shapeId="0" xr:uid="{4BFF74CE-D691-4C97-9A88-6C7D03674098}">
      <text>
        <r>
          <rPr>
            <b/>
            <sz val="9"/>
            <color indexed="81"/>
            <rFont val="Tahoma"/>
            <family val="2"/>
          </rPr>
          <t>Jessica Warren:</t>
        </r>
        <r>
          <rPr>
            <sz val="9"/>
            <color indexed="81"/>
            <rFont val="Tahoma"/>
            <family val="2"/>
          </rPr>
          <t xml:space="preserve">
T.Bowman</t>
        </r>
      </text>
    </comment>
    <comment ref="D403" authorId="0" shapeId="0" xr:uid="{8D339735-B21F-4021-A692-43A4E731D7CB}">
      <text>
        <r>
          <rPr>
            <b/>
            <sz val="9"/>
            <color indexed="81"/>
            <rFont val="Tahoma"/>
            <family val="2"/>
          </rPr>
          <t>Jessica Warren:</t>
        </r>
        <r>
          <rPr>
            <sz val="9"/>
            <color indexed="81"/>
            <rFont val="Tahoma"/>
            <family val="2"/>
          </rPr>
          <t xml:space="preserve">
G.Howard</t>
        </r>
      </text>
    </comment>
    <comment ref="D404" authorId="0" shapeId="0" xr:uid="{187FB1C3-06B1-4C2A-8ED7-0BA2CE776E77}">
      <text>
        <r>
          <rPr>
            <b/>
            <sz val="9"/>
            <color indexed="81"/>
            <rFont val="Tahoma"/>
            <family val="2"/>
          </rPr>
          <t>Jessica Warren:</t>
        </r>
        <r>
          <rPr>
            <sz val="9"/>
            <color indexed="81"/>
            <rFont val="Tahoma"/>
            <family val="2"/>
          </rPr>
          <t xml:space="preserve">
T.Osborne</t>
        </r>
      </text>
    </comment>
    <comment ref="D405" authorId="0" shapeId="0" xr:uid="{91F6B1A7-E88B-48B7-B019-582615129FD7}">
      <text>
        <r>
          <rPr>
            <b/>
            <sz val="9"/>
            <color indexed="81"/>
            <rFont val="Tahoma"/>
            <family val="2"/>
          </rPr>
          <t>Jessica Warren:</t>
        </r>
        <r>
          <rPr>
            <sz val="9"/>
            <color indexed="81"/>
            <rFont val="Tahoma"/>
            <family val="2"/>
          </rPr>
          <t xml:space="preserve">
J.Davis</t>
        </r>
      </text>
    </comment>
    <comment ref="D406" authorId="0" shapeId="0" xr:uid="{EA3441A4-E198-4A41-847D-58DF21B266A8}">
      <text>
        <r>
          <rPr>
            <b/>
            <sz val="9"/>
            <color indexed="81"/>
            <rFont val="Tahoma"/>
            <family val="2"/>
          </rPr>
          <t>Jessica Warren:</t>
        </r>
        <r>
          <rPr>
            <sz val="9"/>
            <color indexed="81"/>
            <rFont val="Tahoma"/>
            <family val="2"/>
          </rPr>
          <t xml:space="preserve">
P.Arnold
</t>
        </r>
      </text>
    </comment>
    <comment ref="F407" authorId="0" shapeId="0" xr:uid="{B6F089FD-036E-4000-BBAA-9B44F9E4A304}">
      <text>
        <r>
          <rPr>
            <b/>
            <sz val="9"/>
            <color indexed="81"/>
            <rFont val="Tahoma"/>
            <family val="2"/>
          </rPr>
          <t>Jessica Warren:</t>
        </r>
        <r>
          <rPr>
            <sz val="9"/>
            <color indexed="81"/>
            <rFont val="Tahoma"/>
            <family val="2"/>
          </rPr>
          <t xml:space="preserve">
Not a full-time EE</t>
        </r>
      </text>
    </comment>
    <comment ref="D410" authorId="0" shapeId="0" xr:uid="{739FBCE1-F0D9-4C59-B1B7-B11A1362A2E4}">
      <text>
        <r>
          <rPr>
            <b/>
            <sz val="9"/>
            <color indexed="81"/>
            <rFont val="Tahoma"/>
            <family val="2"/>
          </rPr>
          <t>Jessica Warren:</t>
        </r>
        <r>
          <rPr>
            <sz val="9"/>
            <color indexed="81"/>
            <rFont val="Tahoma"/>
            <family val="2"/>
          </rPr>
          <t xml:space="preserve">
A.LaPierre</t>
        </r>
      </text>
    </comment>
    <comment ref="D411" authorId="0" shapeId="0" xr:uid="{DAF8B61B-6D47-401D-9906-7A5AB610F69D}">
      <text>
        <r>
          <rPr>
            <b/>
            <sz val="9"/>
            <color indexed="81"/>
            <rFont val="Tahoma"/>
            <family val="2"/>
          </rPr>
          <t>Jessica Warren:</t>
        </r>
        <r>
          <rPr>
            <sz val="9"/>
            <color indexed="81"/>
            <rFont val="Tahoma"/>
            <family val="2"/>
          </rPr>
          <t xml:space="preserve">
J.Carman</t>
        </r>
      </text>
    </comment>
    <comment ref="D412" authorId="0" shapeId="0" xr:uid="{414B9457-554D-4A4B-AE9B-115506B492F4}">
      <text>
        <r>
          <rPr>
            <b/>
            <sz val="9"/>
            <color indexed="81"/>
            <rFont val="Tahoma"/>
            <family val="2"/>
          </rPr>
          <t>Jessica Warren:</t>
        </r>
        <r>
          <rPr>
            <sz val="9"/>
            <color indexed="81"/>
            <rFont val="Tahoma"/>
            <family val="2"/>
          </rPr>
          <t xml:space="preserve">
B. Reed</t>
        </r>
      </text>
    </comment>
    <comment ref="D413" authorId="0" shapeId="0" xr:uid="{A58E52A5-BF20-4C07-A2C0-3C84EDB9B406}">
      <text>
        <r>
          <rPr>
            <b/>
            <sz val="9"/>
            <color indexed="81"/>
            <rFont val="Tahoma"/>
            <family val="2"/>
          </rPr>
          <t>Jessica Warren:</t>
        </r>
        <r>
          <rPr>
            <sz val="9"/>
            <color indexed="81"/>
            <rFont val="Tahoma"/>
            <family val="2"/>
          </rPr>
          <t xml:space="preserve">
J.Maier</t>
        </r>
      </text>
    </comment>
    <comment ref="D414" authorId="0" shapeId="0" xr:uid="{B51EAFC3-66A9-41E4-9AD8-BF600F5B9789}">
      <text>
        <r>
          <rPr>
            <b/>
            <sz val="9"/>
            <color indexed="81"/>
            <rFont val="Tahoma"/>
            <family val="2"/>
          </rPr>
          <t>Jessica Warren:</t>
        </r>
        <r>
          <rPr>
            <sz val="9"/>
            <color indexed="81"/>
            <rFont val="Tahoma"/>
            <family val="2"/>
          </rPr>
          <t xml:space="preserve">
J.Probus
</t>
        </r>
      </text>
    </comment>
    <comment ref="D415" authorId="0" shapeId="0" xr:uid="{C5339F08-3758-4A96-9851-62C080A8F3A1}">
      <text>
        <r>
          <rPr>
            <b/>
            <sz val="9"/>
            <color indexed="81"/>
            <rFont val="Tahoma"/>
            <family val="2"/>
          </rPr>
          <t>Jessica Warren:</t>
        </r>
        <r>
          <rPr>
            <sz val="9"/>
            <color indexed="81"/>
            <rFont val="Tahoma"/>
            <family val="2"/>
          </rPr>
          <t xml:space="preserve">
R.Barnes
</t>
        </r>
      </text>
    </comment>
    <comment ref="D416" authorId="0" shapeId="0" xr:uid="{1DA40706-DE38-4D0E-92CD-8C363D8C2029}">
      <text>
        <r>
          <rPr>
            <b/>
            <sz val="9"/>
            <color indexed="81"/>
            <rFont val="Tahoma"/>
            <family val="2"/>
          </rPr>
          <t>Jessica Warren:</t>
        </r>
        <r>
          <rPr>
            <sz val="9"/>
            <color indexed="81"/>
            <rFont val="Tahoma"/>
            <family val="2"/>
          </rPr>
          <t xml:space="preserve">
T.Bowman</t>
        </r>
      </text>
    </comment>
    <comment ref="D417" authorId="0" shapeId="0" xr:uid="{A998241F-81C3-4CAE-B2CE-5C097C0E849A}">
      <text>
        <r>
          <rPr>
            <b/>
            <sz val="9"/>
            <color indexed="81"/>
            <rFont val="Tahoma"/>
            <family val="2"/>
          </rPr>
          <t>Jessica Warren:</t>
        </r>
        <r>
          <rPr>
            <sz val="9"/>
            <color indexed="81"/>
            <rFont val="Tahoma"/>
            <family val="2"/>
          </rPr>
          <t xml:space="preserve">
G.Howard</t>
        </r>
      </text>
    </comment>
    <comment ref="D418" authorId="0" shapeId="0" xr:uid="{26058CF3-ECAB-4D06-A002-18AEDAD15785}">
      <text>
        <r>
          <rPr>
            <b/>
            <sz val="9"/>
            <color indexed="81"/>
            <rFont val="Tahoma"/>
            <family val="2"/>
          </rPr>
          <t>Jessica Warren:</t>
        </r>
        <r>
          <rPr>
            <sz val="9"/>
            <color indexed="81"/>
            <rFont val="Tahoma"/>
            <family val="2"/>
          </rPr>
          <t xml:space="preserve">
T.Osborne</t>
        </r>
      </text>
    </comment>
    <comment ref="D419" authorId="0" shapeId="0" xr:uid="{FA1A0545-AAAF-43AB-9100-B39FB08211AF}">
      <text>
        <r>
          <rPr>
            <b/>
            <sz val="9"/>
            <color indexed="81"/>
            <rFont val="Tahoma"/>
            <family val="2"/>
          </rPr>
          <t>Jessica Warren:</t>
        </r>
        <r>
          <rPr>
            <sz val="9"/>
            <color indexed="81"/>
            <rFont val="Tahoma"/>
            <family val="2"/>
          </rPr>
          <t xml:space="preserve">
J.Davis</t>
        </r>
      </text>
    </comment>
    <comment ref="D420" authorId="0" shapeId="0" xr:uid="{28929B85-8775-4995-8DE1-FA25177E5084}">
      <text>
        <r>
          <rPr>
            <b/>
            <sz val="9"/>
            <color indexed="81"/>
            <rFont val="Tahoma"/>
            <family val="2"/>
          </rPr>
          <t>Jessica Warren:</t>
        </r>
        <r>
          <rPr>
            <sz val="9"/>
            <color indexed="81"/>
            <rFont val="Tahoma"/>
            <family val="2"/>
          </rPr>
          <t xml:space="preserve">
P.Arnold
</t>
        </r>
      </text>
    </comment>
    <comment ref="F421" authorId="0" shapeId="0" xr:uid="{39871949-7580-407B-BF1B-801A0FE11A8F}">
      <text>
        <r>
          <rPr>
            <b/>
            <sz val="9"/>
            <color indexed="81"/>
            <rFont val="Tahoma"/>
            <family val="2"/>
          </rPr>
          <t>Jessica Warren:</t>
        </r>
        <r>
          <rPr>
            <sz val="9"/>
            <color indexed="81"/>
            <rFont val="Tahoma"/>
            <family val="2"/>
          </rPr>
          <t xml:space="preserve">
Not a full-time EE</t>
        </r>
      </text>
    </comment>
    <comment ref="D424" authorId="0" shapeId="0" xr:uid="{3A2A313A-38FD-4A97-BFC7-6F7666D2944A}">
      <text>
        <r>
          <rPr>
            <b/>
            <sz val="9"/>
            <color indexed="81"/>
            <rFont val="Tahoma"/>
            <family val="2"/>
          </rPr>
          <t>Jessica Warren:</t>
        </r>
        <r>
          <rPr>
            <sz val="9"/>
            <color indexed="81"/>
            <rFont val="Tahoma"/>
            <family val="2"/>
          </rPr>
          <t xml:space="preserve">
A.LaPierre</t>
        </r>
      </text>
    </comment>
    <comment ref="D425" authorId="0" shapeId="0" xr:uid="{C86E8E17-53FE-4C53-BAB6-20FB205C2BA5}">
      <text>
        <r>
          <rPr>
            <b/>
            <sz val="9"/>
            <color indexed="81"/>
            <rFont val="Tahoma"/>
            <family val="2"/>
          </rPr>
          <t>Jessica Warren:</t>
        </r>
        <r>
          <rPr>
            <sz val="9"/>
            <color indexed="81"/>
            <rFont val="Tahoma"/>
            <family val="2"/>
          </rPr>
          <t xml:space="preserve">
J.Carman</t>
        </r>
      </text>
    </comment>
    <comment ref="D426" authorId="0" shapeId="0" xr:uid="{6D64DE42-0151-4A8E-BAA1-10652CB02501}">
      <text>
        <r>
          <rPr>
            <b/>
            <sz val="9"/>
            <color indexed="81"/>
            <rFont val="Tahoma"/>
            <family val="2"/>
          </rPr>
          <t>Jessica Warren:</t>
        </r>
        <r>
          <rPr>
            <sz val="9"/>
            <color indexed="81"/>
            <rFont val="Tahoma"/>
            <family val="2"/>
          </rPr>
          <t xml:space="preserve">
B. Reed</t>
        </r>
      </text>
    </comment>
    <comment ref="D427" authorId="0" shapeId="0" xr:uid="{68D54C50-A558-40F1-969F-03C90BEF323F}">
      <text>
        <r>
          <rPr>
            <b/>
            <sz val="9"/>
            <color indexed="81"/>
            <rFont val="Tahoma"/>
            <family val="2"/>
          </rPr>
          <t>Jessica Warren:</t>
        </r>
        <r>
          <rPr>
            <sz val="9"/>
            <color indexed="81"/>
            <rFont val="Tahoma"/>
            <family val="2"/>
          </rPr>
          <t xml:space="preserve">
J.Maier</t>
        </r>
      </text>
    </comment>
    <comment ref="D428" authorId="0" shapeId="0" xr:uid="{2C853C97-DE39-43D7-96A2-A6065E8FCAB4}">
      <text>
        <r>
          <rPr>
            <b/>
            <sz val="9"/>
            <color indexed="81"/>
            <rFont val="Tahoma"/>
            <family val="2"/>
          </rPr>
          <t>Jessica Warren:</t>
        </r>
        <r>
          <rPr>
            <sz val="9"/>
            <color indexed="81"/>
            <rFont val="Tahoma"/>
            <family val="2"/>
          </rPr>
          <t xml:space="preserve">
J.Probus
</t>
        </r>
      </text>
    </comment>
    <comment ref="D429" authorId="0" shapeId="0" xr:uid="{E8E63AA0-4347-4627-9E30-E7D05FE826E0}">
      <text>
        <r>
          <rPr>
            <b/>
            <sz val="9"/>
            <color indexed="81"/>
            <rFont val="Tahoma"/>
            <family val="2"/>
          </rPr>
          <t>Jessica Warren:</t>
        </r>
        <r>
          <rPr>
            <sz val="9"/>
            <color indexed="81"/>
            <rFont val="Tahoma"/>
            <family val="2"/>
          </rPr>
          <t xml:space="preserve">
R.Barnes
</t>
        </r>
      </text>
    </comment>
    <comment ref="D430" authorId="0" shapeId="0" xr:uid="{29FEFB65-A694-4476-9899-A0E49F2B45E2}">
      <text>
        <r>
          <rPr>
            <b/>
            <sz val="9"/>
            <color indexed="81"/>
            <rFont val="Tahoma"/>
            <family val="2"/>
          </rPr>
          <t>Jessica Warren:</t>
        </r>
        <r>
          <rPr>
            <sz val="9"/>
            <color indexed="81"/>
            <rFont val="Tahoma"/>
            <family val="2"/>
          </rPr>
          <t xml:space="preserve">
T.Bowman</t>
        </r>
      </text>
    </comment>
    <comment ref="D431" authorId="0" shapeId="0" xr:uid="{1D203D43-E15D-412E-A4FA-F448E1B3B576}">
      <text>
        <r>
          <rPr>
            <b/>
            <sz val="9"/>
            <color indexed="81"/>
            <rFont val="Tahoma"/>
            <family val="2"/>
          </rPr>
          <t>Jessica Warren:</t>
        </r>
        <r>
          <rPr>
            <sz val="9"/>
            <color indexed="81"/>
            <rFont val="Tahoma"/>
            <family val="2"/>
          </rPr>
          <t xml:space="preserve">
G.Howard</t>
        </r>
      </text>
    </comment>
    <comment ref="D432" authorId="0" shapeId="0" xr:uid="{84986C33-2103-4FC8-B934-E176B7F2F212}">
      <text>
        <r>
          <rPr>
            <b/>
            <sz val="9"/>
            <color indexed="81"/>
            <rFont val="Tahoma"/>
            <family val="2"/>
          </rPr>
          <t>Jessica Warren:</t>
        </r>
        <r>
          <rPr>
            <sz val="9"/>
            <color indexed="81"/>
            <rFont val="Tahoma"/>
            <family val="2"/>
          </rPr>
          <t xml:space="preserve">
T.Osborne</t>
        </r>
      </text>
    </comment>
    <comment ref="D433" authorId="0" shapeId="0" xr:uid="{A607A3AD-B40F-4134-8D3F-65AE2B08ED17}">
      <text>
        <r>
          <rPr>
            <b/>
            <sz val="9"/>
            <color indexed="81"/>
            <rFont val="Tahoma"/>
            <family val="2"/>
          </rPr>
          <t>Jessica Warren:</t>
        </r>
        <r>
          <rPr>
            <sz val="9"/>
            <color indexed="81"/>
            <rFont val="Tahoma"/>
            <family val="2"/>
          </rPr>
          <t xml:space="preserve">
J.Davis</t>
        </r>
      </text>
    </comment>
    <comment ref="D434" authorId="0" shapeId="0" xr:uid="{D2B0A2FB-CAFF-46AB-952E-809F41D4D5C1}">
      <text>
        <r>
          <rPr>
            <b/>
            <sz val="9"/>
            <color indexed="81"/>
            <rFont val="Tahoma"/>
            <family val="2"/>
          </rPr>
          <t>Jessica Warren:</t>
        </r>
        <r>
          <rPr>
            <sz val="9"/>
            <color indexed="81"/>
            <rFont val="Tahoma"/>
            <family val="2"/>
          </rPr>
          <t xml:space="preserve">
P.Arnold
</t>
        </r>
      </text>
    </comment>
    <comment ref="D438" authorId="0" shapeId="0" xr:uid="{D31525FD-8454-4B60-83D6-244E80295AEF}">
      <text>
        <r>
          <rPr>
            <b/>
            <sz val="9"/>
            <color indexed="81"/>
            <rFont val="Tahoma"/>
            <family val="2"/>
          </rPr>
          <t>Jessica Warren:</t>
        </r>
        <r>
          <rPr>
            <sz val="9"/>
            <color indexed="81"/>
            <rFont val="Tahoma"/>
            <family val="2"/>
          </rPr>
          <t xml:space="preserve">
A.LaPierre</t>
        </r>
      </text>
    </comment>
    <comment ref="D439" authorId="0" shapeId="0" xr:uid="{7928562F-8FF6-4495-952D-F62CE027865F}">
      <text>
        <r>
          <rPr>
            <b/>
            <sz val="9"/>
            <color indexed="81"/>
            <rFont val="Tahoma"/>
            <family val="2"/>
          </rPr>
          <t>Jessica Warren:</t>
        </r>
        <r>
          <rPr>
            <sz val="9"/>
            <color indexed="81"/>
            <rFont val="Tahoma"/>
            <family val="2"/>
          </rPr>
          <t xml:space="preserve">
J.Carman</t>
        </r>
      </text>
    </comment>
    <comment ref="D440" authorId="0" shapeId="0" xr:uid="{5EBA5239-CDF4-410F-BB60-91D00960F4D2}">
      <text>
        <r>
          <rPr>
            <b/>
            <sz val="9"/>
            <color indexed="81"/>
            <rFont val="Tahoma"/>
            <family val="2"/>
          </rPr>
          <t>Jessica Warren:</t>
        </r>
        <r>
          <rPr>
            <sz val="9"/>
            <color indexed="81"/>
            <rFont val="Tahoma"/>
            <family val="2"/>
          </rPr>
          <t xml:space="preserve">
B. Reed</t>
        </r>
      </text>
    </comment>
    <comment ref="D441" authorId="0" shapeId="0" xr:uid="{2C9A5C62-252B-472C-B7F3-005881DCD9D0}">
      <text>
        <r>
          <rPr>
            <b/>
            <sz val="9"/>
            <color indexed="81"/>
            <rFont val="Tahoma"/>
            <family val="2"/>
          </rPr>
          <t>Jessica Warren:</t>
        </r>
        <r>
          <rPr>
            <sz val="9"/>
            <color indexed="81"/>
            <rFont val="Tahoma"/>
            <family val="2"/>
          </rPr>
          <t xml:space="preserve">
J.Maier</t>
        </r>
      </text>
    </comment>
    <comment ref="D442" authorId="0" shapeId="0" xr:uid="{BA450DAE-FE39-45F7-85DA-462BFAF59CF8}">
      <text>
        <r>
          <rPr>
            <b/>
            <sz val="9"/>
            <color indexed="81"/>
            <rFont val="Tahoma"/>
            <family val="2"/>
          </rPr>
          <t>Jessica Warren:</t>
        </r>
        <r>
          <rPr>
            <sz val="9"/>
            <color indexed="81"/>
            <rFont val="Tahoma"/>
            <family val="2"/>
          </rPr>
          <t xml:space="preserve">
J.Probus
</t>
        </r>
      </text>
    </comment>
    <comment ref="D443" authorId="0" shapeId="0" xr:uid="{B37EC153-8CE6-4C88-83CD-9266FECE1C37}">
      <text>
        <r>
          <rPr>
            <b/>
            <sz val="9"/>
            <color indexed="81"/>
            <rFont val="Tahoma"/>
            <family val="2"/>
          </rPr>
          <t>Jessica Warren:</t>
        </r>
        <r>
          <rPr>
            <sz val="9"/>
            <color indexed="81"/>
            <rFont val="Tahoma"/>
            <family val="2"/>
          </rPr>
          <t xml:space="preserve">
R.Barnes
</t>
        </r>
      </text>
    </comment>
    <comment ref="D444" authorId="0" shapeId="0" xr:uid="{D2EA7B04-0710-4896-AFD8-35D2F38E7ADD}">
      <text>
        <r>
          <rPr>
            <b/>
            <sz val="9"/>
            <color indexed="81"/>
            <rFont val="Tahoma"/>
            <family val="2"/>
          </rPr>
          <t>Jessica Warren:</t>
        </r>
        <r>
          <rPr>
            <sz val="9"/>
            <color indexed="81"/>
            <rFont val="Tahoma"/>
            <family val="2"/>
          </rPr>
          <t xml:space="preserve">
T.Bowman</t>
        </r>
      </text>
    </comment>
    <comment ref="D445" authorId="0" shapeId="0" xr:uid="{42729D68-6D6C-49CA-A80C-CD6CE47D4454}">
      <text>
        <r>
          <rPr>
            <b/>
            <sz val="9"/>
            <color indexed="81"/>
            <rFont val="Tahoma"/>
            <family val="2"/>
          </rPr>
          <t>Jessica Warren:</t>
        </r>
        <r>
          <rPr>
            <sz val="9"/>
            <color indexed="81"/>
            <rFont val="Tahoma"/>
            <family val="2"/>
          </rPr>
          <t xml:space="preserve">
G.Howard</t>
        </r>
      </text>
    </comment>
    <comment ref="D446" authorId="0" shapeId="0" xr:uid="{9CD75588-A8C9-47FC-8FB5-D45E7362569B}">
      <text>
        <r>
          <rPr>
            <b/>
            <sz val="9"/>
            <color indexed="81"/>
            <rFont val="Tahoma"/>
            <family val="2"/>
          </rPr>
          <t>Jessica Warren:</t>
        </r>
        <r>
          <rPr>
            <sz val="9"/>
            <color indexed="81"/>
            <rFont val="Tahoma"/>
            <family val="2"/>
          </rPr>
          <t xml:space="preserve">
T.Osborne</t>
        </r>
      </text>
    </comment>
    <comment ref="D447" authorId="0" shapeId="0" xr:uid="{C26CA991-1417-4665-BA45-48579194FA5A}">
      <text>
        <r>
          <rPr>
            <b/>
            <sz val="9"/>
            <color indexed="81"/>
            <rFont val="Tahoma"/>
            <family val="2"/>
          </rPr>
          <t>Jessica Warren:</t>
        </r>
        <r>
          <rPr>
            <sz val="9"/>
            <color indexed="81"/>
            <rFont val="Tahoma"/>
            <family val="2"/>
          </rPr>
          <t xml:space="preserve">
J.Davis</t>
        </r>
      </text>
    </comment>
    <comment ref="D448" authorId="0" shapeId="0" xr:uid="{B34143EA-35DE-464A-A7F6-C73284528AF1}">
      <text>
        <r>
          <rPr>
            <b/>
            <sz val="9"/>
            <color indexed="81"/>
            <rFont val="Tahoma"/>
            <family val="2"/>
          </rPr>
          <t>Jessica Warren:</t>
        </r>
        <r>
          <rPr>
            <sz val="9"/>
            <color indexed="81"/>
            <rFont val="Tahoma"/>
            <family val="2"/>
          </rPr>
          <t xml:space="preserve">
P.Arnold
</t>
        </r>
      </text>
    </comment>
    <comment ref="F449" authorId="0" shapeId="0" xr:uid="{CDCCB1AA-1714-40D8-B704-DDBE4705743B}">
      <text>
        <r>
          <rPr>
            <b/>
            <sz val="9"/>
            <color indexed="81"/>
            <rFont val="Tahoma"/>
            <family val="2"/>
          </rPr>
          <t>Jessica Warren:</t>
        </r>
        <r>
          <rPr>
            <sz val="9"/>
            <color indexed="81"/>
            <rFont val="Tahoma"/>
            <family val="2"/>
          </rPr>
          <t xml:space="preserve">
Not a full-time EE</t>
        </r>
      </text>
    </comment>
    <comment ref="D452" authorId="0" shapeId="0" xr:uid="{AF63D7FE-5139-419E-B056-AD088E049E1F}">
      <text>
        <r>
          <rPr>
            <b/>
            <sz val="9"/>
            <color indexed="81"/>
            <rFont val="Tahoma"/>
            <family val="2"/>
          </rPr>
          <t>Jessica Warren:</t>
        </r>
        <r>
          <rPr>
            <sz val="9"/>
            <color indexed="81"/>
            <rFont val="Tahoma"/>
            <family val="2"/>
          </rPr>
          <t xml:space="preserve">
A.LaPierre</t>
        </r>
      </text>
    </comment>
    <comment ref="D453" authorId="0" shapeId="0" xr:uid="{B651BA8C-819E-4CA7-9B88-B5DB7E62DE5B}">
      <text>
        <r>
          <rPr>
            <b/>
            <sz val="9"/>
            <color indexed="81"/>
            <rFont val="Tahoma"/>
            <family val="2"/>
          </rPr>
          <t>Jessica Warren:</t>
        </r>
        <r>
          <rPr>
            <sz val="9"/>
            <color indexed="81"/>
            <rFont val="Tahoma"/>
            <family val="2"/>
          </rPr>
          <t xml:space="preserve">
J.Carman</t>
        </r>
      </text>
    </comment>
    <comment ref="D454" authorId="0" shapeId="0" xr:uid="{DF65A8C2-A02F-4FC1-9FA6-53A31B5BE485}">
      <text>
        <r>
          <rPr>
            <b/>
            <sz val="9"/>
            <color indexed="81"/>
            <rFont val="Tahoma"/>
            <family val="2"/>
          </rPr>
          <t>Jessica Warren:</t>
        </r>
        <r>
          <rPr>
            <sz val="9"/>
            <color indexed="81"/>
            <rFont val="Tahoma"/>
            <family val="2"/>
          </rPr>
          <t xml:space="preserve">
B. Reed</t>
        </r>
      </text>
    </comment>
    <comment ref="D455" authorId="0" shapeId="0" xr:uid="{F44BDE85-C974-4B9F-AAEF-146753025B5A}">
      <text>
        <r>
          <rPr>
            <b/>
            <sz val="9"/>
            <color indexed="81"/>
            <rFont val="Tahoma"/>
            <family val="2"/>
          </rPr>
          <t>Jessica Warren:</t>
        </r>
        <r>
          <rPr>
            <sz val="9"/>
            <color indexed="81"/>
            <rFont val="Tahoma"/>
            <family val="2"/>
          </rPr>
          <t xml:space="preserve">
J.Maier</t>
        </r>
      </text>
    </comment>
    <comment ref="D456" authorId="0" shapeId="0" xr:uid="{6294FF16-3419-4EF8-849A-A178F96578CE}">
      <text>
        <r>
          <rPr>
            <b/>
            <sz val="9"/>
            <color indexed="81"/>
            <rFont val="Tahoma"/>
            <family val="2"/>
          </rPr>
          <t>Jessica Warren:</t>
        </r>
        <r>
          <rPr>
            <sz val="9"/>
            <color indexed="81"/>
            <rFont val="Tahoma"/>
            <family val="2"/>
          </rPr>
          <t xml:space="preserve">
J.Probus
</t>
        </r>
      </text>
    </comment>
    <comment ref="D457" authorId="0" shapeId="0" xr:uid="{A7883584-E1C9-487C-819E-C1223B4F78D1}">
      <text>
        <r>
          <rPr>
            <b/>
            <sz val="9"/>
            <color indexed="81"/>
            <rFont val="Tahoma"/>
            <family val="2"/>
          </rPr>
          <t>Jessica Warren:</t>
        </r>
        <r>
          <rPr>
            <sz val="9"/>
            <color indexed="81"/>
            <rFont val="Tahoma"/>
            <family val="2"/>
          </rPr>
          <t xml:space="preserve">
R.Barnes
</t>
        </r>
      </text>
    </comment>
    <comment ref="D458" authorId="0" shapeId="0" xr:uid="{3935E3DA-7898-43C2-AC43-99181D9D6697}">
      <text>
        <r>
          <rPr>
            <b/>
            <sz val="9"/>
            <color indexed="81"/>
            <rFont val="Tahoma"/>
            <family val="2"/>
          </rPr>
          <t>Jessica Warren:</t>
        </r>
        <r>
          <rPr>
            <sz val="9"/>
            <color indexed="81"/>
            <rFont val="Tahoma"/>
            <family val="2"/>
          </rPr>
          <t xml:space="preserve">
T.Bowman</t>
        </r>
      </text>
    </comment>
    <comment ref="D459" authorId="0" shapeId="0" xr:uid="{17F16873-D176-466A-8719-26F5C28260B3}">
      <text>
        <r>
          <rPr>
            <b/>
            <sz val="9"/>
            <color indexed="81"/>
            <rFont val="Tahoma"/>
            <family val="2"/>
          </rPr>
          <t>Jessica Warren:</t>
        </r>
        <r>
          <rPr>
            <sz val="9"/>
            <color indexed="81"/>
            <rFont val="Tahoma"/>
            <family val="2"/>
          </rPr>
          <t xml:space="preserve">
G.Howard</t>
        </r>
      </text>
    </comment>
    <comment ref="D460" authorId="0" shapeId="0" xr:uid="{025A21D9-A45E-4282-96D2-855F09F77E4A}">
      <text>
        <r>
          <rPr>
            <b/>
            <sz val="9"/>
            <color indexed="81"/>
            <rFont val="Tahoma"/>
            <family val="2"/>
          </rPr>
          <t>Jessica Warren:</t>
        </r>
        <r>
          <rPr>
            <sz val="9"/>
            <color indexed="81"/>
            <rFont val="Tahoma"/>
            <family val="2"/>
          </rPr>
          <t xml:space="preserve">
T.Osborne</t>
        </r>
      </text>
    </comment>
    <comment ref="D461" authorId="0" shapeId="0" xr:uid="{8E20C976-23F5-49B0-8A68-9A8EF754BE94}">
      <text>
        <r>
          <rPr>
            <b/>
            <sz val="9"/>
            <color indexed="81"/>
            <rFont val="Tahoma"/>
            <family val="2"/>
          </rPr>
          <t>Jessica Warren:</t>
        </r>
        <r>
          <rPr>
            <sz val="9"/>
            <color indexed="81"/>
            <rFont val="Tahoma"/>
            <family val="2"/>
          </rPr>
          <t xml:space="preserve">
J.Davis</t>
        </r>
      </text>
    </comment>
    <comment ref="D462" authorId="0" shapeId="0" xr:uid="{4EECC75B-FEF3-423D-A8B3-0E48BD33135A}">
      <text>
        <r>
          <rPr>
            <b/>
            <sz val="9"/>
            <color indexed="81"/>
            <rFont val="Tahoma"/>
            <family val="2"/>
          </rPr>
          <t>Jessica Warren:</t>
        </r>
        <r>
          <rPr>
            <sz val="9"/>
            <color indexed="81"/>
            <rFont val="Tahoma"/>
            <family val="2"/>
          </rPr>
          <t xml:space="preserve">
P.Arnold
</t>
        </r>
      </text>
    </comment>
    <comment ref="F463" authorId="0" shapeId="0" xr:uid="{43CB2A29-B356-48E0-A5B3-75EB3395A42C}">
      <text>
        <r>
          <rPr>
            <b/>
            <sz val="9"/>
            <color indexed="81"/>
            <rFont val="Tahoma"/>
            <family val="2"/>
          </rPr>
          <t>Jessica Warren:</t>
        </r>
        <r>
          <rPr>
            <sz val="9"/>
            <color indexed="81"/>
            <rFont val="Tahoma"/>
            <family val="2"/>
          </rPr>
          <t xml:space="preserve">
Not a full-time EE</t>
        </r>
      </text>
    </comment>
    <comment ref="D505" authorId="0" shapeId="0" xr:uid="{EDBFCACF-BEE3-4A7F-B1CE-360A950A861B}">
      <text>
        <r>
          <rPr>
            <b/>
            <sz val="9"/>
            <color indexed="81"/>
            <rFont val="Tahoma"/>
            <family val="2"/>
          </rPr>
          <t>Jessica Warren:</t>
        </r>
        <r>
          <rPr>
            <sz val="9"/>
            <color indexed="81"/>
            <rFont val="Tahoma"/>
            <family val="2"/>
          </rPr>
          <t xml:space="preserve">
David Burkhead
</t>
        </r>
      </text>
    </comment>
    <comment ref="D506" authorId="0" shapeId="0" xr:uid="{09E20B74-44A3-4488-87D9-E29A7A7D5987}">
      <text>
        <r>
          <rPr>
            <b/>
            <sz val="9"/>
            <color indexed="81"/>
            <rFont val="Tahoma"/>
            <family val="2"/>
          </rPr>
          <t>Jessica Warren:</t>
        </r>
        <r>
          <rPr>
            <sz val="9"/>
            <color indexed="81"/>
            <rFont val="Tahoma"/>
            <family val="2"/>
          </rPr>
          <t xml:space="preserve">
Jeff Bush
</t>
        </r>
      </text>
    </comment>
    <comment ref="D507" authorId="0" shapeId="0" xr:uid="{71EEE9BA-C129-40AB-8940-21A472CDBC31}">
      <text>
        <r>
          <rPr>
            <b/>
            <sz val="9"/>
            <color indexed="81"/>
            <rFont val="Tahoma"/>
            <family val="2"/>
          </rPr>
          <t>Jessica Warren:</t>
        </r>
        <r>
          <rPr>
            <sz val="9"/>
            <color indexed="81"/>
            <rFont val="Tahoma"/>
            <family val="2"/>
          </rPr>
          <t xml:space="preserve">
3rd position was moved from Radcliff to Co in 2022
</t>
        </r>
      </text>
    </comment>
    <comment ref="I520" authorId="0" shapeId="0" xr:uid="{0CF5CFC3-CA15-43A4-8CB7-C422E3F5D677}">
      <text>
        <r>
          <rPr>
            <b/>
            <sz val="9"/>
            <color indexed="81"/>
            <rFont val="Tahoma"/>
            <family val="2"/>
          </rPr>
          <t>Jessica Warren:</t>
        </r>
        <r>
          <rPr>
            <sz val="9"/>
            <color indexed="81"/>
            <rFont val="Tahoma"/>
            <family val="2"/>
          </rPr>
          <t xml:space="preserve">
preliminary numbers are forcasting a 1% decrease in WC premiums
</t>
        </r>
      </text>
    </comment>
    <comment ref="D563" authorId="0" shapeId="0" xr:uid="{3E5A4F4E-B287-460F-B6CE-2DE9599E7734}">
      <text>
        <r>
          <rPr>
            <b/>
            <sz val="9"/>
            <color indexed="81"/>
            <rFont val="Tahoma"/>
            <family val="2"/>
          </rPr>
          <t>Jessica Warren:</t>
        </r>
        <r>
          <rPr>
            <sz val="9"/>
            <color indexed="81"/>
            <rFont val="Tahoma"/>
            <family val="2"/>
          </rPr>
          <t xml:space="preserve">
Bryan Flaugher</t>
        </r>
      </text>
    </comment>
    <comment ref="D564" authorId="0" shapeId="0" xr:uid="{68D1EB23-B0C5-43F6-8416-44F811412569}">
      <text>
        <r>
          <rPr>
            <b/>
            <sz val="9"/>
            <color indexed="81"/>
            <rFont val="Tahoma"/>
            <family val="2"/>
          </rPr>
          <t>Jessica Warren:</t>
        </r>
        <r>
          <rPr>
            <sz val="9"/>
            <color indexed="81"/>
            <rFont val="Tahoma"/>
            <family val="2"/>
          </rPr>
          <t xml:space="preserve">
William Hardin
</t>
        </r>
      </text>
    </comment>
    <comment ref="G564" authorId="0" shapeId="0" xr:uid="{A8AD16B5-51D3-4832-8853-BCB87DAB3D8B}">
      <text>
        <r>
          <rPr>
            <b/>
            <sz val="9"/>
            <color indexed="81"/>
            <rFont val="Tahoma"/>
            <family val="2"/>
          </rPr>
          <t>Jessica Warren:</t>
        </r>
        <r>
          <rPr>
            <sz val="9"/>
            <color indexed="81"/>
            <rFont val="Tahoma"/>
            <family val="2"/>
          </rPr>
          <t xml:space="preserve">
employee resigned at end of 2021, and position will not be re-filled
</t>
        </r>
      </text>
    </comment>
    <comment ref="D565" authorId="0" shapeId="0" xr:uid="{2C475570-09B8-4737-B8A2-8609AB50CA85}">
      <text>
        <r>
          <rPr>
            <b/>
            <sz val="9"/>
            <color indexed="81"/>
            <rFont val="Tahoma"/>
            <family val="2"/>
          </rPr>
          <t>Jessica Warren:</t>
        </r>
        <r>
          <rPr>
            <sz val="9"/>
            <color indexed="81"/>
            <rFont val="Tahoma"/>
            <family val="2"/>
          </rPr>
          <t xml:space="preserve">
Kenneth Durham</t>
        </r>
      </text>
    </comment>
    <comment ref="F565" authorId="0" shapeId="0" xr:uid="{2431DBBF-96F4-414F-A454-81EDBBE2DE57}">
      <text>
        <r>
          <rPr>
            <b/>
            <sz val="9"/>
            <color indexed="81"/>
            <rFont val="Tahoma"/>
            <family val="2"/>
          </rPr>
          <t>Jessica Warren:</t>
        </r>
        <r>
          <rPr>
            <sz val="9"/>
            <color indexed="81"/>
            <rFont val="Tahoma"/>
            <family val="2"/>
          </rPr>
          <t xml:space="preserve">
Employee termed 10/19/21. There were approximately 430 hours remaining in the year.  I added 350*25.26/hour = 8,841</t>
        </r>
      </text>
    </comment>
    <comment ref="G565" authorId="0" shapeId="0" xr:uid="{31FEA4C2-2B9C-4FB4-BD66-EF77355F9B59}">
      <text>
        <r>
          <rPr>
            <b/>
            <sz val="9"/>
            <color indexed="81"/>
            <rFont val="Tahoma"/>
            <family val="2"/>
          </rPr>
          <t>Jessica Warren:</t>
        </r>
        <r>
          <rPr>
            <sz val="9"/>
            <color indexed="81"/>
            <rFont val="Tahoma"/>
            <family val="2"/>
          </rPr>
          <t xml:space="preserve">
replaced with Jason Johnson</t>
        </r>
      </text>
    </comment>
    <comment ref="H565" authorId="0" shapeId="0" xr:uid="{631D6BCD-D19D-4A2C-B986-E5907605DABC}">
      <text>
        <r>
          <rPr>
            <b/>
            <sz val="9"/>
            <color indexed="81"/>
            <rFont val="Tahoma"/>
            <family val="2"/>
          </rPr>
          <t>Jessica Warren:</t>
        </r>
        <r>
          <rPr>
            <sz val="9"/>
            <color indexed="81"/>
            <rFont val="Tahoma"/>
            <family val="2"/>
          </rPr>
          <t xml:space="preserve">
used 22*2080 because he was hired mid-year
</t>
        </r>
      </text>
    </comment>
    <comment ref="D568" authorId="0" shapeId="0" xr:uid="{C821BBE5-3312-4FDE-989C-E7067C185A67}">
      <text>
        <r>
          <rPr>
            <b/>
            <sz val="9"/>
            <color indexed="81"/>
            <rFont val="Tahoma"/>
            <family val="2"/>
          </rPr>
          <t>Jessica Warren:</t>
        </r>
        <r>
          <rPr>
            <sz val="9"/>
            <color indexed="81"/>
            <rFont val="Tahoma"/>
            <family val="2"/>
          </rPr>
          <t xml:space="preserve">
Bryan Flaugher</t>
        </r>
      </text>
    </comment>
    <comment ref="D569" authorId="0" shapeId="0" xr:uid="{19302E9C-C6A8-4841-8AEC-857F086996DB}">
      <text>
        <r>
          <rPr>
            <b/>
            <sz val="9"/>
            <color indexed="81"/>
            <rFont val="Tahoma"/>
            <family val="2"/>
          </rPr>
          <t>Jessica Warren:</t>
        </r>
        <r>
          <rPr>
            <sz val="9"/>
            <color indexed="81"/>
            <rFont val="Tahoma"/>
            <family val="2"/>
          </rPr>
          <t xml:space="preserve">
William Hardin
</t>
        </r>
      </text>
    </comment>
    <comment ref="D570" authorId="0" shapeId="0" xr:uid="{97CEF2A3-B998-45EB-B85B-B48C5C6BDFA2}">
      <text>
        <r>
          <rPr>
            <b/>
            <sz val="9"/>
            <color indexed="81"/>
            <rFont val="Tahoma"/>
            <family val="2"/>
          </rPr>
          <t>Jessica Warren:</t>
        </r>
        <r>
          <rPr>
            <sz val="9"/>
            <color indexed="81"/>
            <rFont val="Tahoma"/>
            <family val="2"/>
          </rPr>
          <t xml:space="preserve">
Kenneth Durham</t>
        </r>
      </text>
    </comment>
    <comment ref="F570" authorId="0" shapeId="0" xr:uid="{DA4B5673-27D0-46C0-9B00-4FC8FCB13680}">
      <text>
        <r>
          <rPr>
            <b/>
            <sz val="9"/>
            <color indexed="81"/>
            <rFont val="Tahoma"/>
            <family val="2"/>
          </rPr>
          <t>Jessica Warren:</t>
        </r>
        <r>
          <rPr>
            <sz val="9"/>
            <color indexed="81"/>
            <rFont val="Tahoma"/>
            <family val="2"/>
          </rPr>
          <t xml:space="preserve">
since employee was termed before the year end, OT/Gross times adjusted gross.</t>
        </r>
      </text>
    </comment>
    <comment ref="H570" authorId="0" shapeId="0" xr:uid="{3FA8BA3F-8975-4821-B712-8698C4A775B4}">
      <text>
        <r>
          <rPr>
            <b/>
            <sz val="9"/>
            <color indexed="81"/>
            <rFont val="Tahoma"/>
            <family val="2"/>
          </rPr>
          <t>Jessica Warren:</t>
        </r>
        <r>
          <rPr>
            <sz val="9"/>
            <color indexed="81"/>
            <rFont val="Tahoma"/>
            <family val="2"/>
          </rPr>
          <t xml:space="preserve">
estimated based on actual hours estimated to annualize
</t>
        </r>
      </text>
    </comment>
    <comment ref="D573" authorId="0" shapeId="0" xr:uid="{3CF32A3F-80B2-4ABB-B2A5-8301600F685F}">
      <text>
        <r>
          <rPr>
            <b/>
            <sz val="9"/>
            <color indexed="81"/>
            <rFont val="Tahoma"/>
            <family val="2"/>
          </rPr>
          <t>Jessica Warren:</t>
        </r>
        <r>
          <rPr>
            <sz val="9"/>
            <color indexed="81"/>
            <rFont val="Tahoma"/>
            <family val="2"/>
          </rPr>
          <t xml:space="preserve">
Bryan Flaugher</t>
        </r>
      </text>
    </comment>
    <comment ref="D574" authorId="0" shapeId="0" xr:uid="{3B8D4ABE-8DF0-43A6-8D6F-0D1636CCB8C6}">
      <text>
        <r>
          <rPr>
            <b/>
            <sz val="9"/>
            <color indexed="81"/>
            <rFont val="Tahoma"/>
            <family val="2"/>
          </rPr>
          <t>Jessica Warren:</t>
        </r>
        <r>
          <rPr>
            <sz val="9"/>
            <color indexed="81"/>
            <rFont val="Tahoma"/>
            <family val="2"/>
          </rPr>
          <t xml:space="preserve">
William Hardin
</t>
        </r>
      </text>
    </comment>
    <comment ref="D575" authorId="0" shapeId="0" xr:uid="{F46998B6-8C25-402F-9625-2CC3D3F505D6}">
      <text>
        <r>
          <rPr>
            <b/>
            <sz val="9"/>
            <color indexed="81"/>
            <rFont val="Tahoma"/>
            <family val="2"/>
          </rPr>
          <t>Jessica Warren:</t>
        </r>
        <r>
          <rPr>
            <sz val="9"/>
            <color indexed="81"/>
            <rFont val="Tahoma"/>
            <family val="2"/>
          </rPr>
          <t xml:space="preserve">
Kenneth Durham</t>
        </r>
      </text>
    </comment>
    <comment ref="D578" authorId="0" shapeId="0" xr:uid="{98AD4158-1AB1-487E-9622-87B20CC0EC04}">
      <text>
        <r>
          <rPr>
            <b/>
            <sz val="9"/>
            <color indexed="81"/>
            <rFont val="Tahoma"/>
            <family val="2"/>
          </rPr>
          <t>Jessica Warren:</t>
        </r>
        <r>
          <rPr>
            <sz val="9"/>
            <color indexed="81"/>
            <rFont val="Tahoma"/>
            <family val="2"/>
          </rPr>
          <t xml:space="preserve">
Bryan Flaugher</t>
        </r>
      </text>
    </comment>
    <comment ref="I578" authorId="0" shapeId="0" xr:uid="{B6503CDD-6821-48A6-B39B-EEA808020865}">
      <text>
        <r>
          <rPr>
            <b/>
            <sz val="9"/>
            <color indexed="81"/>
            <rFont val="Tahoma"/>
            <family val="2"/>
          </rPr>
          <t>Jessica Warren:</t>
        </r>
        <r>
          <rPr>
            <sz val="9"/>
            <color indexed="81"/>
            <rFont val="Tahoma"/>
            <family val="2"/>
          </rPr>
          <t xml:space="preserve">
preliminary numbers are forcasting a 1% decrease in WC premiums
</t>
        </r>
      </text>
    </comment>
    <comment ref="D579" authorId="0" shapeId="0" xr:uid="{18CFC755-57C7-4BF1-90A6-5349820B6165}">
      <text>
        <r>
          <rPr>
            <b/>
            <sz val="9"/>
            <color indexed="81"/>
            <rFont val="Tahoma"/>
            <family val="2"/>
          </rPr>
          <t>Jessica Warren:</t>
        </r>
        <r>
          <rPr>
            <sz val="9"/>
            <color indexed="81"/>
            <rFont val="Tahoma"/>
            <family val="2"/>
          </rPr>
          <t xml:space="preserve">
William Hardin
</t>
        </r>
      </text>
    </comment>
    <comment ref="D580" authorId="0" shapeId="0" xr:uid="{94C4AAC5-5546-4CA7-BAA9-1C420182866C}">
      <text>
        <r>
          <rPr>
            <b/>
            <sz val="9"/>
            <color indexed="81"/>
            <rFont val="Tahoma"/>
            <family val="2"/>
          </rPr>
          <t>Jessica Warren:</t>
        </r>
        <r>
          <rPr>
            <sz val="9"/>
            <color indexed="81"/>
            <rFont val="Tahoma"/>
            <family val="2"/>
          </rPr>
          <t xml:space="preserve">
Kenneth Durham</t>
        </r>
      </text>
    </comment>
    <comment ref="H580" authorId="0" shapeId="0" xr:uid="{E90AC2CC-4595-4182-A9FD-8660FBCB77E9}">
      <text>
        <r>
          <rPr>
            <b/>
            <sz val="9"/>
            <color indexed="81"/>
            <rFont val="Tahoma"/>
            <family val="2"/>
          </rPr>
          <t>Jessica Warren:</t>
        </r>
        <r>
          <rPr>
            <sz val="9"/>
            <color indexed="81"/>
            <rFont val="Tahoma"/>
            <family val="2"/>
          </rPr>
          <t xml:space="preserve">
used Andy's WC because gross wages were similar
</t>
        </r>
      </text>
    </comment>
    <comment ref="D583" authorId="0" shapeId="0" xr:uid="{ED0AD219-2A14-4CB1-9F96-6D1D0A68D3AA}">
      <text>
        <r>
          <rPr>
            <b/>
            <sz val="9"/>
            <color indexed="81"/>
            <rFont val="Tahoma"/>
            <family val="2"/>
          </rPr>
          <t>Jessica Warren:</t>
        </r>
        <r>
          <rPr>
            <sz val="9"/>
            <color indexed="81"/>
            <rFont val="Tahoma"/>
            <family val="2"/>
          </rPr>
          <t xml:space="preserve">
Bryan Flaugher</t>
        </r>
      </text>
    </comment>
    <comment ref="D584" authorId="0" shapeId="0" xr:uid="{074BB082-D660-4C86-BB78-174249B50EAC}">
      <text>
        <r>
          <rPr>
            <b/>
            <sz val="9"/>
            <color indexed="81"/>
            <rFont val="Tahoma"/>
            <family val="2"/>
          </rPr>
          <t>Jessica Warren:</t>
        </r>
        <r>
          <rPr>
            <sz val="9"/>
            <color indexed="81"/>
            <rFont val="Tahoma"/>
            <family val="2"/>
          </rPr>
          <t xml:space="preserve">
William Hardin
</t>
        </r>
      </text>
    </comment>
    <comment ref="D585" authorId="0" shapeId="0" xr:uid="{8094DA6B-5F96-4887-9CDD-84A497220419}">
      <text>
        <r>
          <rPr>
            <b/>
            <sz val="9"/>
            <color indexed="81"/>
            <rFont val="Tahoma"/>
            <family val="2"/>
          </rPr>
          <t>Jessica Warren:</t>
        </r>
        <r>
          <rPr>
            <sz val="9"/>
            <color indexed="81"/>
            <rFont val="Tahoma"/>
            <family val="2"/>
          </rPr>
          <t xml:space="preserve">
Kenneth Durham</t>
        </r>
      </text>
    </comment>
    <comment ref="D588" authorId="0" shapeId="0" xr:uid="{82DD717A-7E10-4F91-9E91-E033E149C4A2}">
      <text>
        <r>
          <rPr>
            <b/>
            <sz val="9"/>
            <color indexed="81"/>
            <rFont val="Tahoma"/>
            <family val="2"/>
          </rPr>
          <t>Jessica Warren:</t>
        </r>
        <r>
          <rPr>
            <sz val="9"/>
            <color indexed="81"/>
            <rFont val="Tahoma"/>
            <family val="2"/>
          </rPr>
          <t xml:space="preserve">
Bryan Flaugher</t>
        </r>
      </text>
    </comment>
    <comment ref="D589" authorId="0" shapeId="0" xr:uid="{986CF4FF-0179-4D7E-AFD1-E53293DB4C49}">
      <text>
        <r>
          <rPr>
            <b/>
            <sz val="9"/>
            <color indexed="81"/>
            <rFont val="Tahoma"/>
            <family val="2"/>
          </rPr>
          <t>Jessica Warren:</t>
        </r>
        <r>
          <rPr>
            <sz val="9"/>
            <color indexed="81"/>
            <rFont val="Tahoma"/>
            <family val="2"/>
          </rPr>
          <t xml:space="preserve">
William Hardin
</t>
        </r>
      </text>
    </comment>
    <comment ref="D590" authorId="0" shapeId="0" xr:uid="{9979B976-2786-4C37-8D28-BD593FFE6FD5}">
      <text>
        <r>
          <rPr>
            <b/>
            <sz val="9"/>
            <color indexed="81"/>
            <rFont val="Tahoma"/>
            <family val="2"/>
          </rPr>
          <t>Jessica Warren:</t>
        </r>
        <r>
          <rPr>
            <sz val="9"/>
            <color indexed="81"/>
            <rFont val="Tahoma"/>
            <family val="2"/>
          </rPr>
          <t xml:space="preserve">
Kenneth Durham</t>
        </r>
      </text>
    </comment>
    <comment ref="D593" authorId="0" shapeId="0" xr:uid="{24360624-B5B8-4376-BE11-56DDB68ECE16}">
      <text>
        <r>
          <rPr>
            <b/>
            <sz val="9"/>
            <color indexed="81"/>
            <rFont val="Tahoma"/>
            <family val="2"/>
          </rPr>
          <t>Jessica Warren:</t>
        </r>
        <r>
          <rPr>
            <sz val="9"/>
            <color indexed="81"/>
            <rFont val="Tahoma"/>
            <family val="2"/>
          </rPr>
          <t xml:space="preserve">
Bryan Flaugher</t>
        </r>
      </text>
    </comment>
    <comment ref="D594" authorId="0" shapeId="0" xr:uid="{917FB170-B143-40A3-ABB4-36F6A014955C}">
      <text>
        <r>
          <rPr>
            <b/>
            <sz val="9"/>
            <color indexed="81"/>
            <rFont val="Tahoma"/>
            <family val="2"/>
          </rPr>
          <t>Jessica Warren:</t>
        </r>
        <r>
          <rPr>
            <sz val="9"/>
            <color indexed="81"/>
            <rFont val="Tahoma"/>
            <family val="2"/>
          </rPr>
          <t xml:space="preserve">
William Hardin
</t>
        </r>
      </text>
    </comment>
    <comment ref="D595" authorId="0" shapeId="0" xr:uid="{D68342F8-32CC-4787-8808-329842E97C6B}">
      <text>
        <r>
          <rPr>
            <b/>
            <sz val="9"/>
            <color indexed="81"/>
            <rFont val="Tahoma"/>
            <family val="2"/>
          </rPr>
          <t>Jessica Warren:</t>
        </r>
        <r>
          <rPr>
            <sz val="9"/>
            <color indexed="81"/>
            <rFont val="Tahoma"/>
            <family val="2"/>
          </rPr>
          <t xml:space="preserve">
Kenneth Durham</t>
        </r>
      </text>
    </comment>
    <comment ref="D598" authorId="0" shapeId="0" xr:uid="{24D1E863-D496-408D-A865-BAE8CCDAD822}">
      <text>
        <r>
          <rPr>
            <b/>
            <sz val="9"/>
            <color indexed="81"/>
            <rFont val="Tahoma"/>
            <family val="2"/>
          </rPr>
          <t>Jessica Warren:</t>
        </r>
        <r>
          <rPr>
            <sz val="9"/>
            <color indexed="81"/>
            <rFont val="Tahoma"/>
            <family val="2"/>
          </rPr>
          <t xml:space="preserve">
Bryan Flaugher</t>
        </r>
      </text>
    </comment>
    <comment ref="D599" authorId="0" shapeId="0" xr:uid="{A2EA8110-082D-40BE-B7C9-9893A0155828}">
      <text>
        <r>
          <rPr>
            <b/>
            <sz val="9"/>
            <color indexed="81"/>
            <rFont val="Tahoma"/>
            <family val="2"/>
          </rPr>
          <t>Jessica Warren:</t>
        </r>
        <r>
          <rPr>
            <sz val="9"/>
            <color indexed="81"/>
            <rFont val="Tahoma"/>
            <family val="2"/>
          </rPr>
          <t xml:space="preserve">
William Hardin
</t>
        </r>
      </text>
    </comment>
    <comment ref="D600" authorId="0" shapeId="0" xr:uid="{1F40C5CF-4EDA-4784-AC28-E504B87B353F}">
      <text>
        <r>
          <rPr>
            <b/>
            <sz val="9"/>
            <color indexed="81"/>
            <rFont val="Tahoma"/>
            <family val="2"/>
          </rPr>
          <t>Jessica Warren:</t>
        </r>
        <r>
          <rPr>
            <sz val="9"/>
            <color indexed="81"/>
            <rFont val="Tahoma"/>
            <family val="2"/>
          </rPr>
          <t xml:space="preserve">
Kenneth Durham</t>
        </r>
      </text>
    </comment>
    <comment ref="D603" authorId="0" shapeId="0" xr:uid="{E84562A4-9E0A-44ED-BE81-A1EC439D17FD}">
      <text>
        <r>
          <rPr>
            <b/>
            <sz val="9"/>
            <color indexed="81"/>
            <rFont val="Tahoma"/>
            <family val="2"/>
          </rPr>
          <t>Jessica Warren:</t>
        </r>
        <r>
          <rPr>
            <sz val="9"/>
            <color indexed="81"/>
            <rFont val="Tahoma"/>
            <family val="2"/>
          </rPr>
          <t xml:space="preserve">
Bryan Flaugher</t>
        </r>
      </text>
    </comment>
    <comment ref="D604" authorId="0" shapeId="0" xr:uid="{14EC373F-34F5-4C77-A055-8C94DBE9D84A}">
      <text>
        <r>
          <rPr>
            <b/>
            <sz val="9"/>
            <color indexed="81"/>
            <rFont val="Tahoma"/>
            <family val="2"/>
          </rPr>
          <t>Jessica Warren:</t>
        </r>
        <r>
          <rPr>
            <sz val="9"/>
            <color indexed="81"/>
            <rFont val="Tahoma"/>
            <family val="2"/>
          </rPr>
          <t xml:space="preserve">
William Hardin
</t>
        </r>
      </text>
    </comment>
    <comment ref="D605" authorId="0" shapeId="0" xr:uid="{AA442DE6-C041-4FE9-B161-C99673960163}">
      <text>
        <r>
          <rPr>
            <b/>
            <sz val="9"/>
            <color indexed="81"/>
            <rFont val="Tahoma"/>
            <family val="2"/>
          </rPr>
          <t>Jessica Warren:</t>
        </r>
        <r>
          <rPr>
            <sz val="9"/>
            <color indexed="81"/>
            <rFont val="Tahoma"/>
            <family val="2"/>
          </rPr>
          <t xml:space="preserve">
Kenneth Durham</t>
        </r>
      </text>
    </comment>
    <comment ref="D621" authorId="0" shapeId="0" xr:uid="{65DA081C-ABFB-4B6B-8563-25074312E63F}">
      <text>
        <r>
          <rPr>
            <b/>
            <sz val="9"/>
            <color indexed="81"/>
            <rFont val="Tahoma"/>
            <family val="2"/>
          </rPr>
          <t>Jessica Warren:</t>
        </r>
        <r>
          <rPr>
            <sz val="9"/>
            <color indexed="81"/>
            <rFont val="Tahoma"/>
            <family val="2"/>
          </rPr>
          <t xml:space="preserve">
c.ake
</t>
        </r>
      </text>
    </comment>
    <comment ref="H621" authorId="0" shapeId="0" xr:uid="{BF064C1D-EE9A-46F0-9AF0-A36808848E1C}">
      <text>
        <r>
          <rPr>
            <b/>
            <sz val="9"/>
            <color indexed="81"/>
            <rFont val="Tahoma"/>
            <family val="2"/>
          </rPr>
          <t>Jessica Warren:</t>
        </r>
        <r>
          <rPr>
            <sz val="9"/>
            <color indexed="81"/>
            <rFont val="Tahoma"/>
            <family val="2"/>
          </rPr>
          <t xml:space="preserve">
Bill Bishop transferred to 4.03
replaced with curtis Board
</t>
        </r>
      </text>
    </comment>
    <comment ref="D622" authorId="0" shapeId="0" xr:uid="{7578F6F5-BA80-4C0A-BA95-C49B190E0486}">
      <text>
        <r>
          <rPr>
            <b/>
            <sz val="9"/>
            <color indexed="81"/>
            <rFont val="Tahoma"/>
            <family val="2"/>
          </rPr>
          <t>Jessica Warren:</t>
        </r>
        <r>
          <rPr>
            <sz val="9"/>
            <color indexed="81"/>
            <rFont val="Tahoma"/>
            <family val="2"/>
          </rPr>
          <t xml:space="preserve">
C.Board
</t>
        </r>
      </text>
    </comment>
    <comment ref="G622" authorId="0" shapeId="0" xr:uid="{FC1FDFB7-9E49-40B4-8922-2BF06C5ED0D1}">
      <text>
        <r>
          <rPr>
            <b/>
            <sz val="9"/>
            <color indexed="81"/>
            <rFont val="Tahoma"/>
            <family val="2"/>
          </rPr>
          <t>Jessica Warren:</t>
        </r>
        <r>
          <rPr>
            <sz val="9"/>
            <color indexed="81"/>
            <rFont val="Tahoma"/>
            <family val="2"/>
          </rPr>
          <t xml:space="preserve">
scott had this as 18, because when the budget was calculated, he hadn't received certification
</t>
        </r>
      </text>
    </comment>
    <comment ref="H622" authorId="0" shapeId="0" xr:uid="{F8C62851-30E9-4D30-8C53-7420357B84CF}">
      <text>
        <r>
          <rPr>
            <b/>
            <sz val="9"/>
            <color indexed="81"/>
            <rFont val="Tahoma"/>
            <family val="2"/>
          </rPr>
          <t>Jessica Warren:</t>
        </r>
        <r>
          <rPr>
            <sz val="9"/>
            <color indexed="81"/>
            <rFont val="Tahoma"/>
            <family val="2"/>
          </rPr>
          <t xml:space="preserve">
estimated as 22*2080 to annualize because he was hired mid-year
</t>
        </r>
      </text>
    </comment>
    <comment ref="D623" authorId="0" shapeId="0" xr:uid="{9409A234-92F4-4207-8345-0202B9FC4716}">
      <text>
        <r>
          <rPr>
            <b/>
            <sz val="9"/>
            <color indexed="81"/>
            <rFont val="Tahoma"/>
            <family val="2"/>
          </rPr>
          <t>Jessica Warren:</t>
        </r>
        <r>
          <rPr>
            <sz val="9"/>
            <color indexed="81"/>
            <rFont val="Tahoma"/>
            <family val="2"/>
          </rPr>
          <t xml:space="preserve">
Frank Raymer
</t>
        </r>
      </text>
    </comment>
    <comment ref="H623" authorId="0" shapeId="0" xr:uid="{B13D6D3F-E168-4FB6-885B-46DFED2B2695}">
      <text>
        <r>
          <rPr>
            <b/>
            <sz val="9"/>
            <color indexed="81"/>
            <rFont val="Tahoma"/>
            <family val="2"/>
          </rPr>
          <t>Jessica Warren:</t>
        </r>
        <r>
          <rPr>
            <sz val="9"/>
            <color indexed="81"/>
            <rFont val="Tahoma"/>
            <family val="2"/>
          </rPr>
          <t xml:space="preserve">
Frank Raymer</t>
        </r>
      </text>
    </comment>
    <comment ref="D626" authorId="0" shapeId="0" xr:uid="{B6F13453-99E8-4064-8D2F-E69CDCB4C14E}">
      <text>
        <r>
          <rPr>
            <b/>
            <sz val="9"/>
            <color indexed="81"/>
            <rFont val="Tahoma"/>
            <family val="2"/>
          </rPr>
          <t>Jessica Warren:</t>
        </r>
        <r>
          <rPr>
            <sz val="9"/>
            <color indexed="81"/>
            <rFont val="Tahoma"/>
            <family val="2"/>
          </rPr>
          <t xml:space="preserve">
Bill Bishop
</t>
        </r>
      </text>
    </comment>
    <comment ref="D627" authorId="0" shapeId="0" xr:uid="{3F91E90F-7A53-413F-B594-62696C8A118F}">
      <text>
        <r>
          <rPr>
            <b/>
            <sz val="9"/>
            <color indexed="81"/>
            <rFont val="Tahoma"/>
            <family val="2"/>
          </rPr>
          <t>Jessica Warren:</t>
        </r>
        <r>
          <rPr>
            <sz val="9"/>
            <color indexed="81"/>
            <rFont val="Tahoma"/>
            <family val="2"/>
          </rPr>
          <t xml:space="preserve">
Scott Johnson
</t>
        </r>
      </text>
    </comment>
    <comment ref="H627" authorId="0" shapeId="0" xr:uid="{78BBC4AA-DC3F-4CA6-82D6-547911B53976}">
      <text>
        <r>
          <rPr>
            <b/>
            <sz val="9"/>
            <color indexed="81"/>
            <rFont val="Tahoma"/>
            <family val="2"/>
          </rPr>
          <t>Jessica Warren:</t>
        </r>
        <r>
          <rPr>
            <sz val="9"/>
            <color indexed="81"/>
            <rFont val="Tahoma"/>
            <family val="2"/>
          </rPr>
          <t xml:space="preserve">
estimated to annualize based on actual at year end times annualized rate
</t>
        </r>
      </text>
    </comment>
    <comment ref="D628" authorId="0" shapeId="0" xr:uid="{8A93B3DB-9170-4807-AA70-60B24CBAE48A}">
      <text>
        <r>
          <rPr>
            <b/>
            <sz val="9"/>
            <color indexed="81"/>
            <rFont val="Tahoma"/>
            <family val="2"/>
          </rPr>
          <t>Jessica Warren:</t>
        </r>
        <r>
          <rPr>
            <sz val="9"/>
            <color indexed="81"/>
            <rFont val="Tahoma"/>
            <family val="2"/>
          </rPr>
          <t xml:space="preserve">
Frank Raymer
</t>
        </r>
      </text>
    </comment>
    <comment ref="D631" authorId="0" shapeId="0" xr:uid="{05F71E2D-B014-4647-8BF5-553436CC0FFC}">
      <text>
        <r>
          <rPr>
            <b/>
            <sz val="9"/>
            <color indexed="81"/>
            <rFont val="Tahoma"/>
            <family val="2"/>
          </rPr>
          <t>Jessica Warren:</t>
        </r>
        <r>
          <rPr>
            <sz val="9"/>
            <color indexed="81"/>
            <rFont val="Tahoma"/>
            <family val="2"/>
          </rPr>
          <t xml:space="preserve">
Bill Bishop
</t>
        </r>
      </text>
    </comment>
    <comment ref="D632" authorId="0" shapeId="0" xr:uid="{5843CF30-A399-41F4-B587-A555C50D1646}">
      <text>
        <r>
          <rPr>
            <b/>
            <sz val="9"/>
            <color indexed="81"/>
            <rFont val="Tahoma"/>
            <family val="2"/>
          </rPr>
          <t>Jessica Warren:</t>
        </r>
        <r>
          <rPr>
            <sz val="9"/>
            <color indexed="81"/>
            <rFont val="Tahoma"/>
            <family val="2"/>
          </rPr>
          <t xml:space="preserve">
Scott Johnson
</t>
        </r>
      </text>
    </comment>
    <comment ref="D633" authorId="0" shapeId="0" xr:uid="{6C5EC11E-522B-4EC1-87EE-825CF5B9A067}">
      <text>
        <r>
          <rPr>
            <b/>
            <sz val="9"/>
            <color indexed="81"/>
            <rFont val="Tahoma"/>
            <family val="2"/>
          </rPr>
          <t>Jessica Warren:</t>
        </r>
        <r>
          <rPr>
            <sz val="9"/>
            <color indexed="81"/>
            <rFont val="Tahoma"/>
            <family val="2"/>
          </rPr>
          <t xml:space="preserve">
Frank Raymer
</t>
        </r>
      </text>
    </comment>
    <comment ref="D636" authorId="0" shapeId="0" xr:uid="{3723D640-8E58-40AA-8B08-AE100973F801}">
      <text>
        <r>
          <rPr>
            <b/>
            <sz val="9"/>
            <color indexed="81"/>
            <rFont val="Tahoma"/>
            <family val="2"/>
          </rPr>
          <t>Jessica Warren:</t>
        </r>
        <r>
          <rPr>
            <sz val="9"/>
            <color indexed="81"/>
            <rFont val="Tahoma"/>
            <family val="2"/>
          </rPr>
          <t xml:space="preserve">
Bill Bishop
</t>
        </r>
      </text>
    </comment>
    <comment ref="H636" authorId="0" shapeId="0" xr:uid="{11C5CB7B-9EFE-4573-BA55-B9B724BB3730}">
      <text>
        <r>
          <rPr>
            <b/>
            <sz val="9"/>
            <color indexed="81"/>
            <rFont val="Tahoma"/>
            <family val="2"/>
          </rPr>
          <t>Jessica Warren:</t>
        </r>
        <r>
          <rPr>
            <sz val="9"/>
            <color indexed="81"/>
            <rFont val="Tahoma"/>
            <family val="2"/>
          </rPr>
          <t xml:space="preserve">
used Frank's estimate because the Gross Wages were similar
</t>
        </r>
      </text>
    </comment>
    <comment ref="I636" authorId="0" shapeId="0" xr:uid="{0430C554-0319-463A-94B9-527145C2C6CF}">
      <text>
        <r>
          <rPr>
            <b/>
            <sz val="9"/>
            <color indexed="81"/>
            <rFont val="Tahoma"/>
            <family val="2"/>
          </rPr>
          <t>Jessica Warren:</t>
        </r>
        <r>
          <rPr>
            <sz val="9"/>
            <color indexed="81"/>
            <rFont val="Tahoma"/>
            <family val="2"/>
          </rPr>
          <t xml:space="preserve">
preliminary numbers are forcasting a 1% decrease in WC premiums
</t>
        </r>
      </text>
    </comment>
    <comment ref="D637" authorId="0" shapeId="0" xr:uid="{85A21B21-CF13-4492-B2C1-F7E2D751265B}">
      <text>
        <r>
          <rPr>
            <b/>
            <sz val="9"/>
            <color indexed="81"/>
            <rFont val="Tahoma"/>
            <family val="2"/>
          </rPr>
          <t>Jessica Warren:</t>
        </r>
        <r>
          <rPr>
            <sz val="9"/>
            <color indexed="81"/>
            <rFont val="Tahoma"/>
            <family val="2"/>
          </rPr>
          <t xml:space="preserve">
Scott Johnson
</t>
        </r>
      </text>
    </comment>
    <comment ref="D638" authorId="0" shapeId="0" xr:uid="{EDA26E39-566B-41E3-BFDE-3FA8A1B9D320}">
      <text>
        <r>
          <rPr>
            <b/>
            <sz val="9"/>
            <color indexed="81"/>
            <rFont val="Tahoma"/>
            <family val="2"/>
          </rPr>
          <t>Jessica Warren:</t>
        </r>
        <r>
          <rPr>
            <sz val="9"/>
            <color indexed="81"/>
            <rFont val="Tahoma"/>
            <family val="2"/>
          </rPr>
          <t xml:space="preserve">
Frank Raymer
</t>
        </r>
      </text>
    </comment>
    <comment ref="D641" authorId="0" shapeId="0" xr:uid="{5D0E207B-16AC-4F18-8913-56B5C3395A03}">
      <text>
        <r>
          <rPr>
            <b/>
            <sz val="9"/>
            <color indexed="81"/>
            <rFont val="Tahoma"/>
            <family val="2"/>
          </rPr>
          <t>Jessica Warren:</t>
        </r>
        <r>
          <rPr>
            <sz val="9"/>
            <color indexed="81"/>
            <rFont val="Tahoma"/>
            <family val="2"/>
          </rPr>
          <t xml:space="preserve">
Bill Bishop
</t>
        </r>
      </text>
    </comment>
    <comment ref="D642" authorId="0" shapeId="0" xr:uid="{06F4396F-F52F-4103-9E1F-C984362A00BC}">
      <text>
        <r>
          <rPr>
            <b/>
            <sz val="9"/>
            <color indexed="81"/>
            <rFont val="Tahoma"/>
            <family val="2"/>
          </rPr>
          <t>Jessica Warren:</t>
        </r>
        <r>
          <rPr>
            <sz val="9"/>
            <color indexed="81"/>
            <rFont val="Tahoma"/>
            <family val="2"/>
          </rPr>
          <t xml:space="preserve">
Scott Johnson
</t>
        </r>
      </text>
    </comment>
    <comment ref="D643" authorId="0" shapeId="0" xr:uid="{7E25EB2B-EDCC-4A21-A18F-C4B0691EAB4A}">
      <text>
        <r>
          <rPr>
            <b/>
            <sz val="9"/>
            <color indexed="81"/>
            <rFont val="Tahoma"/>
            <family val="2"/>
          </rPr>
          <t>Jessica Warren:</t>
        </r>
        <r>
          <rPr>
            <sz val="9"/>
            <color indexed="81"/>
            <rFont val="Tahoma"/>
            <family val="2"/>
          </rPr>
          <t xml:space="preserve">
Frank Raymer
</t>
        </r>
      </text>
    </comment>
    <comment ref="D646" authorId="0" shapeId="0" xr:uid="{7172C2B0-1DF3-4CE6-B322-1A79D4D92048}">
      <text>
        <r>
          <rPr>
            <b/>
            <sz val="9"/>
            <color indexed="81"/>
            <rFont val="Tahoma"/>
            <family val="2"/>
          </rPr>
          <t>Jessica Warren:</t>
        </r>
        <r>
          <rPr>
            <sz val="9"/>
            <color indexed="81"/>
            <rFont val="Tahoma"/>
            <family val="2"/>
          </rPr>
          <t xml:space="preserve">
Bill Bishop
</t>
        </r>
      </text>
    </comment>
    <comment ref="D647" authorId="0" shapeId="0" xr:uid="{9F4519C6-2955-4BC7-8B51-F28D5120D337}">
      <text>
        <r>
          <rPr>
            <b/>
            <sz val="9"/>
            <color indexed="81"/>
            <rFont val="Tahoma"/>
            <family val="2"/>
          </rPr>
          <t>Jessica Warren:</t>
        </r>
        <r>
          <rPr>
            <sz val="9"/>
            <color indexed="81"/>
            <rFont val="Tahoma"/>
            <family val="2"/>
          </rPr>
          <t xml:space="preserve">
Scott Johnson
</t>
        </r>
      </text>
    </comment>
    <comment ref="D648" authorId="0" shapeId="0" xr:uid="{A88207BA-C4EA-474A-8BD1-3615ADC8C1B8}">
      <text>
        <r>
          <rPr>
            <b/>
            <sz val="9"/>
            <color indexed="81"/>
            <rFont val="Tahoma"/>
            <family val="2"/>
          </rPr>
          <t>Jessica Warren:</t>
        </r>
        <r>
          <rPr>
            <sz val="9"/>
            <color indexed="81"/>
            <rFont val="Tahoma"/>
            <family val="2"/>
          </rPr>
          <t xml:space="preserve">
Frank Raymer
</t>
        </r>
      </text>
    </comment>
    <comment ref="D651" authorId="0" shapeId="0" xr:uid="{FED1652D-DF88-48A1-AF34-C2E0DA906A01}">
      <text>
        <r>
          <rPr>
            <b/>
            <sz val="9"/>
            <color indexed="81"/>
            <rFont val="Tahoma"/>
            <family val="2"/>
          </rPr>
          <t>Jessica Warren:</t>
        </r>
        <r>
          <rPr>
            <sz val="9"/>
            <color indexed="81"/>
            <rFont val="Tahoma"/>
            <family val="2"/>
          </rPr>
          <t xml:space="preserve">
Bill Bishop
</t>
        </r>
      </text>
    </comment>
    <comment ref="D652" authorId="0" shapeId="0" xr:uid="{24A638C0-F8B4-433C-B2FE-AC6AB3B669E2}">
      <text>
        <r>
          <rPr>
            <b/>
            <sz val="9"/>
            <color indexed="81"/>
            <rFont val="Tahoma"/>
            <family val="2"/>
          </rPr>
          <t>Jessica Warren:</t>
        </r>
        <r>
          <rPr>
            <sz val="9"/>
            <color indexed="81"/>
            <rFont val="Tahoma"/>
            <family val="2"/>
          </rPr>
          <t xml:space="preserve">
Scott Johnson
</t>
        </r>
      </text>
    </comment>
    <comment ref="D653" authorId="0" shapeId="0" xr:uid="{8AC6F0C2-E439-430E-BDE9-36128B0E8E15}">
      <text>
        <r>
          <rPr>
            <b/>
            <sz val="9"/>
            <color indexed="81"/>
            <rFont val="Tahoma"/>
            <family val="2"/>
          </rPr>
          <t>Jessica Warren:</t>
        </r>
        <r>
          <rPr>
            <sz val="9"/>
            <color indexed="81"/>
            <rFont val="Tahoma"/>
            <family val="2"/>
          </rPr>
          <t xml:space="preserve">
Frank Raymer
</t>
        </r>
      </text>
    </comment>
    <comment ref="D656" authorId="0" shapeId="0" xr:uid="{7A9222B9-683F-467C-B5B8-7CC3FA5D2563}">
      <text>
        <r>
          <rPr>
            <b/>
            <sz val="9"/>
            <color indexed="81"/>
            <rFont val="Tahoma"/>
            <family val="2"/>
          </rPr>
          <t>Jessica Warren:</t>
        </r>
        <r>
          <rPr>
            <sz val="9"/>
            <color indexed="81"/>
            <rFont val="Tahoma"/>
            <family val="2"/>
          </rPr>
          <t xml:space="preserve">
Bill Bishop
</t>
        </r>
      </text>
    </comment>
    <comment ref="D657" authorId="0" shapeId="0" xr:uid="{E285770F-4892-4738-9F59-0E80BD76EB42}">
      <text>
        <r>
          <rPr>
            <b/>
            <sz val="9"/>
            <color indexed="81"/>
            <rFont val="Tahoma"/>
            <family val="2"/>
          </rPr>
          <t>Jessica Warren:</t>
        </r>
        <r>
          <rPr>
            <sz val="9"/>
            <color indexed="81"/>
            <rFont val="Tahoma"/>
            <family val="2"/>
          </rPr>
          <t xml:space="preserve">
Scott Johnson
</t>
        </r>
      </text>
    </comment>
    <comment ref="D658" authorId="0" shapeId="0" xr:uid="{EEF9C13D-A23C-415B-B5E0-17B9C96372C4}">
      <text>
        <r>
          <rPr>
            <b/>
            <sz val="9"/>
            <color indexed="81"/>
            <rFont val="Tahoma"/>
            <family val="2"/>
          </rPr>
          <t>Jessica Warren:</t>
        </r>
        <r>
          <rPr>
            <sz val="9"/>
            <color indexed="81"/>
            <rFont val="Tahoma"/>
            <family val="2"/>
          </rPr>
          <t xml:space="preserve">
Frank Raymer
</t>
        </r>
      </text>
    </comment>
    <comment ref="D661" authorId="0" shapeId="0" xr:uid="{0D23B0C8-683F-4A63-833D-DC2AB94A7F1F}">
      <text>
        <r>
          <rPr>
            <b/>
            <sz val="9"/>
            <color indexed="81"/>
            <rFont val="Tahoma"/>
            <family val="2"/>
          </rPr>
          <t>Jessica Warren:</t>
        </r>
        <r>
          <rPr>
            <sz val="9"/>
            <color indexed="81"/>
            <rFont val="Tahoma"/>
            <family val="2"/>
          </rPr>
          <t xml:space="preserve">
Bill Bishop
</t>
        </r>
      </text>
    </comment>
    <comment ref="D662" authorId="0" shapeId="0" xr:uid="{79BB945A-21C2-480F-B3D1-0C4A0CE1EC47}">
      <text>
        <r>
          <rPr>
            <b/>
            <sz val="9"/>
            <color indexed="81"/>
            <rFont val="Tahoma"/>
            <family val="2"/>
          </rPr>
          <t>Jessica Warren:</t>
        </r>
        <r>
          <rPr>
            <sz val="9"/>
            <color indexed="81"/>
            <rFont val="Tahoma"/>
            <family val="2"/>
          </rPr>
          <t xml:space="preserve">
Scott Johnson
</t>
        </r>
      </text>
    </comment>
    <comment ref="D663" authorId="0" shapeId="0" xr:uid="{2CD7A0AD-9E0E-42F0-9F73-3CE57F194399}">
      <text>
        <r>
          <rPr>
            <b/>
            <sz val="9"/>
            <color indexed="81"/>
            <rFont val="Tahoma"/>
            <family val="2"/>
          </rPr>
          <t>Jessica Warren:</t>
        </r>
        <r>
          <rPr>
            <sz val="9"/>
            <color indexed="81"/>
            <rFont val="Tahoma"/>
            <family val="2"/>
          </rPr>
          <t xml:space="preserve">
Frank Raymer
</t>
        </r>
      </text>
    </comment>
    <comment ref="D679" authorId="0" shapeId="0" xr:uid="{E8706CFF-6676-43E3-8CC4-3FEFDB735BD9}">
      <text>
        <r>
          <rPr>
            <b/>
            <sz val="9"/>
            <color indexed="81"/>
            <rFont val="Tahoma"/>
            <family val="2"/>
          </rPr>
          <t>Jessica Warren:</t>
        </r>
        <r>
          <rPr>
            <sz val="9"/>
            <color indexed="81"/>
            <rFont val="Tahoma"/>
            <family val="2"/>
          </rPr>
          <t xml:space="preserve">
Mike Shanahan</t>
        </r>
      </text>
    </comment>
    <comment ref="H679" authorId="0" shapeId="0" xr:uid="{1C507273-D366-48EF-983A-ABEEF04F5FB7}">
      <text>
        <r>
          <rPr>
            <b/>
            <sz val="9"/>
            <color indexed="81"/>
            <rFont val="Tahoma"/>
            <family val="2"/>
          </rPr>
          <t>Jessica Warren:</t>
        </r>
        <r>
          <rPr>
            <sz val="9"/>
            <color indexed="81"/>
            <rFont val="Tahoma"/>
            <family val="2"/>
          </rPr>
          <t xml:space="preserve">
Mike Shanahan
</t>
        </r>
      </text>
    </comment>
    <comment ref="D680" authorId="0" shapeId="0" xr:uid="{A2C62319-B03C-4B64-8C20-477DC3C9EA0C}">
      <text>
        <r>
          <rPr>
            <b/>
            <sz val="9"/>
            <color indexed="81"/>
            <rFont val="Tahoma"/>
            <family val="2"/>
          </rPr>
          <t>Jessica Warren:</t>
        </r>
        <r>
          <rPr>
            <sz val="9"/>
            <color indexed="81"/>
            <rFont val="Tahoma"/>
            <family val="2"/>
          </rPr>
          <t xml:space="preserve">
Bill Bishop
</t>
        </r>
      </text>
    </comment>
    <comment ref="H680" authorId="0" shapeId="0" xr:uid="{659C5445-220B-418D-8D7D-70512D7BBA9E}">
      <text>
        <r>
          <rPr>
            <b/>
            <sz val="9"/>
            <color indexed="81"/>
            <rFont val="Tahoma"/>
            <family val="2"/>
          </rPr>
          <t>Jessica Warren:</t>
        </r>
        <r>
          <rPr>
            <sz val="9"/>
            <color indexed="81"/>
            <rFont val="Tahoma"/>
            <family val="2"/>
          </rPr>
          <t xml:space="preserve">
Atcher Transferred to 5.03
replaced with Bill Bishop from 4.02
removed sb and holiday worked as they no longer apply as premium hours to be paid</t>
        </r>
      </text>
    </comment>
    <comment ref="D681" authorId="0" shapeId="0" xr:uid="{F7C4517E-A530-4B8D-9D04-113704CA9A52}">
      <text>
        <r>
          <rPr>
            <b/>
            <sz val="9"/>
            <color indexed="81"/>
            <rFont val="Tahoma"/>
            <family val="2"/>
          </rPr>
          <t>Jessica Warren:</t>
        </r>
        <r>
          <rPr>
            <sz val="9"/>
            <color indexed="81"/>
            <rFont val="Tahoma"/>
            <family val="2"/>
          </rPr>
          <t xml:space="preserve">
Cole Davis</t>
        </r>
      </text>
    </comment>
    <comment ref="H681" authorId="0" shapeId="0" xr:uid="{6F7B4768-7FBF-4A84-A5B1-90E82A53FFFC}">
      <text>
        <r>
          <rPr>
            <b/>
            <sz val="9"/>
            <color indexed="81"/>
            <rFont val="Tahoma"/>
            <family val="2"/>
          </rPr>
          <t>Jessica Warren:</t>
        </r>
        <r>
          <rPr>
            <sz val="9"/>
            <color indexed="81"/>
            <rFont val="Tahoma"/>
            <family val="2"/>
          </rPr>
          <t xml:space="preserve">
Transferred to 1.05 </t>
        </r>
      </text>
    </comment>
    <comment ref="D682" authorId="0" shapeId="0" xr:uid="{B96F424E-9D6E-4A27-8073-1392D28935A5}">
      <text>
        <r>
          <rPr>
            <b/>
            <sz val="9"/>
            <color indexed="81"/>
            <rFont val="Tahoma"/>
            <family val="2"/>
          </rPr>
          <t>Jessica Warren:</t>
        </r>
        <r>
          <rPr>
            <sz val="9"/>
            <color indexed="81"/>
            <rFont val="Tahoma"/>
            <family val="2"/>
          </rPr>
          <t xml:space="preserve">
Stacy Miller</t>
        </r>
      </text>
    </comment>
    <comment ref="D683" authorId="0" shapeId="0" xr:uid="{10368F66-56A6-4265-B728-9E6783865BBB}">
      <text>
        <r>
          <rPr>
            <b/>
            <sz val="9"/>
            <color indexed="81"/>
            <rFont val="Tahoma"/>
            <family val="2"/>
          </rPr>
          <t>Jessica Warren:</t>
        </r>
        <r>
          <rPr>
            <sz val="9"/>
            <color indexed="81"/>
            <rFont val="Tahoma"/>
            <family val="2"/>
          </rPr>
          <t xml:space="preserve">
Andy Alvarez</t>
        </r>
      </text>
    </comment>
    <comment ref="H683" authorId="0" shapeId="0" xr:uid="{202CF4A6-50AC-488B-95EE-DF85B8CED5C0}">
      <text>
        <r>
          <rPr>
            <b/>
            <sz val="9"/>
            <color indexed="81"/>
            <rFont val="Tahoma"/>
            <family val="2"/>
          </rPr>
          <t>Jessica Warren:</t>
        </r>
        <r>
          <rPr>
            <sz val="9"/>
            <color indexed="81"/>
            <rFont val="Tahoma"/>
            <family val="2"/>
          </rPr>
          <t xml:space="preserve">
Andy Alvarez
</t>
        </r>
      </text>
    </comment>
    <comment ref="D684" authorId="0" shapeId="0" xr:uid="{E52AE30A-9B97-4E4E-B281-643A4F74FE1C}">
      <text>
        <r>
          <rPr>
            <b/>
            <sz val="9"/>
            <color indexed="81"/>
            <rFont val="Tahoma"/>
            <family val="2"/>
          </rPr>
          <t>Jessica Warren:</t>
        </r>
        <r>
          <rPr>
            <sz val="9"/>
            <color indexed="81"/>
            <rFont val="Tahoma"/>
            <family val="2"/>
          </rPr>
          <t xml:space="preserve">
Daniel Young</t>
        </r>
      </text>
    </comment>
    <comment ref="H684" authorId="0" shapeId="0" xr:uid="{0F974EC8-65CA-4B95-ABAF-89F7B23686B2}">
      <text>
        <r>
          <rPr>
            <b/>
            <sz val="9"/>
            <color indexed="81"/>
            <rFont val="Tahoma"/>
            <family val="2"/>
          </rPr>
          <t>Jessica Warren:</t>
        </r>
        <r>
          <rPr>
            <sz val="9"/>
            <color indexed="81"/>
            <rFont val="Tahoma"/>
            <family val="2"/>
          </rPr>
          <t xml:space="preserve">
Daniel Young</t>
        </r>
      </text>
    </comment>
    <comment ref="D687" authorId="0" shapeId="0" xr:uid="{1F8D5722-974C-4DA9-A479-9B497F1F2FCD}">
      <text>
        <r>
          <rPr>
            <b/>
            <sz val="9"/>
            <color indexed="81"/>
            <rFont val="Tahoma"/>
            <family val="2"/>
          </rPr>
          <t>Jessica Warren:</t>
        </r>
        <r>
          <rPr>
            <sz val="9"/>
            <color indexed="81"/>
            <rFont val="Tahoma"/>
            <family val="2"/>
          </rPr>
          <t xml:space="preserve">
Mike Shanahan</t>
        </r>
      </text>
    </comment>
    <comment ref="D688" authorId="0" shapeId="0" xr:uid="{73EB748F-AF73-4FE4-91B2-70B63106BBB5}">
      <text>
        <r>
          <rPr>
            <b/>
            <sz val="9"/>
            <color indexed="81"/>
            <rFont val="Tahoma"/>
            <family val="2"/>
          </rPr>
          <t>Jessica Warren:</t>
        </r>
        <r>
          <rPr>
            <sz val="9"/>
            <color indexed="81"/>
            <rFont val="Tahoma"/>
            <family val="2"/>
          </rPr>
          <t xml:space="preserve">
Jason Atcher</t>
        </r>
      </text>
    </comment>
    <comment ref="D689" authorId="0" shapeId="0" xr:uid="{5089273E-8C4D-4B85-892C-029B9573EFBC}">
      <text>
        <r>
          <rPr>
            <b/>
            <sz val="9"/>
            <color indexed="81"/>
            <rFont val="Tahoma"/>
            <family val="2"/>
          </rPr>
          <t>Jessica Warren:</t>
        </r>
        <r>
          <rPr>
            <sz val="9"/>
            <color indexed="81"/>
            <rFont val="Tahoma"/>
            <family val="2"/>
          </rPr>
          <t xml:space="preserve">
Cole Davis</t>
        </r>
      </text>
    </comment>
    <comment ref="H689" authorId="0" shapeId="0" xr:uid="{CB4EF432-5DE2-4065-BB72-787351F44636}">
      <text>
        <r>
          <rPr>
            <b/>
            <sz val="9"/>
            <color indexed="81"/>
            <rFont val="Tahoma"/>
            <family val="2"/>
          </rPr>
          <t>Jessica Warren:</t>
        </r>
        <r>
          <rPr>
            <sz val="9"/>
            <color indexed="81"/>
            <rFont val="Tahoma"/>
            <family val="2"/>
          </rPr>
          <t xml:space="preserve">
Transferred to 1.05 </t>
        </r>
      </text>
    </comment>
    <comment ref="D690" authorId="0" shapeId="0" xr:uid="{3D8CD3B2-DEFE-4395-9C79-2C7DC4FCE8D8}">
      <text>
        <r>
          <rPr>
            <b/>
            <sz val="9"/>
            <color indexed="81"/>
            <rFont val="Tahoma"/>
            <family val="2"/>
          </rPr>
          <t>Jessica Warren:</t>
        </r>
        <r>
          <rPr>
            <sz val="9"/>
            <color indexed="81"/>
            <rFont val="Tahoma"/>
            <family val="2"/>
          </rPr>
          <t xml:space="preserve">
Stacy Miller</t>
        </r>
      </text>
    </comment>
    <comment ref="H690" authorId="0" shapeId="0" xr:uid="{D03A9955-D7E1-4686-A944-BE4A8E024479}">
      <text>
        <r>
          <rPr>
            <b/>
            <sz val="9"/>
            <color indexed="81"/>
            <rFont val="Tahoma"/>
            <family val="2"/>
          </rPr>
          <t>Jessica Warren:</t>
        </r>
        <r>
          <rPr>
            <sz val="9"/>
            <color indexed="81"/>
            <rFont val="Tahoma"/>
            <family val="2"/>
          </rPr>
          <t xml:space="preserve">
Exempt Position
</t>
        </r>
      </text>
    </comment>
    <comment ref="D691" authorId="0" shapeId="0" xr:uid="{24D24150-8E15-4BB0-836E-DD0D8BDB9489}">
      <text>
        <r>
          <rPr>
            <b/>
            <sz val="9"/>
            <color indexed="81"/>
            <rFont val="Tahoma"/>
            <family val="2"/>
          </rPr>
          <t>Jessica Warren:</t>
        </r>
        <r>
          <rPr>
            <sz val="9"/>
            <color indexed="81"/>
            <rFont val="Tahoma"/>
            <family val="2"/>
          </rPr>
          <t xml:space="preserve">
Andy Alvarez</t>
        </r>
      </text>
    </comment>
    <comment ref="D692" authorId="0" shapeId="0" xr:uid="{4A62C975-2E7E-4F50-8C49-63F5DD305418}">
      <text>
        <r>
          <rPr>
            <b/>
            <sz val="9"/>
            <color indexed="81"/>
            <rFont val="Tahoma"/>
            <family val="2"/>
          </rPr>
          <t>Jessica Warren:</t>
        </r>
        <r>
          <rPr>
            <sz val="9"/>
            <color indexed="81"/>
            <rFont val="Tahoma"/>
            <family val="2"/>
          </rPr>
          <t xml:space="preserve">
Daniel Young</t>
        </r>
      </text>
    </comment>
    <comment ref="D695" authorId="0" shapeId="0" xr:uid="{A6BFA20C-D3B0-468A-8640-0B6CA10398ED}">
      <text>
        <r>
          <rPr>
            <b/>
            <sz val="9"/>
            <color indexed="81"/>
            <rFont val="Tahoma"/>
            <family val="2"/>
          </rPr>
          <t>Jessica Warren:</t>
        </r>
        <r>
          <rPr>
            <sz val="9"/>
            <color indexed="81"/>
            <rFont val="Tahoma"/>
            <family val="2"/>
          </rPr>
          <t xml:space="preserve">
Mike Shanahan</t>
        </r>
      </text>
    </comment>
    <comment ref="D696" authorId="0" shapeId="0" xr:uid="{2B438926-3EFF-44F9-9CD9-DCF253CE406C}">
      <text>
        <r>
          <rPr>
            <b/>
            <sz val="9"/>
            <color indexed="81"/>
            <rFont val="Tahoma"/>
            <family val="2"/>
          </rPr>
          <t>Jessica Warren:</t>
        </r>
        <r>
          <rPr>
            <sz val="9"/>
            <color indexed="81"/>
            <rFont val="Tahoma"/>
            <family val="2"/>
          </rPr>
          <t xml:space="preserve">
Jason Atcher</t>
        </r>
      </text>
    </comment>
    <comment ref="D697" authorId="0" shapeId="0" xr:uid="{466A116C-F20B-4221-8207-6F622E853BB4}">
      <text>
        <r>
          <rPr>
            <b/>
            <sz val="9"/>
            <color indexed="81"/>
            <rFont val="Tahoma"/>
            <family val="2"/>
          </rPr>
          <t>Jessica Warren:</t>
        </r>
        <r>
          <rPr>
            <sz val="9"/>
            <color indexed="81"/>
            <rFont val="Tahoma"/>
            <family val="2"/>
          </rPr>
          <t xml:space="preserve">
Cole Davis</t>
        </r>
      </text>
    </comment>
    <comment ref="D698" authorId="0" shapeId="0" xr:uid="{43D7B30D-359A-4263-B392-4C4144221136}">
      <text>
        <r>
          <rPr>
            <b/>
            <sz val="9"/>
            <color indexed="81"/>
            <rFont val="Tahoma"/>
            <family val="2"/>
          </rPr>
          <t>Jessica Warren:</t>
        </r>
        <r>
          <rPr>
            <sz val="9"/>
            <color indexed="81"/>
            <rFont val="Tahoma"/>
            <family val="2"/>
          </rPr>
          <t xml:space="preserve">
Stacy Miller</t>
        </r>
      </text>
    </comment>
    <comment ref="D699" authorId="0" shapeId="0" xr:uid="{26EE37E1-A449-4DDF-B174-C28C8AD2336C}">
      <text>
        <r>
          <rPr>
            <b/>
            <sz val="9"/>
            <color indexed="81"/>
            <rFont val="Tahoma"/>
            <family val="2"/>
          </rPr>
          <t>Jessica Warren:</t>
        </r>
        <r>
          <rPr>
            <sz val="9"/>
            <color indexed="81"/>
            <rFont val="Tahoma"/>
            <family val="2"/>
          </rPr>
          <t xml:space="preserve">
Andy Alvarez</t>
        </r>
      </text>
    </comment>
    <comment ref="D700" authorId="0" shapeId="0" xr:uid="{5A736D5F-2136-4A1D-8667-DCC0E5413222}">
      <text>
        <r>
          <rPr>
            <b/>
            <sz val="9"/>
            <color indexed="81"/>
            <rFont val="Tahoma"/>
            <family val="2"/>
          </rPr>
          <t>Jessica Warren:</t>
        </r>
        <r>
          <rPr>
            <sz val="9"/>
            <color indexed="81"/>
            <rFont val="Tahoma"/>
            <family val="2"/>
          </rPr>
          <t xml:space="preserve">
Daniel Young</t>
        </r>
      </text>
    </comment>
    <comment ref="D703" authorId="0" shapeId="0" xr:uid="{38C90396-AF2E-430D-9B83-2858DC8BFC42}">
      <text>
        <r>
          <rPr>
            <b/>
            <sz val="9"/>
            <color indexed="81"/>
            <rFont val="Tahoma"/>
            <family val="2"/>
          </rPr>
          <t>Jessica Warren:</t>
        </r>
        <r>
          <rPr>
            <sz val="9"/>
            <color indexed="81"/>
            <rFont val="Tahoma"/>
            <family val="2"/>
          </rPr>
          <t xml:space="preserve">
Mike Shanahan</t>
        </r>
      </text>
    </comment>
    <comment ref="I703" authorId="0" shapeId="0" xr:uid="{EB2F6434-9149-4B62-9116-3DA2616EDFF8}">
      <text>
        <r>
          <rPr>
            <b/>
            <sz val="9"/>
            <color indexed="81"/>
            <rFont val="Tahoma"/>
            <family val="2"/>
          </rPr>
          <t>Jessica Warren:</t>
        </r>
        <r>
          <rPr>
            <sz val="9"/>
            <color indexed="81"/>
            <rFont val="Tahoma"/>
            <family val="2"/>
          </rPr>
          <t xml:space="preserve">
preliminary numbers are forcasting a 1% decrease in WC premiums
</t>
        </r>
      </text>
    </comment>
    <comment ref="D704" authorId="0" shapeId="0" xr:uid="{11FB942C-B4B0-4D38-92E9-25D22CBDCB26}">
      <text>
        <r>
          <rPr>
            <b/>
            <sz val="9"/>
            <color indexed="81"/>
            <rFont val="Tahoma"/>
            <family val="2"/>
          </rPr>
          <t>Jessica Warren:</t>
        </r>
        <r>
          <rPr>
            <sz val="9"/>
            <color indexed="81"/>
            <rFont val="Tahoma"/>
            <family val="2"/>
          </rPr>
          <t xml:space="preserve">
Jason Atcher</t>
        </r>
      </text>
    </comment>
    <comment ref="D705" authorId="0" shapeId="0" xr:uid="{BEC18E25-D133-425C-BDA0-E74738FD9F9E}">
      <text>
        <r>
          <rPr>
            <b/>
            <sz val="9"/>
            <color indexed="81"/>
            <rFont val="Tahoma"/>
            <family val="2"/>
          </rPr>
          <t>Jessica Warren:</t>
        </r>
        <r>
          <rPr>
            <sz val="9"/>
            <color indexed="81"/>
            <rFont val="Tahoma"/>
            <family val="2"/>
          </rPr>
          <t xml:space="preserve">
Cole Davis</t>
        </r>
      </text>
    </comment>
    <comment ref="H705" authorId="0" shapeId="0" xr:uid="{BFD26D3C-D562-4947-A205-44AA9FE18B20}">
      <text>
        <r>
          <rPr>
            <b/>
            <sz val="9"/>
            <color indexed="81"/>
            <rFont val="Tahoma"/>
            <family val="2"/>
          </rPr>
          <t>Jessica Warren:</t>
        </r>
        <r>
          <rPr>
            <sz val="9"/>
            <color indexed="81"/>
            <rFont val="Tahoma"/>
            <family val="2"/>
          </rPr>
          <t xml:space="preserve">
Transferred to 1.05 </t>
        </r>
      </text>
    </comment>
    <comment ref="D706" authorId="0" shapeId="0" xr:uid="{7524E00A-AAC5-486A-9771-54183B1A6BEE}">
      <text>
        <r>
          <rPr>
            <b/>
            <sz val="9"/>
            <color indexed="81"/>
            <rFont val="Tahoma"/>
            <family val="2"/>
          </rPr>
          <t>Jessica Warren:</t>
        </r>
        <r>
          <rPr>
            <sz val="9"/>
            <color indexed="81"/>
            <rFont val="Tahoma"/>
            <family val="2"/>
          </rPr>
          <t xml:space="preserve">
Stacy Miller</t>
        </r>
      </text>
    </comment>
    <comment ref="D707" authorId="0" shapeId="0" xr:uid="{DA0A6B74-9A42-4836-B3ED-D181626FB552}">
      <text>
        <r>
          <rPr>
            <b/>
            <sz val="9"/>
            <color indexed="81"/>
            <rFont val="Tahoma"/>
            <family val="2"/>
          </rPr>
          <t>Jessica Warren:</t>
        </r>
        <r>
          <rPr>
            <sz val="9"/>
            <color indexed="81"/>
            <rFont val="Tahoma"/>
            <family val="2"/>
          </rPr>
          <t xml:space="preserve">
Andy Alvarez</t>
        </r>
      </text>
    </comment>
    <comment ref="D708" authorId="0" shapeId="0" xr:uid="{5B67D0B0-F9A5-4689-9C23-35C2D6F5D73B}">
      <text>
        <r>
          <rPr>
            <b/>
            <sz val="9"/>
            <color indexed="81"/>
            <rFont val="Tahoma"/>
            <family val="2"/>
          </rPr>
          <t>Jessica Warren:</t>
        </r>
        <r>
          <rPr>
            <sz val="9"/>
            <color indexed="81"/>
            <rFont val="Tahoma"/>
            <family val="2"/>
          </rPr>
          <t xml:space="preserve">
Daniel Young</t>
        </r>
      </text>
    </comment>
    <comment ref="D711" authorId="0" shapeId="0" xr:uid="{73A29F79-D631-4C62-A52C-FEB3638CBCA8}">
      <text>
        <r>
          <rPr>
            <b/>
            <sz val="9"/>
            <color indexed="81"/>
            <rFont val="Tahoma"/>
            <family val="2"/>
          </rPr>
          <t>Jessica Warren:</t>
        </r>
        <r>
          <rPr>
            <sz val="9"/>
            <color indexed="81"/>
            <rFont val="Tahoma"/>
            <family val="2"/>
          </rPr>
          <t xml:space="preserve">
Mike Shanahan</t>
        </r>
      </text>
    </comment>
    <comment ref="D712" authorId="0" shapeId="0" xr:uid="{68339B85-9C9F-4B2A-A98F-CA7F33E24913}">
      <text>
        <r>
          <rPr>
            <b/>
            <sz val="9"/>
            <color indexed="81"/>
            <rFont val="Tahoma"/>
            <family val="2"/>
          </rPr>
          <t>Jessica Warren:</t>
        </r>
        <r>
          <rPr>
            <sz val="9"/>
            <color indexed="81"/>
            <rFont val="Tahoma"/>
            <family val="2"/>
          </rPr>
          <t xml:space="preserve">
Jason Atcher</t>
        </r>
      </text>
    </comment>
    <comment ref="D713" authorId="0" shapeId="0" xr:uid="{99B2907A-755E-4ACC-8F10-916D6E853DB6}">
      <text>
        <r>
          <rPr>
            <b/>
            <sz val="9"/>
            <color indexed="81"/>
            <rFont val="Tahoma"/>
            <family val="2"/>
          </rPr>
          <t>Jessica Warren:</t>
        </r>
        <r>
          <rPr>
            <sz val="9"/>
            <color indexed="81"/>
            <rFont val="Tahoma"/>
            <family val="2"/>
          </rPr>
          <t xml:space="preserve">
Cole Davis</t>
        </r>
      </text>
    </comment>
    <comment ref="D714" authorId="0" shapeId="0" xr:uid="{D8B715B1-1127-4CE4-B06D-D26CC30FBC99}">
      <text>
        <r>
          <rPr>
            <b/>
            <sz val="9"/>
            <color indexed="81"/>
            <rFont val="Tahoma"/>
            <family val="2"/>
          </rPr>
          <t>Jessica Warren:</t>
        </r>
        <r>
          <rPr>
            <sz val="9"/>
            <color indexed="81"/>
            <rFont val="Tahoma"/>
            <family val="2"/>
          </rPr>
          <t xml:space="preserve">
Stacy Miller</t>
        </r>
      </text>
    </comment>
    <comment ref="D715" authorId="0" shapeId="0" xr:uid="{A70457A2-C728-4575-92B8-A098FF976DCF}">
      <text>
        <r>
          <rPr>
            <b/>
            <sz val="9"/>
            <color indexed="81"/>
            <rFont val="Tahoma"/>
            <family val="2"/>
          </rPr>
          <t>Jessica Warren:</t>
        </r>
        <r>
          <rPr>
            <sz val="9"/>
            <color indexed="81"/>
            <rFont val="Tahoma"/>
            <family val="2"/>
          </rPr>
          <t xml:space="preserve">
Andy Alvarez</t>
        </r>
      </text>
    </comment>
    <comment ref="D716" authorId="0" shapeId="0" xr:uid="{9E7EC11D-1820-4C63-8A92-F2DEB8339E34}">
      <text>
        <r>
          <rPr>
            <b/>
            <sz val="9"/>
            <color indexed="81"/>
            <rFont val="Tahoma"/>
            <family val="2"/>
          </rPr>
          <t>Jessica Warren:</t>
        </r>
        <r>
          <rPr>
            <sz val="9"/>
            <color indexed="81"/>
            <rFont val="Tahoma"/>
            <family val="2"/>
          </rPr>
          <t xml:space="preserve">
Daniel Young</t>
        </r>
      </text>
    </comment>
    <comment ref="D719" authorId="0" shapeId="0" xr:uid="{2B311670-AAC1-43CE-9706-D4C4668CA86F}">
      <text>
        <r>
          <rPr>
            <b/>
            <sz val="9"/>
            <color indexed="81"/>
            <rFont val="Tahoma"/>
            <family val="2"/>
          </rPr>
          <t>Jessica Warren:</t>
        </r>
        <r>
          <rPr>
            <sz val="9"/>
            <color indexed="81"/>
            <rFont val="Tahoma"/>
            <family val="2"/>
          </rPr>
          <t xml:space="preserve">
Mike Shanahan</t>
        </r>
      </text>
    </comment>
    <comment ref="D720" authorId="0" shapeId="0" xr:uid="{2F50B6A0-05F3-4AA3-AFA4-AB6FD9C7E3CD}">
      <text>
        <r>
          <rPr>
            <b/>
            <sz val="9"/>
            <color indexed="81"/>
            <rFont val="Tahoma"/>
            <family val="2"/>
          </rPr>
          <t>Jessica Warren:</t>
        </r>
        <r>
          <rPr>
            <sz val="9"/>
            <color indexed="81"/>
            <rFont val="Tahoma"/>
            <family val="2"/>
          </rPr>
          <t xml:space="preserve">
Jason Atcher</t>
        </r>
      </text>
    </comment>
    <comment ref="H720" authorId="0" shapeId="0" xr:uid="{2833D7DB-0AB6-4042-8F0B-C938C9091B7A}">
      <text>
        <r>
          <rPr>
            <b/>
            <sz val="9"/>
            <color indexed="81"/>
            <rFont val="Tahoma"/>
            <family val="2"/>
          </rPr>
          <t>Jessica Warren:</t>
        </r>
        <r>
          <rPr>
            <sz val="9"/>
            <color indexed="81"/>
            <rFont val="Tahoma"/>
            <family val="2"/>
          </rPr>
          <t xml:space="preserve">
Bill Bishop
</t>
        </r>
      </text>
    </comment>
    <comment ref="D721" authorId="0" shapeId="0" xr:uid="{2859F4B6-96C8-4134-A123-8D874D42A83B}">
      <text>
        <r>
          <rPr>
            <b/>
            <sz val="9"/>
            <color indexed="81"/>
            <rFont val="Tahoma"/>
            <family val="2"/>
          </rPr>
          <t>Jessica Warren:</t>
        </r>
        <r>
          <rPr>
            <sz val="9"/>
            <color indexed="81"/>
            <rFont val="Tahoma"/>
            <family val="2"/>
          </rPr>
          <t xml:space="preserve">
Cole Davis</t>
        </r>
      </text>
    </comment>
    <comment ref="H721" authorId="0" shapeId="0" xr:uid="{298090C4-169B-48E7-AC3A-937F89EB052B}">
      <text>
        <r>
          <rPr>
            <b/>
            <sz val="9"/>
            <color indexed="81"/>
            <rFont val="Tahoma"/>
            <family val="2"/>
          </rPr>
          <t>Jessica Warren:</t>
        </r>
        <r>
          <rPr>
            <sz val="9"/>
            <color indexed="81"/>
            <rFont val="Tahoma"/>
            <family val="2"/>
          </rPr>
          <t xml:space="preserve">
Transferred to 1.05 </t>
        </r>
      </text>
    </comment>
    <comment ref="D722" authorId="0" shapeId="0" xr:uid="{60BE8791-4086-4D1E-8310-B8B04EDC330D}">
      <text>
        <r>
          <rPr>
            <b/>
            <sz val="9"/>
            <color indexed="81"/>
            <rFont val="Tahoma"/>
            <family val="2"/>
          </rPr>
          <t>Jessica Warren:</t>
        </r>
        <r>
          <rPr>
            <sz val="9"/>
            <color indexed="81"/>
            <rFont val="Tahoma"/>
            <family val="2"/>
          </rPr>
          <t xml:space="preserve">
Stacy Miller</t>
        </r>
      </text>
    </comment>
    <comment ref="D723" authorId="0" shapeId="0" xr:uid="{84B2AF9B-1F10-428D-A8F7-79F279E14DA2}">
      <text>
        <r>
          <rPr>
            <b/>
            <sz val="9"/>
            <color indexed="81"/>
            <rFont val="Tahoma"/>
            <family val="2"/>
          </rPr>
          <t>Jessica Warren:</t>
        </r>
        <r>
          <rPr>
            <sz val="9"/>
            <color indexed="81"/>
            <rFont val="Tahoma"/>
            <family val="2"/>
          </rPr>
          <t xml:space="preserve">
Andy Alvarez</t>
        </r>
      </text>
    </comment>
    <comment ref="D724" authorId="0" shapeId="0" xr:uid="{52D21BEF-FD5E-4A41-9738-0BC722CA1742}">
      <text>
        <r>
          <rPr>
            <b/>
            <sz val="9"/>
            <color indexed="81"/>
            <rFont val="Tahoma"/>
            <family val="2"/>
          </rPr>
          <t>Jessica Warren:</t>
        </r>
        <r>
          <rPr>
            <sz val="9"/>
            <color indexed="81"/>
            <rFont val="Tahoma"/>
            <family val="2"/>
          </rPr>
          <t xml:space="preserve">
Daniel Young</t>
        </r>
      </text>
    </comment>
    <comment ref="D727" authorId="0" shapeId="0" xr:uid="{D1BED3DF-5ABA-42D1-AB43-70E156315DF4}">
      <text>
        <r>
          <rPr>
            <b/>
            <sz val="9"/>
            <color indexed="81"/>
            <rFont val="Tahoma"/>
            <family val="2"/>
          </rPr>
          <t>Jessica Warren:</t>
        </r>
        <r>
          <rPr>
            <sz val="9"/>
            <color indexed="81"/>
            <rFont val="Tahoma"/>
            <family val="2"/>
          </rPr>
          <t xml:space="preserve">
Mike Shanahan</t>
        </r>
      </text>
    </comment>
    <comment ref="D728" authorId="0" shapeId="0" xr:uid="{E1B1ECD7-C02E-4D45-A84B-93F136867C0A}">
      <text>
        <r>
          <rPr>
            <b/>
            <sz val="9"/>
            <color indexed="81"/>
            <rFont val="Tahoma"/>
            <family val="2"/>
          </rPr>
          <t>Jessica Warren:</t>
        </r>
        <r>
          <rPr>
            <sz val="9"/>
            <color indexed="81"/>
            <rFont val="Tahoma"/>
            <family val="2"/>
          </rPr>
          <t xml:space="preserve">
Jason Atcher</t>
        </r>
      </text>
    </comment>
    <comment ref="D729" authorId="0" shapeId="0" xr:uid="{BFAC43C9-81A0-42FE-B1C7-E57021DF8633}">
      <text>
        <r>
          <rPr>
            <b/>
            <sz val="9"/>
            <color indexed="81"/>
            <rFont val="Tahoma"/>
            <family val="2"/>
          </rPr>
          <t>Jessica Warren:</t>
        </r>
        <r>
          <rPr>
            <sz val="9"/>
            <color indexed="81"/>
            <rFont val="Tahoma"/>
            <family val="2"/>
          </rPr>
          <t xml:space="preserve">
Cole Davis</t>
        </r>
      </text>
    </comment>
    <comment ref="D730" authorId="0" shapeId="0" xr:uid="{227A0580-D15A-4D81-AF62-DB5116119869}">
      <text>
        <r>
          <rPr>
            <b/>
            <sz val="9"/>
            <color indexed="81"/>
            <rFont val="Tahoma"/>
            <family val="2"/>
          </rPr>
          <t>Jessica Warren:</t>
        </r>
        <r>
          <rPr>
            <sz val="9"/>
            <color indexed="81"/>
            <rFont val="Tahoma"/>
            <family val="2"/>
          </rPr>
          <t xml:space="preserve">
Stacy Miller</t>
        </r>
      </text>
    </comment>
    <comment ref="D731" authorId="0" shapeId="0" xr:uid="{C99566DE-D72D-4223-9ECE-72C3566124D3}">
      <text>
        <r>
          <rPr>
            <b/>
            <sz val="9"/>
            <color indexed="81"/>
            <rFont val="Tahoma"/>
            <family val="2"/>
          </rPr>
          <t>Jessica Warren:</t>
        </r>
        <r>
          <rPr>
            <sz val="9"/>
            <color indexed="81"/>
            <rFont val="Tahoma"/>
            <family val="2"/>
          </rPr>
          <t xml:space="preserve">
Andy Alvarez</t>
        </r>
      </text>
    </comment>
    <comment ref="D732" authorId="0" shapeId="0" xr:uid="{B9556AA2-1948-4591-A98E-63B895694A00}">
      <text>
        <r>
          <rPr>
            <b/>
            <sz val="9"/>
            <color indexed="81"/>
            <rFont val="Tahoma"/>
            <family val="2"/>
          </rPr>
          <t>Jessica Warren:</t>
        </r>
        <r>
          <rPr>
            <sz val="9"/>
            <color indexed="81"/>
            <rFont val="Tahoma"/>
            <family val="2"/>
          </rPr>
          <t xml:space="preserve">
Daniel Young</t>
        </r>
      </text>
    </comment>
    <comment ref="D735" authorId="0" shapeId="0" xr:uid="{E3D47801-B3AC-4EE8-BAD9-25299F96DAFC}">
      <text>
        <r>
          <rPr>
            <b/>
            <sz val="9"/>
            <color indexed="81"/>
            <rFont val="Tahoma"/>
            <family val="2"/>
          </rPr>
          <t>Jessica Warren:</t>
        </r>
        <r>
          <rPr>
            <sz val="9"/>
            <color indexed="81"/>
            <rFont val="Tahoma"/>
            <family val="2"/>
          </rPr>
          <t xml:space="preserve">
Mike Shanahan</t>
        </r>
      </text>
    </comment>
    <comment ref="D736" authorId="0" shapeId="0" xr:uid="{258D5E40-FF13-49C6-9912-DB68EF330B3A}">
      <text>
        <r>
          <rPr>
            <b/>
            <sz val="9"/>
            <color indexed="81"/>
            <rFont val="Tahoma"/>
            <family val="2"/>
          </rPr>
          <t>Jessica Warren:</t>
        </r>
        <r>
          <rPr>
            <sz val="9"/>
            <color indexed="81"/>
            <rFont val="Tahoma"/>
            <family val="2"/>
          </rPr>
          <t xml:space="preserve">
Jason Atcher</t>
        </r>
      </text>
    </comment>
    <comment ref="D737" authorId="0" shapeId="0" xr:uid="{07FBF3A0-0535-48D4-B5A9-FDEC89BB6D4E}">
      <text>
        <r>
          <rPr>
            <b/>
            <sz val="9"/>
            <color indexed="81"/>
            <rFont val="Tahoma"/>
            <family val="2"/>
          </rPr>
          <t>Jessica Warren:</t>
        </r>
        <r>
          <rPr>
            <sz val="9"/>
            <color indexed="81"/>
            <rFont val="Tahoma"/>
            <family val="2"/>
          </rPr>
          <t xml:space="preserve">
Cole Davis</t>
        </r>
      </text>
    </comment>
    <comment ref="D738" authorId="0" shapeId="0" xr:uid="{9B352182-51E9-4BCC-BBA0-C795690A68F3}">
      <text>
        <r>
          <rPr>
            <b/>
            <sz val="9"/>
            <color indexed="81"/>
            <rFont val="Tahoma"/>
            <family val="2"/>
          </rPr>
          <t>Jessica Warren:</t>
        </r>
        <r>
          <rPr>
            <sz val="9"/>
            <color indexed="81"/>
            <rFont val="Tahoma"/>
            <family val="2"/>
          </rPr>
          <t xml:space="preserve">
Stacy Miller</t>
        </r>
      </text>
    </comment>
    <comment ref="D739" authorId="0" shapeId="0" xr:uid="{A62B7594-1756-4617-92E0-687F1F810E59}">
      <text>
        <r>
          <rPr>
            <b/>
            <sz val="9"/>
            <color indexed="81"/>
            <rFont val="Tahoma"/>
            <family val="2"/>
          </rPr>
          <t>Jessica Warren:</t>
        </r>
        <r>
          <rPr>
            <sz val="9"/>
            <color indexed="81"/>
            <rFont val="Tahoma"/>
            <family val="2"/>
          </rPr>
          <t xml:space="preserve">
Andy Alvarez</t>
        </r>
      </text>
    </comment>
    <comment ref="D740" authorId="0" shapeId="0" xr:uid="{BD9FDDD9-C97B-4E9B-B92C-94A1C1745DD2}">
      <text>
        <r>
          <rPr>
            <b/>
            <sz val="9"/>
            <color indexed="81"/>
            <rFont val="Tahoma"/>
            <family val="2"/>
          </rPr>
          <t>Jessica Warren:</t>
        </r>
        <r>
          <rPr>
            <sz val="9"/>
            <color indexed="81"/>
            <rFont val="Tahoma"/>
            <family val="2"/>
          </rPr>
          <t xml:space="preserve">
Daniel Young</t>
        </r>
      </text>
    </comment>
    <comment ref="D743" authorId="0" shapeId="0" xr:uid="{3406A33A-8057-4669-8DD3-041C2C6BA615}">
      <text>
        <r>
          <rPr>
            <b/>
            <sz val="9"/>
            <color indexed="81"/>
            <rFont val="Tahoma"/>
            <family val="2"/>
          </rPr>
          <t>Jessica Warren:</t>
        </r>
        <r>
          <rPr>
            <sz val="9"/>
            <color indexed="81"/>
            <rFont val="Tahoma"/>
            <family val="2"/>
          </rPr>
          <t xml:space="preserve">
Mike Shanahan</t>
        </r>
      </text>
    </comment>
    <comment ref="D744" authorId="0" shapeId="0" xr:uid="{75517A0D-E4BF-4ABF-B0D1-5F0A66C9BE6A}">
      <text>
        <r>
          <rPr>
            <b/>
            <sz val="9"/>
            <color indexed="81"/>
            <rFont val="Tahoma"/>
            <family val="2"/>
          </rPr>
          <t>Jessica Warren:</t>
        </r>
        <r>
          <rPr>
            <sz val="9"/>
            <color indexed="81"/>
            <rFont val="Tahoma"/>
            <family val="2"/>
          </rPr>
          <t xml:space="preserve">
Jason Atcher</t>
        </r>
      </text>
    </comment>
    <comment ref="D745" authorId="0" shapeId="0" xr:uid="{80ACF95B-2BDC-453B-B901-A5B89F56161D}">
      <text>
        <r>
          <rPr>
            <b/>
            <sz val="9"/>
            <color indexed="81"/>
            <rFont val="Tahoma"/>
            <family val="2"/>
          </rPr>
          <t>Jessica Warren:</t>
        </r>
        <r>
          <rPr>
            <sz val="9"/>
            <color indexed="81"/>
            <rFont val="Tahoma"/>
            <family val="2"/>
          </rPr>
          <t xml:space="preserve">
Cole Davis</t>
        </r>
      </text>
    </comment>
    <comment ref="D746" authorId="0" shapeId="0" xr:uid="{8D5D1BF3-38F1-45BA-9499-2799CD98502F}">
      <text>
        <r>
          <rPr>
            <b/>
            <sz val="9"/>
            <color indexed="81"/>
            <rFont val="Tahoma"/>
            <family val="2"/>
          </rPr>
          <t>Jessica Warren:</t>
        </r>
        <r>
          <rPr>
            <sz val="9"/>
            <color indexed="81"/>
            <rFont val="Tahoma"/>
            <family val="2"/>
          </rPr>
          <t xml:space="preserve">
Stacy Miller</t>
        </r>
      </text>
    </comment>
    <comment ref="D747" authorId="0" shapeId="0" xr:uid="{8E1CCE0B-F6E9-45E7-BE02-4FDE64853E1A}">
      <text>
        <r>
          <rPr>
            <b/>
            <sz val="9"/>
            <color indexed="81"/>
            <rFont val="Tahoma"/>
            <family val="2"/>
          </rPr>
          <t>Jessica Warren:</t>
        </r>
        <r>
          <rPr>
            <sz val="9"/>
            <color indexed="81"/>
            <rFont val="Tahoma"/>
            <family val="2"/>
          </rPr>
          <t xml:space="preserve">
Andy Alvarez</t>
        </r>
      </text>
    </comment>
    <comment ref="D748" authorId="0" shapeId="0" xr:uid="{610F7334-EE45-4D79-A196-011D2EFB1803}">
      <text>
        <r>
          <rPr>
            <b/>
            <sz val="9"/>
            <color indexed="81"/>
            <rFont val="Tahoma"/>
            <family val="2"/>
          </rPr>
          <t>Jessica Warren:</t>
        </r>
        <r>
          <rPr>
            <sz val="9"/>
            <color indexed="81"/>
            <rFont val="Tahoma"/>
            <family val="2"/>
          </rPr>
          <t xml:space="preserve">
Daniel Young</t>
        </r>
      </text>
    </comment>
  </commentList>
</comments>
</file>

<file path=xl/sharedStrings.xml><?xml version="1.0" encoding="utf-8"?>
<sst xmlns="http://schemas.openxmlformats.org/spreadsheetml/2006/main" count="4746" uniqueCount="1908">
  <si>
    <t>Test Year</t>
  </si>
  <si>
    <t>Operating Expenses</t>
  </si>
  <si>
    <t>Collection System Labor</t>
  </si>
  <si>
    <t>Customer Service Labor</t>
  </si>
  <si>
    <t>Administrative Labor</t>
  </si>
  <si>
    <t>Professional Services-Accounting</t>
  </si>
  <si>
    <t>Professional Services-Legal</t>
  </si>
  <si>
    <t>Information Technology Expense</t>
  </si>
  <si>
    <t>Certification &amp; Training</t>
  </si>
  <si>
    <t>Education &amp; Conferences</t>
  </si>
  <si>
    <t>Bad Debt Expense</t>
  </si>
  <si>
    <t>Agency Collection Expense</t>
  </si>
  <si>
    <t>Miscellaneous Customer Expense</t>
  </si>
  <si>
    <t>Contractual Services</t>
  </si>
  <si>
    <t>Transportation Fuel &amp; Repairs</t>
  </si>
  <si>
    <t>Advertising Expense</t>
  </si>
  <si>
    <t>Regulatory Commission Expense</t>
  </si>
  <si>
    <t>Rent Expense</t>
  </si>
  <si>
    <t>Miscellaneous Expense</t>
  </si>
  <si>
    <t>Utilities</t>
  </si>
  <si>
    <t>Total Operating Expenses</t>
  </si>
  <si>
    <t>Interest Expense</t>
  </si>
  <si>
    <t>Adjustments</t>
  </si>
  <si>
    <t>Rate Year</t>
  </si>
  <si>
    <t>Total</t>
  </si>
  <si>
    <t>Maintenance &amp; Repairs</t>
  </si>
  <si>
    <t>Remarketing &amp; Other Bond Fees</t>
  </si>
  <si>
    <t>Commission Expense</t>
  </si>
  <si>
    <t>Travel &amp; Lodging</t>
  </si>
  <si>
    <t>Depreciation</t>
  </si>
  <si>
    <t>Test Year (1)</t>
  </si>
  <si>
    <t>Total Non-Operating Income/Expenses</t>
  </si>
  <si>
    <t>Administration</t>
  </si>
  <si>
    <t>Accountant</t>
  </si>
  <si>
    <t>Accounting Specialist</t>
  </si>
  <si>
    <t>Project Coordinator</t>
  </si>
  <si>
    <t>General Manager</t>
  </si>
  <si>
    <t>Bills</t>
  </si>
  <si>
    <t>Salaries and Wages</t>
  </si>
  <si>
    <t>Total Revenue Requirement</t>
  </si>
  <si>
    <t>Revenue</t>
  </si>
  <si>
    <t>Operating Revenues</t>
  </si>
  <si>
    <t>Hours per Week</t>
  </si>
  <si>
    <t>Commissioner</t>
  </si>
  <si>
    <t>Customer Service Representative</t>
  </si>
  <si>
    <t>Utility Billing Specialist</t>
  </si>
  <si>
    <t>Dist. System GIS/Planning Specialist</t>
  </si>
  <si>
    <t>Distribution Operator - I</t>
  </si>
  <si>
    <t>Distribution Supervisor</t>
  </si>
  <si>
    <t>Allocation to Radcliff Utility</t>
  </si>
  <si>
    <t>% Allocation</t>
  </si>
  <si>
    <t>$ Allocation</t>
  </si>
  <si>
    <t>Salaries &amp; Wages</t>
  </si>
  <si>
    <t>Dental &amp; Vision</t>
  </si>
  <si>
    <t>Life &amp; LTD</t>
  </si>
  <si>
    <t>Pension</t>
  </si>
  <si>
    <t>% Capitalized</t>
  </si>
  <si>
    <t>Net O&amp;M</t>
  </si>
  <si>
    <t>Total Administration</t>
  </si>
  <si>
    <t>Total Commissioners</t>
  </si>
  <si>
    <t>Customer Service</t>
  </si>
  <si>
    <t>Total Customer Service</t>
  </si>
  <si>
    <t>Legal</t>
  </si>
  <si>
    <t>Total Legal</t>
  </si>
  <si>
    <t>Maint. &amp; Control Specialist</t>
  </si>
  <si>
    <t>Total Maintenance</t>
  </si>
  <si>
    <t>Overtime</t>
  </si>
  <si>
    <t>Health</t>
  </si>
  <si>
    <t>W_Comp</t>
  </si>
  <si>
    <t>Attorney (Professional Services)</t>
  </si>
  <si>
    <t>Allocated to Radcliff</t>
  </si>
  <si>
    <t>Sewer Plant &amp; Lift Stations</t>
  </si>
  <si>
    <t>System Additions</t>
  </si>
  <si>
    <t>Sewer Plant Building</t>
  </si>
  <si>
    <t>Sewer Plant Additions &amp; Lift Stations</t>
  </si>
  <si>
    <t>Sewer Lift Stations &amp; Lines</t>
  </si>
  <si>
    <t>Replace Liners EQ Basin 1 &amp; 3</t>
  </si>
  <si>
    <t>Replace Lift Stations</t>
  </si>
  <si>
    <t>Sewer Construction</t>
  </si>
  <si>
    <t>Sewer Lift Station</t>
  </si>
  <si>
    <t>Logan Lift Station Replacement</t>
  </si>
  <si>
    <t>Sewer Plant Construction-Expansion</t>
  </si>
  <si>
    <t>Sewer Lift Stations</t>
  </si>
  <si>
    <t>Lift Station Control-Lincoln Trail</t>
  </si>
  <si>
    <t>Construction of Storage Barn</t>
  </si>
  <si>
    <t>Hwy. 313 Lift Station &amp; Force Main</t>
  </si>
  <si>
    <t>Greenview Lift Station-Progress</t>
  </si>
  <si>
    <t>Greenview Lift Station Replacement</t>
  </si>
  <si>
    <t>Paradise Lift Stations 1 &amp; 2</t>
  </si>
  <si>
    <t>Sewer Plant Bar Screen Replacement</t>
  </si>
  <si>
    <t>N. Wilson Rd 955 Manhole Replacement</t>
  </si>
  <si>
    <t>Wilma Ave. 805 Manhole Replacement</t>
  </si>
  <si>
    <t>Pin Oak &amp; Poplar St. Manhole Replacement</t>
  </si>
  <si>
    <t>Oak Dr. Lift Station Replacement</t>
  </si>
  <si>
    <t>Arlington Heights Lift Station Install</t>
  </si>
  <si>
    <t>Southern Heights Lift Station Install</t>
  </si>
  <si>
    <t>Replace Liners EO Basins 1&amp;2 Progress</t>
  </si>
  <si>
    <t>Replace Liners EQ Basins 1 &amp;2</t>
  </si>
  <si>
    <t>Floating Aeration Pump for Basins</t>
  </si>
  <si>
    <t>Equalization Basins #2 &amp; #3</t>
  </si>
  <si>
    <t>IMIX-Flexifill-IMI</t>
  </si>
  <si>
    <t>Improve lighting</t>
  </si>
  <si>
    <t>Landscaping</t>
  </si>
  <si>
    <t>Install heater to improve HVAC</t>
  </si>
  <si>
    <t>Trojan PLC Equipment &amp; Davit Crane</t>
  </si>
  <si>
    <t>Sewer Line Ext./313 &amp; Wilson</t>
  </si>
  <si>
    <t>Redmar Force Main-Progress</t>
  </si>
  <si>
    <t>Redmar Force Main Replacement</t>
  </si>
  <si>
    <t>Elm Road Force Main Replacement</t>
  </si>
  <si>
    <t>Knox Blvd. New Line</t>
  </si>
  <si>
    <t>Thomas Street New Line</t>
  </si>
  <si>
    <t>Novak Sewer Line Replacement</t>
  </si>
  <si>
    <t>Carolyn St 706 Sewer Line Replacement</t>
  </si>
  <si>
    <t>Hitchew/Lily Cove LI 3&amp;4 Sewer Line</t>
  </si>
  <si>
    <t>Eagle Pass Sewer Line Replacement</t>
  </si>
  <si>
    <t>Douglas Estates Sewer Line</t>
  </si>
  <si>
    <t>Replace Old Boone Trace F/M Line</t>
  </si>
  <si>
    <t>313/Cowley Est Sewer Line Extension</t>
  </si>
  <si>
    <t>313/Cowley Est. Sewer Line Extension</t>
  </si>
  <si>
    <t>Boone Trace F/M Line Replacement</t>
  </si>
  <si>
    <t>Brushy Fork Sewer Line</t>
  </si>
  <si>
    <t>Adena Trace</t>
  </si>
  <si>
    <t>Emerald Isle</t>
  </si>
  <si>
    <t>Clermont Sewer Line</t>
  </si>
  <si>
    <t>A Arnold Project</t>
  </si>
  <si>
    <t>Sewer lines installed at Tam MHP</t>
  </si>
  <si>
    <t>Slip lining on S. Atcher St.</t>
  </si>
  <si>
    <t>Pin Oak Villa Phase 3</t>
  </si>
  <si>
    <t>Construction Crew Office Building</t>
  </si>
  <si>
    <t>Sludge Holding Tanks Building</t>
  </si>
  <si>
    <t>Yard repairs for cleanout installation</t>
  </si>
  <si>
    <t>Control panel for lift station</t>
  </si>
  <si>
    <t>Wetwell for Audubon lift station</t>
  </si>
  <si>
    <t>Pump &amp; Motor for Sludge at Plant</t>
  </si>
  <si>
    <t>Control Panel for C-Square lift station</t>
  </si>
  <si>
    <t>Model L Grit Classifier</t>
  </si>
  <si>
    <t>Ariat Spiral Dewat Press</t>
  </si>
  <si>
    <t>Work Equipment</t>
  </si>
  <si>
    <t>Safety Equipment</t>
  </si>
  <si>
    <t>Aerator installation</t>
  </si>
  <si>
    <t>Hose reel with clamp</t>
  </si>
  <si>
    <t>Blower &amp; Motor Replacement (newer model)</t>
  </si>
  <si>
    <t>Upgrade press-coated stub can idlers</t>
  </si>
  <si>
    <t>Butterfly Valve-EQ Basins #1 &amp; #2</t>
  </si>
  <si>
    <t>35% Brett's Furniture</t>
  </si>
  <si>
    <t>Workstation Desk-Manager</t>
  </si>
  <si>
    <t>Remit Plus Software</t>
  </si>
  <si>
    <t>1/3 Document Imaging System</t>
  </si>
  <si>
    <t>47% Drive Thru Drawer Unit</t>
  </si>
  <si>
    <t>John Deere Gator Utility Vehicle</t>
  </si>
  <si>
    <t>Mini Cam with Koala Transportation</t>
  </si>
  <si>
    <t>Portable Cam Inspection System</t>
  </si>
  <si>
    <t>185 Atlas Copco Air Compressor</t>
  </si>
  <si>
    <t>John Deere 5105 Tractor</t>
  </si>
  <si>
    <t>2006 Bobcat S220 Loader</t>
  </si>
  <si>
    <t>47% Finish Mower #RDTH84R</t>
  </si>
  <si>
    <t>Access Road for Audubon Lift Station</t>
  </si>
  <si>
    <t>Fork Lift Hopper Rubber Casters</t>
  </si>
  <si>
    <t>Maintenance Labor</t>
  </si>
  <si>
    <t>Labor</t>
  </si>
  <si>
    <t>Chemicals</t>
  </si>
  <si>
    <t>Required Revenue Increase</t>
  </si>
  <si>
    <t>OASDI</t>
  </si>
  <si>
    <t xml:space="preserve">Engineering Manager </t>
  </si>
  <si>
    <t xml:space="preserve">Pension </t>
  </si>
  <si>
    <t>Operation &amp; Maintenance</t>
  </si>
  <si>
    <t>Lincoln Trail Odor Study</t>
  </si>
  <si>
    <t>WWTP Painting Project Phase 1</t>
  </si>
  <si>
    <t>Blacktop Lincoln Trail Lift Station</t>
  </si>
  <si>
    <t>7% Service Center Parking Lot</t>
  </si>
  <si>
    <t>08 HWY 313 Interceptor/A. Arnold Project</t>
  </si>
  <si>
    <t>Bridge Community Church</t>
  </si>
  <si>
    <t>Warwick Castle</t>
  </si>
  <si>
    <t>New Cleanout Installations</t>
  </si>
  <si>
    <t>3T Portable Hoist</t>
  </si>
  <si>
    <t>Pressure Transmitter Model 1100</t>
  </si>
  <si>
    <t>Actuator Parts &amp; Installation</t>
  </si>
  <si>
    <t>Belt Filter Press Chute Modifications</t>
  </si>
  <si>
    <t>47% Dell Inspiron 1150 100Lcords</t>
  </si>
  <si>
    <t>26% SDI Geosync Enterprise for Utilities</t>
  </si>
  <si>
    <t>47% Remote I Web Harris Computers</t>
  </si>
  <si>
    <t>47% iCall IVR</t>
  </si>
  <si>
    <t>Trailer EX10 GAT E 2900 GVW Trailer</t>
  </si>
  <si>
    <t>Executive Assistant</t>
  </si>
  <si>
    <t>Arlingtonwoods Lift Station</t>
  </si>
  <si>
    <t>Clarifier #1 Pump Rebuild</t>
  </si>
  <si>
    <t>Crocus Lift Station</t>
  </si>
  <si>
    <t>EQ Basin Chain Link Fence</t>
  </si>
  <si>
    <t>Radcliff WWTP Drainage Project</t>
  </si>
  <si>
    <t>Radcliff WWTP UV Building</t>
  </si>
  <si>
    <t>Lateral CIPP</t>
  </si>
  <si>
    <t>Elm LS Elm 963 ft of main $ 5 manholes</t>
  </si>
  <si>
    <t>Isco 4501 Pump Meter</t>
  </si>
  <si>
    <t>Crane Gantry</t>
  </si>
  <si>
    <t>2011 Ford F450</t>
  </si>
  <si>
    <t>33% Solar Assisted Arrowboard</t>
  </si>
  <si>
    <t>Depreciation Expense</t>
  </si>
  <si>
    <t>A</t>
  </si>
  <si>
    <t>B</t>
  </si>
  <si>
    <t>C</t>
  </si>
  <si>
    <t>D</t>
  </si>
  <si>
    <t>Monthly</t>
  </si>
  <si>
    <t>Travel and Lodging</t>
  </si>
  <si>
    <t>Greenview/Pearman/Wilma Lift Station</t>
  </si>
  <si>
    <t>Radcliff Lateral Lining CIPP</t>
  </si>
  <si>
    <t>Greenview/Pearman/Wilma Mains</t>
  </si>
  <si>
    <t>1 Manhole for E2RC Relocation</t>
  </si>
  <si>
    <t>21% of 3 HVAC Units at Service Center</t>
  </si>
  <si>
    <t>Greenview/Pearman/Wilma LS Pumps</t>
  </si>
  <si>
    <t>10 ft Baffle for Oxidation Ditch #2</t>
  </si>
  <si>
    <t>Amp Probe Analyzer</t>
  </si>
  <si>
    <t>Ditch 1 &amp; 2 Oxygen Reduction Sensor</t>
  </si>
  <si>
    <t>70% of Tipping Rain Bucket Gauge</t>
  </si>
  <si>
    <t>2012 Chevy Silverado</t>
  </si>
  <si>
    <t>Vertical SBX Phone System</t>
  </si>
  <si>
    <t>Income Statement</t>
  </si>
  <si>
    <t>Operating Revenue</t>
  </si>
  <si>
    <t>Income Before Capital Contributions</t>
  </si>
  <si>
    <t>Operating Income</t>
  </si>
  <si>
    <t>Change in Net Assets</t>
  </si>
  <si>
    <t>Total Operating Revenues</t>
  </si>
  <si>
    <t>Schedule 16c</t>
  </si>
  <si>
    <t>Treatment Labor</t>
  </si>
  <si>
    <t>Insurance Expense</t>
  </si>
  <si>
    <t>Sludge Removal</t>
  </si>
  <si>
    <t>Small Tool Expense</t>
  </si>
  <si>
    <t>Workers Comp/Unemployment Insurance</t>
  </si>
  <si>
    <t>Utility Regulatory Expense</t>
  </si>
  <si>
    <t>Office Supplies</t>
  </si>
  <si>
    <t>Phone Expense</t>
  </si>
  <si>
    <t>Safety Expense</t>
  </si>
  <si>
    <t>Routine Maintenance Service &amp; Uniforms</t>
  </si>
  <si>
    <t>Customer Deposit Interest Expense</t>
  </si>
  <si>
    <t>Discharge Permit Fees</t>
  </si>
  <si>
    <t>Bad Debt Recovered</t>
  </si>
  <si>
    <t>Interest &amp; Dividend Income</t>
  </si>
  <si>
    <t>2022 Hourly Rate</t>
  </si>
  <si>
    <t>Civil Engineer</t>
  </si>
  <si>
    <t>County Systems Manager</t>
  </si>
  <si>
    <t>Finance &amp; Accounting Manager</t>
  </si>
  <si>
    <t>GIS Intern</t>
  </si>
  <si>
    <t>PT</t>
  </si>
  <si>
    <t>Finance Intern</t>
  </si>
  <si>
    <t>Human Resource Specialist</t>
  </si>
  <si>
    <t>Flex Benefit</t>
  </si>
  <si>
    <t>Customer Service Supervisor</t>
  </si>
  <si>
    <t>Customer Service Intern</t>
  </si>
  <si>
    <t>Distribution System</t>
  </si>
  <si>
    <t>Distribution Operator - I Meter Reader</t>
  </si>
  <si>
    <t>Distribution Operator - IV</t>
  </si>
  <si>
    <t>Heavy Equipment Operator - IV</t>
  </si>
  <si>
    <t>Distribution Intern</t>
  </si>
  <si>
    <t>Total Distribution System</t>
  </si>
  <si>
    <t xml:space="preserve">FK Sewer Collection </t>
  </si>
  <si>
    <t>WW Collection Operator III</t>
  </si>
  <si>
    <t>WW Collection Operator I</t>
  </si>
  <si>
    <t>WW Collection Operator IV</t>
  </si>
  <si>
    <t>Total FK Collection</t>
  </si>
  <si>
    <t>Radcliff Treatment</t>
  </si>
  <si>
    <t>WWTP Operator - Class III</t>
  </si>
  <si>
    <t>Total Radcliff Treatment</t>
  </si>
  <si>
    <t>Radcliff Collection</t>
  </si>
  <si>
    <t>Maint. &amp; Controls Specialist</t>
  </si>
  <si>
    <t>Wastewater System Supervisor</t>
  </si>
  <si>
    <t>WW Collection Operator II</t>
  </si>
  <si>
    <t>Total Radcliff Collection</t>
  </si>
  <si>
    <t>Budget Categories</t>
  </si>
  <si>
    <t>Cememnt/Logan Lift Station</t>
  </si>
  <si>
    <t>Sewer Plant Additions, Lines, &amp; Lift</t>
  </si>
  <si>
    <t>Church &amp; Kindervater Lift Station</t>
  </si>
  <si>
    <t>Plant Gate Chain Link 16'X7'</t>
  </si>
  <si>
    <t>HWY 313 Lift Station Project</t>
  </si>
  <si>
    <t>C Square Lift Station pump rebuild</t>
  </si>
  <si>
    <t>Refurbished RAS Flygt Pump #1</t>
  </si>
  <si>
    <t>3 Pressure Transfucer Sensors for N.</t>
  </si>
  <si>
    <t>Radcliff PTB</t>
  </si>
  <si>
    <t>John Hardin LS Stator Rewind/Rebuild</t>
  </si>
  <si>
    <t>Watkins LS 2 ARI Valves"</t>
  </si>
  <si>
    <t>Highway 313 2 ARI Valve"</t>
  </si>
  <si>
    <t>Battle Training Rd 2 Valves"</t>
  </si>
  <si>
    <t>Skylark Lift Station Access Road</t>
  </si>
  <si>
    <t>Quiggins 4 non clog Lift Station Pump"</t>
  </si>
  <si>
    <t>Redmar Pump #1 Impeller</t>
  </si>
  <si>
    <t>313 LS Pump #1 Rebuild</t>
  </si>
  <si>
    <t>Radcliff WWTP Digester Valve- LS Valves</t>
  </si>
  <si>
    <t>Lincoln Trail Lift Station Pump 3</t>
  </si>
  <si>
    <t>LS Pump Rebuild Pump RWWTP-30081</t>
  </si>
  <si>
    <t>Watkins L/S Replacement Study</t>
  </si>
  <si>
    <t>2-7.5 HP Pumps at Marvin's Lift Station</t>
  </si>
  <si>
    <t>Lincoln Trail Basin Odor Control Study</t>
  </si>
  <si>
    <t>LS Bypass Pumping Improvements</t>
  </si>
  <si>
    <t>DrugStore Lift Station Repl - Lift Stati</t>
  </si>
  <si>
    <t>Drugstore Lift Station Repl Access Rd</t>
  </si>
  <si>
    <t>LS44 Pump Rebuild</t>
  </si>
  <si>
    <t>Boone Trace Lift Station Security Fence</t>
  </si>
  <si>
    <t>HWY 313 LS Pump 2 Rebuild</t>
  </si>
  <si>
    <t>Greenview &amp; Cement LS Impr.-Lift Station</t>
  </si>
  <si>
    <t>EQ Basin Pump #2 Replacement-LS Pumps</t>
  </si>
  <si>
    <t>Indiana Trail L/S Electric Service</t>
  </si>
  <si>
    <t>Redhawk Lift Station Pump</t>
  </si>
  <si>
    <t>Kindergarten L/S 4" 7.5HP 230V Pump</t>
  </si>
  <si>
    <t>RWWTP W# Water Conversion to Potable</t>
  </si>
  <si>
    <t>Brown St 4" 10HP L/S Pump</t>
  </si>
  <si>
    <t>Sherwood Lift Station Pump</t>
  </si>
  <si>
    <t>4" 20HP Pump for North Logsdon Lift Stat</t>
  </si>
  <si>
    <t>Rebuild 313 LS Flygt Pump</t>
  </si>
  <si>
    <t>Quiggins/Seminole LS Evaluation</t>
  </si>
  <si>
    <t>Boone Trace Lift Station Improvements</t>
  </si>
  <si>
    <t>RWWTP 2 Final Clarifier Drains</t>
  </si>
  <si>
    <t>Boone Trace L/S Rehab</t>
  </si>
  <si>
    <t>Boone Trace L/S Access Road</t>
  </si>
  <si>
    <t>6" Submersible Pump 313 LIft Station</t>
  </si>
  <si>
    <t>RWWTP Clarifier Algae Sweep</t>
  </si>
  <si>
    <t>Conversion of Lift Station Electric Serv</t>
  </si>
  <si>
    <t>Greenview L/S Pump #2</t>
  </si>
  <si>
    <t>Rad WWTP Clarifier Launder Coating</t>
  </si>
  <si>
    <t>Arlington Lift Station Pump 40HP 460V 3p</t>
  </si>
  <si>
    <t>2 Wendover L/S Pumps 7.5 HP</t>
  </si>
  <si>
    <t>RWWTP Clarifier 1 Gearbox</t>
  </si>
  <si>
    <t>Beacon Hills LS  4" Sub. 7HP Pump</t>
  </si>
  <si>
    <t>Spring St Myers HF Grinder PUmp</t>
  </si>
  <si>
    <t>Lift Station Rehab Pumps</t>
  </si>
  <si>
    <t>Quiggins Lift Station Rehab</t>
  </si>
  <si>
    <t>Audubon Lift Station Pump Rebuild</t>
  </si>
  <si>
    <t>Masters Lift Station Valves</t>
  </si>
  <si>
    <t>Hensley Lift Station Valves</t>
  </si>
  <si>
    <t>Cement/Logan Lift Station 2 33.5 HP Pump</t>
  </si>
  <si>
    <t>Cement/Logan Lift Staiton Access Road</t>
  </si>
  <si>
    <t>Cement/Logan Lift Station Building</t>
  </si>
  <si>
    <t>Redmar Lift Station Study</t>
  </si>
  <si>
    <t>Seminole Lift Station</t>
  </si>
  <si>
    <t>Seminole Lift Station 2-125HP Pumps</t>
  </si>
  <si>
    <t>REDMAR L/S REROUTE</t>
  </si>
  <si>
    <t>OXIDATION DITCH 3 PLATFORM</t>
  </si>
  <si>
    <t>Watkins L/S 2HP Grinder Pump</t>
  </si>
  <si>
    <t>Waste Water Treatment Plant Improvements</t>
  </si>
  <si>
    <t>WWTP Painting Project Phase I</t>
  </si>
  <si>
    <t>HVAC for Radcliff PTB</t>
  </si>
  <si>
    <t>Parking Lot for Radcliff PTB</t>
  </si>
  <si>
    <t>Radcliff WWTP Digester Valve - Parking</t>
  </si>
  <si>
    <t>Radcliff WWTP Painting Project Phase II</t>
  </si>
  <si>
    <t>4 Electric Heaters in Lower Shop</t>
  </si>
  <si>
    <t>RWWTP Rip Rap Hillside</t>
  </si>
  <si>
    <t>Rad WWTP Gravel Road Paving</t>
  </si>
  <si>
    <t>RWWTP RAS/WAS</t>
  </si>
  <si>
    <t>UV System Tank Covers Rad WWTP</t>
  </si>
  <si>
    <t>Church St./Shelton Rd. Manhole</t>
  </si>
  <si>
    <t>S Woodland Dr./586 Sewer Line</t>
  </si>
  <si>
    <t>Sewer Line Replacement - 3 houses on</t>
  </si>
  <si>
    <t>Mouser 2,123' gravity sewer main 8</t>
  </si>
  <si>
    <t>Woburn Place Section 1 520' 8 PVC"</t>
  </si>
  <si>
    <t>Wilson Rd Main Relocate 182 ft. 8 in PVC</t>
  </si>
  <si>
    <t>Hillcrest Sewer Main Repair 1,048 lf of</t>
  </si>
  <si>
    <t>Pearman/Wilma Ave 2,311 lf of gravity</t>
  </si>
  <si>
    <t>Sheltonwoods Phase 2 3942' of mains &amp; 12</t>
  </si>
  <si>
    <t>Arlingtonwoods 5864' of main &amp; 26</t>
  </si>
  <si>
    <t>Byerly LS Elim 164 ft Main &amp; 1 manhole</t>
  </si>
  <si>
    <t>Woods @ Atcher 98' of 8 main &amp; 1</t>
  </si>
  <si>
    <t>Outdoor Properties 120 ft. of 8 main"</t>
  </si>
  <si>
    <t>85 ft of 8 main on Logan St"</t>
  </si>
  <si>
    <t>350 LF of 8 DI Pipe for Fredmar Force</t>
  </si>
  <si>
    <t>321 LF of 18 PVC for E2RC Relocation"</t>
  </si>
  <si>
    <t>Hwy 1500 Phase II Relocation 325LF of 6</t>
  </si>
  <si>
    <t>Hwy 1500 Phase II Relocation - 1 Manhole</t>
  </si>
  <si>
    <t>1,713 LF of 10 Main</t>
  </si>
  <si>
    <t>11 4 manholes for the N. Logsdon Pkwy</t>
  </si>
  <si>
    <t>N.Woodland, Audubon &amp; James Sewer</t>
  </si>
  <si>
    <t>N. Woodland, Audubon &amp; James Sewer</t>
  </si>
  <si>
    <t>2- 4' Manholes for Stovall Lift Station</t>
  </si>
  <si>
    <t>982 LF of 6 Main for Stovall Lift</t>
  </si>
  <si>
    <t>Radcliff WWTP Digester Valve - Manholes</t>
  </si>
  <si>
    <t>Drugstore LS Repl-9 Manholes</t>
  </si>
  <si>
    <t>Drugstore Lift Stat Repl 1776 LF of 8"</t>
  </si>
  <si>
    <t>Lincoln Trail Sanitary Sewer 13 manholes</t>
  </si>
  <si>
    <t>Lincoln Trail Sanitary Sewer Mains</t>
  </si>
  <si>
    <t>Greenview &amp; Cement Basin Mains/Lines</t>
  </si>
  <si>
    <t>N. Logsdon LS Project-Mains/Lines</t>
  </si>
  <si>
    <t>John Hardin Force Main 1,284lf Main</t>
  </si>
  <si>
    <t>7 Manholes for John Hardin Force Main Re</t>
  </si>
  <si>
    <t>763 LF of 15" &amp; 433 LF of 8" Main Quiggi</t>
  </si>
  <si>
    <t>8 Manholes Quiggins Area Sewer Phase I &amp;</t>
  </si>
  <si>
    <t>2016 CIPP Installation</t>
  </si>
  <si>
    <t>Quggins Force Main 2,483 LF 10" PVC</t>
  </si>
  <si>
    <t>2017 CIPP Installation</t>
  </si>
  <si>
    <t>Greenview Force Main 1,714LF 8" C-900 &amp;</t>
  </si>
  <si>
    <t>Boone Trace Trunk Line</t>
  </si>
  <si>
    <t>Boone Trace Trunk Line 22 Manholes</t>
  </si>
  <si>
    <t>Turner Basin 770LF 8", 15LF 12" &amp; 240LF</t>
  </si>
  <si>
    <t>Tuner Basin 7 Manholes</t>
  </si>
  <si>
    <t>Challenger Sewer Improvements 315 LF 8"</t>
  </si>
  <si>
    <t>Challenger Sewer Improvements 2 Manholes</t>
  </si>
  <si>
    <t>REDMAR L/S REROUTE MAINS</t>
  </si>
  <si>
    <t>REDMAR L/S REROUTE MANHOLES</t>
  </si>
  <si>
    <t>Rad LS Elim 93LF 12" SDR 35 pipe, 101LF</t>
  </si>
  <si>
    <t>Paving for new connection for KNB at Elm</t>
  </si>
  <si>
    <t>22% River Rock/Landscaping at Service</t>
  </si>
  <si>
    <t>22% Sewer Line Replacement at Service</t>
  </si>
  <si>
    <t>Hand Rail for Loading Dock at Service</t>
  </si>
  <si>
    <t>7% of Curbing for Service Center Parking</t>
  </si>
  <si>
    <t>Happy Valley Phase 3 Cleanout Installati</t>
  </si>
  <si>
    <t>Happy Valley Phase 4 Cleanout Installati</t>
  </si>
  <si>
    <t>20% of SC Roof &amp; 4 Garage Door Painting</t>
  </si>
  <si>
    <t>20% Conf Room Reno-Misc Bldg Improvement</t>
  </si>
  <si>
    <t>20% SC Conf Room Reno-Carpet</t>
  </si>
  <si>
    <t>20% SC HVAC 5ton Heat Pump 20kw Heat Pac</t>
  </si>
  <si>
    <t>47% C/S Lobby Renovation-Carpet</t>
  </si>
  <si>
    <t>47% Service Center Parking Lot Sealing</t>
  </si>
  <si>
    <t>47% of Service Center Cust Serv Entrance</t>
  </si>
  <si>
    <t>29.6% Service Center Parking Lot Lights</t>
  </si>
  <si>
    <t>27% AC Unit Server Room at Service Cente</t>
  </si>
  <si>
    <t>26% Service Center Access Controls Syste</t>
  </si>
  <si>
    <t>SC Cust Service Glass Enclosure</t>
  </si>
  <si>
    <t>860 H2S 0-200PPM Monitor</t>
  </si>
  <si>
    <t>RWWTP EQ Flow Meter</t>
  </si>
  <si>
    <t>Influent Flow Meter</t>
  </si>
  <si>
    <t>REDMAR L/S REROUTE FLOW METER</t>
  </si>
  <si>
    <t>Digester D.O. &amp; Level Sensors</t>
  </si>
  <si>
    <t>Godwin Driprime 4 Pump"</t>
  </si>
  <si>
    <t>Greenview/Pearman/Wilma LS Control Panel</t>
  </si>
  <si>
    <t>Hwy 313 Pump 3 Replacement</t>
  </si>
  <si>
    <t>313 LIft Station Contactors for Control</t>
  </si>
  <si>
    <t>2-15 HP Pumps for Stovall Lift Station</t>
  </si>
  <si>
    <t>1 Lift Station Control Panel for Stovall</t>
  </si>
  <si>
    <t>EQ Pump Station Pump Replacement</t>
  </si>
  <si>
    <t>Disinfect Pump Station Pump</t>
  </si>
  <si>
    <t>Plant Pump Station Pump</t>
  </si>
  <si>
    <t>Sludge Pump 2 Rebuild</t>
  </si>
  <si>
    <t>WAS Pump #1</t>
  </si>
  <si>
    <t>Rad WWTP Drain LS Pump</t>
  </si>
  <si>
    <t>Radcliff WWTP WAS Pump Base &amp; Brackets</t>
  </si>
  <si>
    <t>Drugstore Lift Station Repl 2-10hp Pumps</t>
  </si>
  <si>
    <t>RAS Pump Repl II 3-40 HP Ebara Pumps</t>
  </si>
  <si>
    <t>WAS Pump #2</t>
  </si>
  <si>
    <t>3" Honda Trash Pump</t>
  </si>
  <si>
    <t>Barnes 5 HP Filtrate Pump</t>
  </si>
  <si>
    <t>240GPD 80 PSI C771-25HV Polymer Pump</t>
  </si>
  <si>
    <t>Boone Trace L/S Pumps</t>
  </si>
  <si>
    <t>Boone Trace L/S Control Panel</t>
  </si>
  <si>
    <t>Rad WWTP RAS/WAS 3-40HP Pumps</t>
  </si>
  <si>
    <t>Lift Station Rehab Control Panels</t>
  </si>
  <si>
    <t>Quiggins Lift Station Electric Pumps</t>
  </si>
  <si>
    <t>Quiggins Lift Station Control Panels</t>
  </si>
  <si>
    <t>Masters Lift Station 2 6HP Pumps</t>
  </si>
  <si>
    <t>Masters Lift Station Control Panel</t>
  </si>
  <si>
    <t>Hensley Lift Station 2 16.8 HP Pumps</t>
  </si>
  <si>
    <t>Hensley Lift Station Control Panels</t>
  </si>
  <si>
    <t>Cement/Logan Lift Station Control Panels</t>
  </si>
  <si>
    <t>RWWTP RAS/WAS Control Panel</t>
  </si>
  <si>
    <t>Lincoln Trail Lift Station Rehab 3 115HP</t>
  </si>
  <si>
    <t>Lincoln Trail LS Rehab Control Panel</t>
  </si>
  <si>
    <t>Seminole Lift Station Control Panel</t>
  </si>
  <si>
    <t>REDMAR L/S REROUTE L/S CONTROL PANEL</t>
  </si>
  <si>
    <t>Electric Start 30 Gal Air Compressor &amp;</t>
  </si>
  <si>
    <t>Root Cutter w/ring, assembly 8-10""</t>
  </si>
  <si>
    <t>52% 4 Camera System"</t>
  </si>
  <si>
    <t>50% of 6 Diamond Core Drill"</t>
  </si>
  <si>
    <t>50% of 6 WW Pump Bypass Hose"</t>
  </si>
  <si>
    <t>25% Multiquip MTX60 4 Cycle Rammer</t>
  </si>
  <si>
    <t>25% Edco 18 Concrete &amp; Asphalt Walk</t>
  </si>
  <si>
    <t>8ft. Baffle for Oxidation Ditch #2</t>
  </si>
  <si>
    <t>Filter Belt Press Conveyor&amp; Belt</t>
  </si>
  <si>
    <t>20% of Project Safety Zone Signs</t>
  </si>
  <si>
    <t>Radcliff WWTP Sludge Belt Press</t>
  </si>
  <si>
    <t>Safety Equipment for Radcliff PTB</t>
  </si>
  <si>
    <t>Chain Cutter Head for Jetter</t>
  </si>
  <si>
    <t>New VFD for Oxidation Ditch #1</t>
  </si>
  <si>
    <t>Oxidation Ditch #2 VFD Start Up</t>
  </si>
  <si>
    <t>VFD Oxidation Ditch #2</t>
  </si>
  <si>
    <t>Quick Inspection Pole Camera</t>
  </si>
  <si>
    <t>10ft Baffle Oxidation Ditch #3</t>
  </si>
  <si>
    <t>SEE Snake Push Camera w/Locator</t>
  </si>
  <si>
    <t>Rebuild Trans on Aerator Oxt Ditch #2</t>
  </si>
  <si>
    <t>Gearbox &amp; Motor for Trans Oxi Ditch #2</t>
  </si>
  <si>
    <t>Ultimate Warrior Jet Tier 4</t>
  </si>
  <si>
    <t>75% Thermal Imager</t>
  </si>
  <si>
    <t>Oxidation Ditch Gearbox Rebuild</t>
  </si>
  <si>
    <t>Oxidation Ditch #3 VFD Drive Unit</t>
  </si>
  <si>
    <t>5% Plasma Cutter</t>
  </si>
  <si>
    <t>Push Camera Reel</t>
  </si>
  <si>
    <t>Radcliff Startup Misc Tools</t>
  </si>
  <si>
    <t>Radcliff Startup Safety Supplies</t>
  </si>
  <si>
    <t>Warthog Jetter Nozzle</t>
  </si>
  <si>
    <t>Utility Line Locator</t>
  </si>
  <si>
    <t>Solids Monitoring Probe</t>
  </si>
  <si>
    <t>RWWTP Locating Transmitter</t>
  </si>
  <si>
    <t>Hach HQ4D pH &amp; DO Field Meter</t>
  </si>
  <si>
    <t>Headworks Gas Detection System</t>
  </si>
  <si>
    <t>Sludge Conveyor Belt Drum Rollers</t>
  </si>
  <si>
    <t>Belt Press Filter Belt</t>
  </si>
  <si>
    <t>VAC Dump Station</t>
  </si>
  <si>
    <t>Rad WWTP UV Disinfection System</t>
  </si>
  <si>
    <t>Mechanical Bar Screen</t>
  </si>
  <si>
    <t>REPURPOSE ROTORK ACTUATOR</t>
  </si>
  <si>
    <t>Insignia 47 LCD TV w/Blu Ray Player-47%"</t>
  </si>
  <si>
    <t>47% of Leightronics Mini Tnet Controller</t>
  </si>
  <si>
    <t>48% Dell laptop for Tim Osborne</t>
  </si>
  <si>
    <t>47% OF DELL WEB SERVER</t>
  </si>
  <si>
    <t>25% of Dell Precision T3600 - Project</t>
  </si>
  <si>
    <t>25% of Dell Latitude E6430 - Accounting/</t>
  </si>
  <si>
    <t>18% OF MICROSOFT DYNAMICS/GP SERVER</t>
  </si>
  <si>
    <t>18% of Microsoft Dynamics/GP Software</t>
  </si>
  <si>
    <t>19% of HP Z2100 Plotter</t>
  </si>
  <si>
    <t>47% of ICIS Utility Billing Software</t>
  </si>
  <si>
    <t>47% of Canon ImageRunner 1025</t>
  </si>
  <si>
    <t>27.9% of Canon ImageRunner C5240</t>
  </si>
  <si>
    <t>20% of Water &amp; WW Construction Standards</t>
  </si>
  <si>
    <t>46% of Latitude E6440 Laptop - C/S Mgr</t>
  </si>
  <si>
    <t>27.9% Latitude 14 5000 Laptop - Floater</t>
  </si>
  <si>
    <t>22% of Microsoft Dynamics GP Phase II</t>
  </si>
  <si>
    <t>43% of Service Center Surveillance Syste</t>
  </si>
  <si>
    <t>27.5% Service Center Entry Card Reader S</t>
  </si>
  <si>
    <t>20% SC Conf Room Reno-Furniture</t>
  </si>
  <si>
    <t>35% 8 GB Optiplex 9020 Computer/GM</t>
  </si>
  <si>
    <t>35% 8 GB Optiplex 9020 Computer/Exe Asst</t>
  </si>
  <si>
    <t>47% 3 Dell Latitude E5550/Meter Readers</t>
  </si>
  <si>
    <t>18% SQL Server (ICIS/GP)</t>
  </si>
  <si>
    <t>47% C/S Lobby Renovation-Furniture</t>
  </si>
  <si>
    <t>32% Dell PowerEdge R730 Server</t>
  </si>
  <si>
    <t>32% Labor for Server Installation</t>
  </si>
  <si>
    <t>24% Office 2013 Home &amp; Business</t>
  </si>
  <si>
    <t>29% Ricoh MP3054 Copier</t>
  </si>
  <si>
    <t>20% Capital Projects Request App</t>
  </si>
  <si>
    <t>29% Hitachi Smart Board &amp; Projector</t>
  </si>
  <si>
    <t>49% Check Scanner</t>
  </si>
  <si>
    <t>Radcliff Startup Network Equipment</t>
  </si>
  <si>
    <t>Radcliff Startup Computer Supplies</t>
  </si>
  <si>
    <t>Lab Software License</t>
  </si>
  <si>
    <t>Remote Desktop Open License RSOPS</t>
  </si>
  <si>
    <t>6 Dell Latitude 3540 Laptops</t>
  </si>
  <si>
    <t>24% of 2 Microsoft Office Pro License</t>
  </si>
  <si>
    <t>29% Dell Networking 10GB Fiber Switches</t>
  </si>
  <si>
    <t>20% Dell Powerbook Engineering Manager</t>
  </si>
  <si>
    <t>29% Dell Network 10GB Fiber Switches</t>
  </si>
  <si>
    <t>32% HR Specialist Office Furniture</t>
  </si>
  <si>
    <t>25% 2018 Desktop Computer Refresh 8 Desk</t>
  </si>
  <si>
    <t>49% Martin Yale High Speed Letter Opener</t>
  </si>
  <si>
    <t>43.25% Office Panels for Engineer &amp; GIS</t>
  </si>
  <si>
    <t>13% Kronos Payroll System</t>
  </si>
  <si>
    <t>47% Canon IR1730IF</t>
  </si>
  <si>
    <t>RS Logix PLC Software</t>
  </si>
  <si>
    <t>25.2% 3 Laptops (Accountant, Acct Specia</t>
  </si>
  <si>
    <t>22% Microsoft GP Acct Software Upgrade</t>
  </si>
  <si>
    <t>29% HC3 Cluster at Service Center</t>
  </si>
  <si>
    <t>29% 2019 Annual Desktop Replacement</t>
  </si>
  <si>
    <t>21% 10 Conference Room Chairs</t>
  </si>
  <si>
    <t>Meraki Firewall</t>
  </si>
  <si>
    <t>47% Dell Precision 7470 Meter Reader Com</t>
  </si>
  <si>
    <t>13% Carlson 2021 AutoCad Software</t>
  </si>
  <si>
    <t>47% 6 HON Tash Stools - Customer Service</t>
  </si>
  <si>
    <t>20% GIS Update Geosync Go</t>
  </si>
  <si>
    <t>24% 2019 Microsoft Exchange Server</t>
  </si>
  <si>
    <t>24% 4TH NODE HC3 SERVER CLUSTER</t>
  </si>
  <si>
    <t>RWW Server Upgrade</t>
  </si>
  <si>
    <t>25% Board Member Tech 1 Laptop &amp; 4 ipads</t>
  </si>
  <si>
    <t>6000 lb Pneumatic Forklift</t>
  </si>
  <si>
    <t>60% of Vac Truck Hydro Excavating</t>
  </si>
  <si>
    <t>47% OF 2012 FORD F150 VIN</t>
  </si>
  <si>
    <t>LADDER PIPE RACK FOR TRUCKS</t>
  </si>
  <si>
    <t>Equipment Trailer for Bobcat</t>
  </si>
  <si>
    <t>3 8000 Watt &amp; 1 3000 Watt Truck Power</t>
  </si>
  <si>
    <t>16% of 2013 Ford Escape SEL</t>
  </si>
  <si>
    <t>20% 2014 Chevy Equinox</t>
  </si>
  <si>
    <t>81% 2009 Vactor 2112 Combinantion Sewer</t>
  </si>
  <si>
    <t>81% of 10-24" Dredger for Vactor Truck</t>
  </si>
  <si>
    <t>81% Rebuilt Engine on Vac Truck</t>
  </si>
  <si>
    <t>30% of Vac Truck Hydro Excavating</t>
  </si>
  <si>
    <t>600ft Rodder Hose for Vactor Truck</t>
  </si>
  <si>
    <t>Root Cutter Nozzle -  Use with Vac Truck</t>
  </si>
  <si>
    <t>19% 2009 Vactor 2112 Combination Sewer</t>
  </si>
  <si>
    <t>19% pf 10-24" Dredger for Vactor Truck</t>
  </si>
  <si>
    <t>19% Rebuilt Engine for Vac Truck</t>
  </si>
  <si>
    <t>5% Vac Truck Hyrdro Excavating</t>
  </si>
  <si>
    <t>25% 18' Duvall Trailer</t>
  </si>
  <si>
    <t>2016 F-150 4WD SuperCrew Truck-Superviso</t>
  </si>
  <si>
    <t>2016 Chevy Silverado 2500 Field Service</t>
  </si>
  <si>
    <t>2016 Chevy Silverado 3500-Maintenance</t>
  </si>
  <si>
    <t>Vac Truck Hose</t>
  </si>
  <si>
    <t>Kubota RTV</t>
  </si>
  <si>
    <t>49% 2017 Ford F150 1FTMFXHKD47998</t>
  </si>
  <si>
    <t>8.5x14' Encolsed V-Nose Cargo Trailer</t>
  </si>
  <si>
    <t>49% 2017 Ford F150 4wd Reg Cab</t>
  </si>
  <si>
    <t>98% 2017 Chevy Silverado Rad MCS</t>
  </si>
  <si>
    <t>2017 Dodge Ram 5500 Reg Cab 4x4 Crane Tr</t>
  </si>
  <si>
    <t>Bed Liner for 2017 Dodge Ram Crane Truck</t>
  </si>
  <si>
    <t>50% 20019 Ford F450 w/Service Body</t>
  </si>
  <si>
    <t>2019 Chevy Silverado 5500 4x4 Dump Truck</t>
  </si>
  <si>
    <t>48% 2019 Ram 1500 4x4</t>
  </si>
  <si>
    <t>28% 2012 Chevy Silverado</t>
  </si>
  <si>
    <t>Analytical Balance Level- Lab</t>
  </si>
  <si>
    <t>Isco Compact Sampler Refrigerator</t>
  </si>
  <si>
    <t>Influent &amp; Effluent Refridgerator</t>
  </si>
  <si>
    <t>Thermo Sci Thermolyne Muffle Furnace</t>
  </si>
  <si>
    <t>Rad WWTP Lab Microscope</t>
  </si>
  <si>
    <t>SPECTRO DR3900 TO READ AMMONIA LEVL RFID</t>
  </si>
  <si>
    <t>Generator for WWTP &amp; Installation &amp;</t>
  </si>
  <si>
    <t>50 % of 2 15,000 Watt Generators</t>
  </si>
  <si>
    <t>58% of Generators - Emergency Power</t>
  </si>
  <si>
    <t>25 % Kubota Mini Excavator</t>
  </si>
  <si>
    <t>25% Mini Excavator Bucket</t>
  </si>
  <si>
    <t>Honda 3 Phase 5000 Watt Generator</t>
  </si>
  <si>
    <t>72" Mower Taul Equipment</t>
  </si>
  <si>
    <t>Kawaski Pro Turn 160</t>
  </si>
  <si>
    <t>Cat 42F2ST Backhoe - Ser No. HWC00645</t>
  </si>
  <si>
    <t>Boone Trace Generator</t>
  </si>
  <si>
    <t>29.6% Pro Turn 152 Kawaksaki Mower</t>
  </si>
  <si>
    <t>25% Pnewmatic Hydraulic Hammer for KUBOT</t>
  </si>
  <si>
    <t>Rad WWTP Generator Expansion</t>
  </si>
  <si>
    <t>Lincoln Trail LS Generator</t>
  </si>
  <si>
    <t>Boone Trace Transfer Switch Control Boar</t>
  </si>
  <si>
    <t>Receiver &amp; Module for Oxidation Ditch</t>
  </si>
  <si>
    <t>47% of Itron Radio Read Handheld Unit</t>
  </si>
  <si>
    <t>Radcliff WWTP SCADA</t>
  </si>
  <si>
    <t>47% Itron Radio Read Handheld Unit</t>
  </si>
  <si>
    <t>49% Trimble GEO Handheld GPS Unit</t>
  </si>
  <si>
    <t>47% Itron FC300 Handheld</t>
  </si>
  <si>
    <t>49% Itron Mobile Laptop</t>
  </si>
  <si>
    <t>Radcliff Rate Study 2022</t>
  </si>
  <si>
    <t>Approved</t>
  </si>
  <si>
    <t>4.03.72500</t>
  </si>
  <si>
    <t>Variance</t>
  </si>
  <si>
    <t>2023  Budget Line Accounts</t>
  </si>
  <si>
    <t>Approved - 11/17/22</t>
  </si>
  <si>
    <t>ROW#</t>
  </si>
  <si>
    <t>ACCOUNTNO</t>
  </si>
  <si>
    <t>ACCOUNT</t>
  </si>
  <si>
    <t>Sept YTD</t>
  </si>
  <si>
    <t>SUB TOTAL &gt;</t>
  </si>
  <si>
    <t>Salary &amp; Wages</t>
  </si>
  <si>
    <t>Salary &amp; Wages (Contra Account)</t>
  </si>
  <si>
    <t>Health / Life / Disab Insurance</t>
  </si>
  <si>
    <t>Premium Time</t>
  </si>
  <si>
    <t>Salary &amp; Wages - Part Time</t>
  </si>
  <si>
    <t>Flexible Benefits</t>
  </si>
  <si>
    <t>Workers Comp</t>
  </si>
  <si>
    <t>Supplies &amp; Expense</t>
  </si>
  <si>
    <t>Professsional Services/Lab</t>
  </si>
  <si>
    <t>Allocated Depreciation Expense</t>
  </si>
  <si>
    <t>Amortization Expense - Leases</t>
  </si>
  <si>
    <t>Interest Expense - Leases</t>
  </si>
  <si>
    <t>Professional Services - Accounting</t>
  </si>
  <si>
    <t>Professional Services - Legal</t>
  </si>
  <si>
    <t>IT Expense</t>
  </si>
  <si>
    <t>Allocated FK Water G&amp;A Expenses</t>
  </si>
  <si>
    <t>Revenues:</t>
  </si>
  <si>
    <t>Non-Utility Income</t>
  </si>
  <si>
    <t>Inter-Departmental Transfers</t>
  </si>
  <si>
    <t>Penalties &amp; Misc. Fees</t>
  </si>
  <si>
    <t>SUB TOTAL REV &gt;&gt;</t>
  </si>
  <si>
    <t>NON-OPERATING REVENUES &gt;&gt;</t>
  </si>
  <si>
    <t>TOTAL OPERATING REVENUES &gt;&gt;</t>
  </si>
  <si>
    <t>EXPENSES &gt;&gt;</t>
  </si>
  <si>
    <t>OPERATING INCOME &gt;&gt;</t>
  </si>
  <si>
    <t>Office Supplies &amp; Expense</t>
  </si>
  <si>
    <t>Investment expenses</t>
  </si>
  <si>
    <t>Amortization of Acquisition Expense</t>
  </si>
  <si>
    <t>Force Main Repairs</t>
  </si>
  <si>
    <t>Gravity Main Repairs</t>
  </si>
  <si>
    <t>Lift Station Supply &amp; Expense</t>
  </si>
  <si>
    <t>Contracted CCTV &amp; Cleaning</t>
  </si>
  <si>
    <t>Expenses:</t>
  </si>
  <si>
    <t>4.02.70100</t>
  </si>
  <si>
    <t>4.02.70101</t>
  </si>
  <si>
    <t>4.02.40812</t>
  </si>
  <si>
    <t>4.02.70400</t>
  </si>
  <si>
    <t>4.02.70401</t>
  </si>
  <si>
    <t>4.02.70102</t>
  </si>
  <si>
    <t>4.02.70103</t>
  </si>
  <si>
    <t>4.02.70402</t>
  </si>
  <si>
    <t>4.02.75800</t>
  </si>
  <si>
    <t>4.02.71100</t>
  </si>
  <si>
    <t>4.02.71500</t>
  </si>
  <si>
    <t>4.02.71800</t>
  </si>
  <si>
    <t>4.02.72000</t>
  </si>
  <si>
    <t>4.02.72300</t>
  </si>
  <si>
    <t>4.02.72600</t>
  </si>
  <si>
    <t>4.02.73600</t>
  </si>
  <si>
    <t>4.02.73500</t>
  </si>
  <si>
    <t>4.02.75000</t>
  </si>
  <si>
    <t>4.02.77600</t>
  </si>
  <si>
    <t>4.03.70100</t>
  </si>
  <si>
    <t>4.03.70101</t>
  </si>
  <si>
    <t>4.03.40812</t>
  </si>
  <si>
    <t>4.03.70400</t>
  </si>
  <si>
    <t>4.03.70401</t>
  </si>
  <si>
    <t>4.03.70102</t>
  </si>
  <si>
    <t>4.03.70103</t>
  </si>
  <si>
    <t>4.03.70402</t>
  </si>
  <si>
    <t>4.03.75800</t>
  </si>
  <si>
    <t>4.03.70107</t>
  </si>
  <si>
    <t>30.14.6507101</t>
  </si>
  <si>
    <t>4.03.71000</t>
  </si>
  <si>
    <t>Routine Maintenance Service</t>
  </si>
  <si>
    <t>4.03.71500</t>
  </si>
  <si>
    <t>4.03.72000</t>
  </si>
  <si>
    <t>4.03.72700</t>
  </si>
  <si>
    <t>4.03.72200</t>
  </si>
  <si>
    <t>4.03.72600</t>
  </si>
  <si>
    <t>4.03.73600</t>
  </si>
  <si>
    <t>4.03.73700</t>
  </si>
  <si>
    <t>4.03.75000</t>
  </si>
  <si>
    <t>4.03.77600</t>
  </si>
  <si>
    <t>Radcliff Customer Service</t>
  </si>
  <si>
    <t>4.04.40812</t>
  </si>
  <si>
    <t>Customer Service - OASDI</t>
  </si>
  <si>
    <t>30.15.6009032</t>
  </si>
  <si>
    <t>4.04.70100</t>
  </si>
  <si>
    <t>4.04.70101</t>
  </si>
  <si>
    <t>Customer Service - Contra</t>
  </si>
  <si>
    <t>4.04.70102</t>
  </si>
  <si>
    <t>Customer Service - Overtime</t>
  </si>
  <si>
    <t>4.04.70107</t>
  </si>
  <si>
    <t>Customer Service - P/T Salary</t>
  </si>
  <si>
    <t>4.04.70400</t>
  </si>
  <si>
    <t>Customer Service - Pension</t>
  </si>
  <si>
    <t>4.04.70401</t>
  </si>
  <si>
    <t>Customer Service - Hlth, Life &amp; Disability</t>
  </si>
  <si>
    <t>4.04.70402</t>
  </si>
  <si>
    <t>Customer Service - Flex Benefit</t>
  </si>
  <si>
    <t>4.04.75800</t>
  </si>
  <si>
    <t>Customer Service - Work Comp</t>
  </si>
  <si>
    <t>30.15.6709050</t>
  </si>
  <si>
    <t>4.04.90301</t>
  </si>
  <si>
    <t>30.15.6809210</t>
  </si>
  <si>
    <t>4.04.92100</t>
  </si>
  <si>
    <t>30.15.6809230</t>
  </si>
  <si>
    <t>4.04.92303</t>
  </si>
  <si>
    <t>Contracted Services</t>
  </si>
  <si>
    <t>30.15.7004310</t>
  </si>
  <si>
    <t>4.04.93007</t>
  </si>
  <si>
    <t>Customer Interest Expense</t>
  </si>
  <si>
    <t>Radcliff Maintenance</t>
  </si>
  <si>
    <t>4.05.40812</t>
  </si>
  <si>
    <t>Maintenance - OASDI</t>
  </si>
  <si>
    <t>4.05.70100</t>
  </si>
  <si>
    <t>Maintenance - Labor</t>
  </si>
  <si>
    <t>4.05.70101</t>
  </si>
  <si>
    <t>Maintenance - Contra</t>
  </si>
  <si>
    <t>4.05.70102</t>
  </si>
  <si>
    <t>Maintenance - Overtime</t>
  </si>
  <si>
    <t>4.05.70400</t>
  </si>
  <si>
    <t>Maintenance - Pension</t>
  </si>
  <si>
    <t>4.05.70401</t>
  </si>
  <si>
    <t>Maintenance - Hlth, Life &amp; Disability</t>
  </si>
  <si>
    <t>4.05.70402</t>
  </si>
  <si>
    <t>Maintenance - Flex Benefit</t>
  </si>
  <si>
    <t>4.05.75800</t>
  </si>
  <si>
    <t>Maintenance - Work Comp</t>
  </si>
  <si>
    <t>Radcliff Administration</t>
  </si>
  <si>
    <t>4.06.40812</t>
  </si>
  <si>
    <t>Admininstrative - OASDI</t>
  </si>
  <si>
    <t>30.19.6009200</t>
  </si>
  <si>
    <t>4.06.70100</t>
  </si>
  <si>
    <t>4.06.70101</t>
  </si>
  <si>
    <t>Administrative - Contra</t>
  </si>
  <si>
    <t>4.06.70102</t>
  </si>
  <si>
    <t>Administrative - Overtime</t>
  </si>
  <si>
    <t>4.06.70107</t>
  </si>
  <si>
    <t>Administrative - P/T Salary</t>
  </si>
  <si>
    <t>4.06.70400</t>
  </si>
  <si>
    <t>Administrative - Pension</t>
  </si>
  <si>
    <t>4.06.70401</t>
  </si>
  <si>
    <t>Administrative - Hlth, Life &amp; Disability</t>
  </si>
  <si>
    <t>4.06.70402</t>
  </si>
  <si>
    <t>Administrative - Flex Benefit</t>
  </si>
  <si>
    <t>4.06.75800</t>
  </si>
  <si>
    <t>Administrative - Work Comp</t>
  </si>
  <si>
    <t>4.06.95900</t>
  </si>
  <si>
    <t>Unemployment Insruance</t>
  </si>
  <si>
    <t>30.19.6107012</t>
  </si>
  <si>
    <t>4.06.93004</t>
  </si>
  <si>
    <t>30.19.6307310</t>
  </si>
  <si>
    <t>4.06.92302</t>
  </si>
  <si>
    <t xml:space="preserve">Professional Services - Engineering </t>
  </si>
  <si>
    <t>30.19.6307320</t>
  </si>
  <si>
    <t>4.06.92300</t>
  </si>
  <si>
    <t>30.19.6307330</t>
  </si>
  <si>
    <t>4.06.92301</t>
  </si>
  <si>
    <t>30.19.6307340</t>
  </si>
  <si>
    <t>4.06.93000</t>
  </si>
  <si>
    <t>30.19.6307350</t>
  </si>
  <si>
    <t>4.06.93005</t>
  </si>
  <si>
    <t>30.19.6307360</t>
  </si>
  <si>
    <t>4.06.93010</t>
  </si>
  <si>
    <t>30.19.6327600</t>
  </si>
  <si>
    <t>4.06.93002</t>
  </si>
  <si>
    <t>Promotion/Advertising</t>
  </si>
  <si>
    <t>30.19.6709031</t>
  </si>
  <si>
    <t>4.06.90302</t>
  </si>
  <si>
    <t>30.19.6709040</t>
  </si>
  <si>
    <t>4.06.90400</t>
  </si>
  <si>
    <t>30.19.6809210</t>
  </si>
  <si>
    <t>4.06.92100</t>
  </si>
  <si>
    <t>30.19.6809230</t>
  </si>
  <si>
    <t>4.06.92303</t>
  </si>
  <si>
    <t>4.06.93700</t>
  </si>
  <si>
    <t>Uniforms</t>
  </si>
  <si>
    <t>30.19.6809233</t>
  </si>
  <si>
    <t>4.06.93003</t>
  </si>
  <si>
    <t>30.19.6809240</t>
  </si>
  <si>
    <t>4.06.92400</t>
  </si>
  <si>
    <t>Insurance Expenses</t>
  </si>
  <si>
    <t>4.06.98000</t>
  </si>
  <si>
    <t>30.19.6809280</t>
  </si>
  <si>
    <t>4.06.40800</t>
  </si>
  <si>
    <t>30.19.6809290</t>
  </si>
  <si>
    <t>4.06.92900</t>
  </si>
  <si>
    <t>4.06.92901</t>
  </si>
  <si>
    <t>30.19.6809310</t>
  </si>
  <si>
    <t>4.06.93008</t>
  </si>
  <si>
    <t>Rents</t>
  </si>
  <si>
    <t>30.19.6809300</t>
  </si>
  <si>
    <t>4.06.93009</t>
  </si>
  <si>
    <t>Miscellaneous General Expenses</t>
  </si>
  <si>
    <t>30.19.6904030</t>
  </si>
  <si>
    <t>4.06.40300</t>
  </si>
  <si>
    <t>30.19.6904031</t>
  </si>
  <si>
    <t>4.06.40301</t>
  </si>
  <si>
    <t>4.06.40400</t>
  </si>
  <si>
    <t>30.19.6904060</t>
  </si>
  <si>
    <t>4.06.43200</t>
  </si>
  <si>
    <t>30.19.6904080</t>
  </si>
  <si>
    <t>4.06.40804</t>
  </si>
  <si>
    <t>Amortization of Rate Case Expense</t>
  </si>
  <si>
    <t>30.19.7004270</t>
  </si>
  <si>
    <t>4.06.42700</t>
  </si>
  <si>
    <t>Interest on Long Term Debt</t>
  </si>
  <si>
    <t>30.19.7004271</t>
  </si>
  <si>
    <t>4.06.93006</t>
  </si>
  <si>
    <t>30.19.7004272</t>
  </si>
  <si>
    <t>4.06.42701</t>
  </si>
  <si>
    <t>Allocated Interest Expense</t>
  </si>
  <si>
    <t>4.06.42724</t>
  </si>
  <si>
    <t>4.06.92000</t>
  </si>
  <si>
    <t>4.07.40812</t>
  </si>
  <si>
    <t>Commission - OASDI</t>
  </si>
  <si>
    <t>4.07.70300</t>
  </si>
  <si>
    <t>Commission - Salary</t>
  </si>
  <si>
    <t>4.07.70400</t>
  </si>
  <si>
    <t>Commission - Pension</t>
  </si>
  <si>
    <t>4.07.70401</t>
  </si>
  <si>
    <t>Commission - Hlth, Life &amp; Disability</t>
  </si>
  <si>
    <t>4.07.75800</t>
  </si>
  <si>
    <t>Commission - Work Comp</t>
  </si>
  <si>
    <t>4.06.93600</t>
  </si>
  <si>
    <t>TOTAL RADCLIFF SEWER EXPENSE &gt;&gt;</t>
  </si>
  <si>
    <t>30.00.4005220</t>
  </si>
  <si>
    <t>4.00.52201</t>
  </si>
  <si>
    <t>Measured Revenue - Multi Family</t>
  </si>
  <si>
    <t>30.00.4005221</t>
  </si>
  <si>
    <t>4.00.52202</t>
  </si>
  <si>
    <t>Measured Revenue - Residential</t>
  </si>
  <si>
    <t>30.00.4005212</t>
  </si>
  <si>
    <t>4.00.52102</t>
  </si>
  <si>
    <t>Measured Revenue - Commercial</t>
  </si>
  <si>
    <t>30.00.4075260</t>
  </si>
  <si>
    <t>4.00.53600</t>
  </si>
  <si>
    <t>30.00.4085260</t>
  </si>
  <si>
    <t>4.00.53601</t>
  </si>
  <si>
    <t>30.00.4085270</t>
  </si>
  <si>
    <t>4.00.53602</t>
  </si>
  <si>
    <t>Sewer High Strength Surcharge</t>
  </si>
  <si>
    <t>30.00.4194190</t>
  </si>
  <si>
    <t>4.00.41900</t>
  </si>
  <si>
    <t>4.00.41402</t>
  </si>
  <si>
    <t>30.00.4204210</t>
  </si>
  <si>
    <t>4.00.41700</t>
  </si>
  <si>
    <t>Gain/Loss on Assets Dispositions</t>
  </si>
  <si>
    <t>30.00.4210000</t>
  </si>
  <si>
    <t>4.00.53604</t>
  </si>
  <si>
    <t>30.00.4220000</t>
  </si>
  <si>
    <t>4.00.27101</t>
  </si>
  <si>
    <t>Sewer Tap Fees</t>
  </si>
  <si>
    <t>30.00.4210107</t>
  </si>
  <si>
    <t>4.00.27104</t>
  </si>
  <si>
    <t>Misc. Revenue - Grants - Pump Stations</t>
  </si>
  <si>
    <t>30.00.4210110</t>
  </si>
  <si>
    <t>4.00.27105</t>
  </si>
  <si>
    <t>Misc. Revenue - Grants - SI Grant</t>
  </si>
  <si>
    <t>4.00.27106</t>
  </si>
  <si>
    <t>Misc. Revenue - Grant - Dist #2 - Collections</t>
  </si>
  <si>
    <t>Misc Revenue - Grant - KIA</t>
  </si>
  <si>
    <t>30.00.4710500</t>
  </si>
  <si>
    <t>4.00.42100</t>
  </si>
  <si>
    <t>Depr + Debt + CO</t>
  </si>
  <si>
    <t>Net Admin</t>
  </si>
  <si>
    <t>Fund %</t>
  </si>
  <si>
    <t>Calculation of Allocation FKW G&amp;A to other funds;</t>
  </si>
  <si>
    <t>From 2023 Wage - Draft 1 S/S=&gt;</t>
  </si>
  <si>
    <t>Allocated FK Water G&amp;A Expense</t>
  </si>
  <si>
    <t>Depreciation/Amortization Expense</t>
  </si>
  <si>
    <t>36% 2021 Annual Desktop Refresh</t>
  </si>
  <si>
    <t>47% Billing Specialist Optiplex 7090 Ult</t>
  </si>
  <si>
    <t>Outfall Carport/Concrete Pad</t>
  </si>
  <si>
    <t>Replace 2013 Ford Escape SEL (Engineer Mgr)</t>
  </si>
  <si>
    <t>Hwy 313 Ls Electrical Rehab</t>
  </si>
  <si>
    <t>Actuators For Secondary Clarifier Splitter Box</t>
  </si>
  <si>
    <t>Marvins Ls &amp; Force Main Upgrades</t>
  </si>
  <si>
    <t>Adjustment</t>
  </si>
  <si>
    <t>SCHEDULE OF ADJUSTED OPERATIONS - SEWER UTILITY</t>
  </si>
  <si>
    <t>Sewage Service Revenues</t>
  </si>
  <si>
    <t>Flat Rate Revenues</t>
  </si>
  <si>
    <t>Measured Revenues</t>
  </si>
  <si>
    <t>Revenue from Public Authorities</t>
  </si>
  <si>
    <t>Revenue from Other Systems</t>
  </si>
  <si>
    <t>Miscellaneous Sewage Revenues</t>
  </si>
  <si>
    <t>Total Sewage Service Revenues</t>
  </si>
  <si>
    <t>Forfeited Discounts</t>
  </si>
  <si>
    <t>Miscellaneous Operating Revenues</t>
  </si>
  <si>
    <t>Total Other Operating Revenues</t>
  </si>
  <si>
    <t>Pro Forma</t>
  </si>
  <si>
    <t xml:space="preserve">Total Operation and Maintenance Expenses </t>
  </si>
  <si>
    <t>Amortization Expense</t>
  </si>
  <si>
    <t>Taxes Other than Income</t>
  </si>
  <si>
    <t>Income Tax Expense</t>
  </si>
  <si>
    <t>Utility Operating Income</t>
  </si>
  <si>
    <t>Other Operating Revenues</t>
  </si>
  <si>
    <t>Pro Forma Operating Expenses before Income Taxes</t>
  </si>
  <si>
    <t>Operating Ratio</t>
  </si>
  <si>
    <t>Sub Total</t>
  </si>
  <si>
    <t>Less: Pro Forma Operating Expenses before Income Taxes</t>
  </si>
  <si>
    <t>Net Income Allowable</t>
  </si>
  <si>
    <t>Add: Provision for State and Federal Income Taxes, if Applicable</t>
  </si>
  <si>
    <t>Pro Forma Operating Expenses Before Taxes</t>
  </si>
  <si>
    <t>Less: Other Operating Revenue</t>
  </si>
  <si>
    <t>Less: Non-Operating Revenue</t>
  </si>
  <si>
    <t>Less: Interest Income</t>
  </si>
  <si>
    <t>Total Revenue Required from Rates for Service</t>
  </si>
  <si>
    <t>Less: Revenue from Sales at Present Rates</t>
  </si>
  <si>
    <t>Rates</t>
  </si>
  <si>
    <t>Next 13,000 Gallons</t>
  </si>
  <si>
    <t>Over 15,000 Gallons</t>
  </si>
  <si>
    <t>E</t>
  </si>
  <si>
    <t>F</t>
  </si>
  <si>
    <t>G</t>
  </si>
  <si>
    <t>H</t>
  </si>
  <si>
    <t>I</t>
  </si>
  <si>
    <t>Penalties, Services Fees and Reimbursements</t>
  </si>
  <si>
    <t>Before Depreciation</t>
  </si>
  <si>
    <t>J</t>
  </si>
  <si>
    <t>K</t>
  </si>
  <si>
    <t>L</t>
  </si>
  <si>
    <t>M</t>
  </si>
  <si>
    <t>N</t>
  </si>
  <si>
    <t>O</t>
  </si>
  <si>
    <t>P</t>
  </si>
  <si>
    <t>Cost</t>
  </si>
  <si>
    <t>Disallowance</t>
  </si>
  <si>
    <t>Rate Year Total - HCWD</t>
  </si>
  <si>
    <t>% Allocation to Radcliff Sewer</t>
  </si>
  <si>
    <t>Equals: Test Year Labor Costs</t>
  </si>
  <si>
    <t>Employee Health Coverage</t>
  </si>
  <si>
    <t>Employee Dental</t>
  </si>
  <si>
    <t>REASONS FOR APPLICATION</t>
  </si>
  <si>
    <t>CURRENT AND PROPOSED RATES</t>
  </si>
  <si>
    <t>ATTACHMENT 3</t>
  </si>
  <si>
    <t>ATTACHMENT 4</t>
  </si>
  <si>
    <t>Roll-Up</t>
  </si>
  <si>
    <t>Ending</t>
  </si>
  <si>
    <t>Reference</t>
  </si>
  <si>
    <t>Pro-Forma</t>
  </si>
  <si>
    <t>12/31/2022</t>
  </si>
  <si>
    <t>References</t>
  </si>
  <si>
    <t>Description</t>
  </si>
  <si>
    <t>Q</t>
  </si>
  <si>
    <t>S</t>
  </si>
  <si>
    <t>T</t>
  </si>
  <si>
    <t>U</t>
  </si>
  <si>
    <t>V</t>
  </si>
  <si>
    <t>R</t>
  </si>
  <si>
    <t>W</t>
  </si>
  <si>
    <t>X</t>
  </si>
  <si>
    <t>Y</t>
  </si>
  <si>
    <t>Z</t>
  </si>
  <si>
    <t>SAO REFERENCE A - INCOME STATEMENT</t>
  </si>
  <si>
    <t>SAO REFERENCE B - DEPRECIATION ADJUSTMENT</t>
  </si>
  <si>
    <t>Original Cost</t>
  </si>
  <si>
    <t>Subtotal: Test Year Assets</t>
  </si>
  <si>
    <t>Subtotal: 2023 Assets</t>
  </si>
  <si>
    <t>Year</t>
  </si>
  <si>
    <t>In-Service</t>
  </si>
  <si>
    <t>Service</t>
  </si>
  <si>
    <t>Life</t>
  </si>
  <si>
    <t>Months</t>
  </si>
  <si>
    <t>Annual</t>
  </si>
  <si>
    <t>Assets Booked in Test Year Ending 12/31/2022</t>
  </si>
  <si>
    <t>Rebuild LTrail LS Pump 2</t>
  </si>
  <si>
    <t>GREENVIEW L/S PUMP 1</t>
  </si>
  <si>
    <t>LINCOLN TRAIL LS PUMP 1 REBUILD</t>
  </si>
  <si>
    <t>GREENVIEW FM @ LOGSDON PKWY CROSSING</t>
  </si>
  <si>
    <t>SEMINOLE FM 12" PIPE X 5055'</t>
  </si>
  <si>
    <t>3 SEMINOLE 4' MANHOLES</t>
  </si>
  <si>
    <t>CROWLEY SUBDIVISION - SECTION 4</t>
  </si>
  <si>
    <t>CROWLEY SUBDIVISION SECTION 4</t>
  </si>
  <si>
    <t>THE GROVE AT COWLEY CROSSING</t>
  </si>
  <si>
    <t>THE GROVE AT CROWLEY CROSSING</t>
  </si>
  <si>
    <t>PAWLEY ESTATES SANITARY SEWER</t>
  </si>
  <si>
    <t>Digester Blower Breaker and Wire Upgrade</t>
  </si>
  <si>
    <t>43% Camlock for Customer Service Drawers</t>
  </si>
  <si>
    <t>Boone Trace L/S Homa Pump 10" flange</t>
  </si>
  <si>
    <t>QUIGGINS L/S PROGRAMMING/ELECTRICAL UPGR</t>
  </si>
  <si>
    <t>BOONE TRACE LS ELECTRICAL IMPROVEMENTS</t>
  </si>
  <si>
    <t>BROOKE TRACE LS ELECTRICAL IMPROVEMENTS</t>
  </si>
  <si>
    <t>BELT PRESS CLOTH</t>
  </si>
  <si>
    <t>SEMINOLE SPLITTER BOX AT RWWTP</t>
  </si>
  <si>
    <t>24% GP 2018 Software Upgrade</t>
  </si>
  <si>
    <t>34% OF 2 HP 17.3" MCS LAPTOPS</t>
  </si>
  <si>
    <t>24% 2022 TERMINAL SERVER</t>
  </si>
  <si>
    <t>27% Tyler Technologies UB Software</t>
  </si>
  <si>
    <t>21% Accounting Spec. HP ProBook450 G8</t>
  </si>
  <si>
    <t>24% HR Specialist HP ProBook 450 G8</t>
  </si>
  <si>
    <t>20% Operations Manager HP Laptop 17.3"</t>
  </si>
  <si>
    <t>45% GIS Specialist Dell Precision 5820</t>
  </si>
  <si>
    <t>47% CSR Teller 01 Optiplex 7090 Ultra</t>
  </si>
  <si>
    <t>47% CSR Teller 02 Optiplex 7090 Ultra</t>
  </si>
  <si>
    <t>47% CSR Teller 03 Optiplex 7090 Ultra</t>
  </si>
  <si>
    <t>47% CSR Credit Desk Optiplex 7090 Ultra</t>
  </si>
  <si>
    <t>47% CSR Drive Thru Optiplex 7090 Ultra</t>
  </si>
  <si>
    <t>24% WEBSITE REDESIGN</t>
  </si>
  <si>
    <t>14% ID BADGE PRINTER</t>
  </si>
  <si>
    <t>14% ID BADGE PRINTING SOFTWARE</t>
  </si>
  <si>
    <t>24% SERVER CLUSTER BACKUP OFFSITE</t>
  </si>
  <si>
    <t>21% 2022 FORD EXPEDITION - GM</t>
  </si>
  <si>
    <t>58% Controller Repl on Em Generator</t>
  </si>
  <si>
    <t>SCADA RADIOS &amp; NETWORK EQUIPMENT</t>
  </si>
  <si>
    <t>33 SCADA TOWERS</t>
  </si>
  <si>
    <t>6 SCADA CONTROL PANELS</t>
  </si>
  <si>
    <t>Grants</t>
  </si>
  <si>
    <t>Non-Operating Income/(Expenses)</t>
  </si>
  <si>
    <t>Detail</t>
  </si>
  <si>
    <t>IS</t>
  </si>
  <si>
    <t>Income</t>
  </si>
  <si>
    <t>Distribution + Radcliff Collection + FK Sewer Collection</t>
  </si>
  <si>
    <t>Administration + Commission</t>
  </si>
  <si>
    <t>IT Expenses increased over the test year due to changing IT contractors from Commonwealth to 13-Layers, of which 20% of the total Utility cost is allocated to Radcliff. In addition, accounting software maintenance fees associated with recently upgraded utility billing software are larger than the test year. This improvement provides additional functionality to the billing software such as mobile work orders.</t>
  </si>
  <si>
    <t>Cost increases due to known increases from vendors/supplies, as well as increased overall usage in system.</t>
  </si>
  <si>
    <t>Allocated 20% of admin and customer service expenses of Utility, plus $200 for Engineer supplies, $4,200 Hach SC1000 Screen Replacement, $450 to replace front gate sign, $2,000 various valve replacmeents</t>
  </si>
  <si>
    <t>Overall increases to electric rates, increased flows and I/I from wet weather.</t>
  </si>
  <si>
    <t>Increased interest income due to higher interest rates</t>
  </si>
  <si>
    <t>None anticipated in rate year</t>
  </si>
  <si>
    <t>Assets Booked in 2023</t>
  </si>
  <si>
    <t>Total Assets</t>
  </si>
  <si>
    <t>ATTACHMENT 5</t>
  </si>
  <si>
    <t xml:space="preserve">See SAO Reference B - Depreciation Adjustment </t>
  </si>
  <si>
    <t>REVENUE REQUIREMENT CALCULATION - OPERATING RATIO METHOD</t>
  </si>
  <si>
    <t>ATTACHMENT 6</t>
  </si>
  <si>
    <t>ATTACHMENT 7</t>
  </si>
  <si>
    <t>Asset ID</t>
  </si>
  <si>
    <t>Asset Description</t>
  </si>
  <si>
    <t>Acquisition Date</t>
  </si>
  <si>
    <t>Place in Service Date</t>
  </si>
  <si>
    <t>Acquisition Cost</t>
  </si>
  <si>
    <t>Depreciation Method</t>
  </si>
  <si>
    <t>Original Life Years</t>
  </si>
  <si>
    <t>Depreciated to Date</t>
  </si>
  <si>
    <t>Current Run Depreciation Amount</t>
  </si>
  <si>
    <t>YTD Depreciation Amount</t>
  </si>
  <si>
    <t>LTD Depreciation Amount</t>
  </si>
  <si>
    <t>Net Book Value</t>
  </si>
  <si>
    <t>Asset Class ID</t>
  </si>
  <si>
    <t>Asset Cost Account Index</t>
  </si>
  <si>
    <t>001227</t>
  </si>
  <si>
    <t>Land</t>
  </si>
  <si>
    <t>No Depreciation</t>
  </si>
  <si>
    <t>4-LAND</t>
  </si>
  <si>
    <t>4.00.31000</t>
  </si>
  <si>
    <t>0002833</t>
  </si>
  <si>
    <t>Straight-Line Orig Life</t>
  </si>
  <si>
    <t>001228</t>
  </si>
  <si>
    <t>Straight-Line Rem Life</t>
  </si>
  <si>
    <t>001229</t>
  </si>
  <si>
    <t>001230</t>
  </si>
  <si>
    <t>001231</t>
  </si>
  <si>
    <t>001232</t>
  </si>
  <si>
    <t>001233</t>
  </si>
  <si>
    <t>001234</t>
  </si>
  <si>
    <t>001235</t>
  </si>
  <si>
    <t>001237</t>
  </si>
  <si>
    <t>001238</t>
  </si>
  <si>
    <t>001239</t>
  </si>
  <si>
    <t>001240</t>
  </si>
  <si>
    <t>001241</t>
  </si>
  <si>
    <t>001242</t>
  </si>
  <si>
    <t>001243</t>
  </si>
  <si>
    <t>001244</t>
  </si>
  <si>
    <t>001245</t>
  </si>
  <si>
    <t>001246</t>
  </si>
  <si>
    <t>001247</t>
  </si>
  <si>
    <t>001248</t>
  </si>
  <si>
    <t>001249</t>
  </si>
  <si>
    <t>001250</t>
  </si>
  <si>
    <t>001251</t>
  </si>
  <si>
    <t>001252</t>
  </si>
  <si>
    <t>001253</t>
  </si>
  <si>
    <t>001254</t>
  </si>
  <si>
    <t>001255</t>
  </si>
  <si>
    <t>001256</t>
  </si>
  <si>
    <t>001257</t>
  </si>
  <si>
    <t>001258</t>
  </si>
  <si>
    <t>001259</t>
  </si>
  <si>
    <t>001260</t>
  </si>
  <si>
    <t>001261</t>
  </si>
  <si>
    <t>001262</t>
  </si>
  <si>
    <t>001263</t>
  </si>
  <si>
    <t>001264</t>
  </si>
  <si>
    <t>001265</t>
  </si>
  <si>
    <t>001266</t>
  </si>
  <si>
    <t>001267</t>
  </si>
  <si>
    <t>001268</t>
  </si>
  <si>
    <t>001269</t>
  </si>
  <si>
    <t>001270</t>
  </si>
  <si>
    <t>001271</t>
  </si>
  <si>
    <t>001272</t>
  </si>
  <si>
    <t>001273</t>
  </si>
  <si>
    <t>001274</t>
  </si>
  <si>
    <t>001277</t>
  </si>
  <si>
    <t>001278</t>
  </si>
  <si>
    <t>001279</t>
  </si>
  <si>
    <t>001280</t>
  </si>
  <si>
    <t>001281</t>
  </si>
  <si>
    <t>001282</t>
  </si>
  <si>
    <t>001283</t>
  </si>
  <si>
    <t>001284</t>
  </si>
  <si>
    <t>001285</t>
  </si>
  <si>
    <t>001287</t>
  </si>
  <si>
    <t>001288</t>
  </si>
  <si>
    <t>001289</t>
  </si>
  <si>
    <t>001290</t>
  </si>
  <si>
    <t>001293</t>
  </si>
  <si>
    <t>001295</t>
  </si>
  <si>
    <t>001296</t>
  </si>
  <si>
    <t>001297</t>
  </si>
  <si>
    <t>001298</t>
  </si>
  <si>
    <t>001302</t>
  </si>
  <si>
    <t>001798</t>
  </si>
  <si>
    <t>001817</t>
  </si>
  <si>
    <t>001818</t>
  </si>
  <si>
    <t>001871</t>
  </si>
  <si>
    <t>001873</t>
  </si>
  <si>
    <t>001875</t>
  </si>
  <si>
    <t>001903</t>
  </si>
  <si>
    <t>001961</t>
  </si>
  <si>
    <t>001990</t>
  </si>
  <si>
    <t>002022</t>
  </si>
  <si>
    <t>002024</t>
  </si>
  <si>
    <t>002049</t>
  </si>
  <si>
    <t>002059</t>
  </si>
  <si>
    <t>002097</t>
  </si>
  <si>
    <t>002098</t>
  </si>
  <si>
    <t>002099</t>
  </si>
  <si>
    <t>002120</t>
  </si>
  <si>
    <t>002149</t>
  </si>
  <si>
    <t>002183</t>
  </si>
  <si>
    <t>002199</t>
  </si>
  <si>
    <t>002223</t>
  </si>
  <si>
    <t>002250</t>
  </si>
  <si>
    <t>002306</t>
  </si>
  <si>
    <t>002307</t>
  </si>
  <si>
    <t>002359</t>
  </si>
  <si>
    <t>002438</t>
  </si>
  <si>
    <t>002471</t>
  </si>
  <si>
    <t>002523</t>
  </si>
  <si>
    <t>002538</t>
  </si>
  <si>
    <t>002569</t>
  </si>
  <si>
    <t>002673</t>
  </si>
  <si>
    <t>002674</t>
  </si>
  <si>
    <t>002686</t>
  </si>
  <si>
    <t>002741</t>
  </si>
  <si>
    <t>002773</t>
  </si>
  <si>
    <t>002785</t>
  </si>
  <si>
    <t>002825</t>
  </si>
  <si>
    <t>002827</t>
  </si>
  <si>
    <t>002830</t>
  </si>
  <si>
    <t>002834</t>
  </si>
  <si>
    <t>002835</t>
  </si>
  <si>
    <t>002836</t>
  </si>
  <si>
    <t>002848</t>
  </si>
  <si>
    <t>002849</t>
  </si>
  <si>
    <t>002850</t>
  </si>
  <si>
    <t>002940</t>
  </si>
  <si>
    <t>003011</t>
  </si>
  <si>
    <t>003086</t>
  </si>
  <si>
    <t>003096</t>
  </si>
  <si>
    <t>003097</t>
  </si>
  <si>
    <t>006588</t>
  </si>
  <si>
    <t>4-LIFT STATIONS</t>
  </si>
  <si>
    <t>4-BUILDING</t>
  </si>
  <si>
    <t>4-MISC PLANT EQ</t>
  </si>
  <si>
    <t>4-PLANT GATE</t>
  </si>
  <si>
    <t>4-L/S ACCESS RD</t>
  </si>
  <si>
    <t>4-L/S VALVES</t>
  </si>
  <si>
    <t>4-L/S PUMPS</t>
  </si>
  <si>
    <t>4.00.35201</t>
  </si>
  <si>
    <t>001303</t>
  </si>
  <si>
    <t>001304</t>
  </si>
  <si>
    <t>001305</t>
  </si>
  <si>
    <t>001306</t>
  </si>
  <si>
    <t>001307</t>
  </si>
  <si>
    <t>001308</t>
  </si>
  <si>
    <t>001309</t>
  </si>
  <si>
    <t>001310</t>
  </si>
  <si>
    <t>001311</t>
  </si>
  <si>
    <t>001312</t>
  </si>
  <si>
    <t>001313</t>
  </si>
  <si>
    <t>001314</t>
  </si>
  <si>
    <t>001315</t>
  </si>
  <si>
    <t>001316</t>
  </si>
  <si>
    <t>001317</t>
  </si>
  <si>
    <t>001318</t>
  </si>
  <si>
    <t>001319</t>
  </si>
  <si>
    <t>001320</t>
  </si>
  <si>
    <t>001321</t>
  </si>
  <si>
    <t>001322</t>
  </si>
  <si>
    <t>001323</t>
  </si>
  <si>
    <t>001324</t>
  </si>
  <si>
    <t>001325</t>
  </si>
  <si>
    <t>001326</t>
  </si>
  <si>
    <t>001327</t>
  </si>
  <si>
    <t>001328</t>
  </si>
  <si>
    <t>001329</t>
  </si>
  <si>
    <t>001330</t>
  </si>
  <si>
    <t>001331</t>
  </si>
  <si>
    <t>001332</t>
  </si>
  <si>
    <t>001333</t>
  </si>
  <si>
    <t>001334</t>
  </si>
  <si>
    <t>001335</t>
  </si>
  <si>
    <t>001336</t>
  </si>
  <si>
    <t>001337</t>
  </si>
  <si>
    <t>001338</t>
  </si>
  <si>
    <t>001339</t>
  </si>
  <si>
    <t>001340</t>
  </si>
  <si>
    <t>001341</t>
  </si>
  <si>
    <t>001342</t>
  </si>
  <si>
    <t>001343</t>
  </si>
  <si>
    <t>001344</t>
  </si>
  <si>
    <t>001345</t>
  </si>
  <si>
    <t>001346</t>
  </si>
  <si>
    <t>001347</t>
  </si>
  <si>
    <t>001348</t>
  </si>
  <si>
    <t>001349</t>
  </si>
  <si>
    <t>001350</t>
  </si>
  <si>
    <t>001351</t>
  </si>
  <si>
    <t>001352</t>
  </si>
  <si>
    <t>001353</t>
  </si>
  <si>
    <t>001354</t>
  </si>
  <si>
    <t>001355</t>
  </si>
  <si>
    <t>001356</t>
  </si>
  <si>
    <t>001357</t>
  </si>
  <si>
    <t>001358</t>
  </si>
  <si>
    <t>001359</t>
  </si>
  <si>
    <t>001360</t>
  </si>
  <si>
    <t>001361</t>
  </si>
  <si>
    <t>001872</t>
  </si>
  <si>
    <t>001874</t>
  </si>
  <si>
    <t>001904</t>
  </si>
  <si>
    <t>001905</t>
  </si>
  <si>
    <t>002021</t>
  </si>
  <si>
    <t>002023</t>
  </si>
  <si>
    <t>002311</t>
  </si>
  <si>
    <t>002312</t>
  </si>
  <si>
    <t>002313</t>
  </si>
  <si>
    <t>002314</t>
  </si>
  <si>
    <t>002334</t>
  </si>
  <si>
    <t>002472</t>
  </si>
  <si>
    <t>002510</t>
  </si>
  <si>
    <t>002826</t>
  </si>
  <si>
    <t>002843</t>
  </si>
  <si>
    <t>002844</t>
  </si>
  <si>
    <t>002852</t>
  </si>
  <si>
    <t>002853</t>
  </si>
  <si>
    <t>002858</t>
  </si>
  <si>
    <t>002859</t>
  </si>
  <si>
    <t>002941</t>
  </si>
  <si>
    <t>002942</t>
  </si>
  <si>
    <t>003049</t>
  </si>
  <si>
    <t>003050</t>
  </si>
  <si>
    <t>003051</t>
  </si>
  <si>
    <t>003227</t>
  </si>
  <si>
    <t>003228</t>
  </si>
  <si>
    <t>003229</t>
  </si>
  <si>
    <t>003230</t>
  </si>
  <si>
    <t>003231</t>
  </si>
  <si>
    <t>003232</t>
  </si>
  <si>
    <t>006589</t>
  </si>
  <si>
    <t>4-MAINS/ LINES</t>
  </si>
  <si>
    <t>4-MANHOLES</t>
  </si>
  <si>
    <t>4.00.35202</t>
  </si>
  <si>
    <t>001362</t>
  </si>
  <si>
    <t>001363</t>
  </si>
  <si>
    <t>001364</t>
  </si>
  <si>
    <t>001365</t>
  </si>
  <si>
    <t>001366</t>
  </si>
  <si>
    <t>001367</t>
  </si>
  <si>
    <t>001368</t>
  </si>
  <si>
    <t>001369</t>
  </si>
  <si>
    <t>001370</t>
  </si>
  <si>
    <t>001371</t>
  </si>
  <si>
    <t>001372</t>
  </si>
  <si>
    <t>001373</t>
  </si>
  <si>
    <t>001374</t>
  </si>
  <si>
    <t>001375</t>
  </si>
  <si>
    <t>001376</t>
  </si>
  <si>
    <t>002061</t>
  </si>
  <si>
    <t>002251</t>
  </si>
  <si>
    <t>002570</t>
  </si>
  <si>
    <t>002838</t>
  </si>
  <si>
    <t>003113</t>
  </si>
  <si>
    <t>006590</t>
  </si>
  <si>
    <t>4-MISCPLANT IMP</t>
  </si>
  <si>
    <t>4-LANDSCAPING</t>
  </si>
  <si>
    <t>4-HVAC</t>
  </si>
  <si>
    <t>4-UV BLDG</t>
  </si>
  <si>
    <t>4-PARKING LOT</t>
  </si>
  <si>
    <t>4-FENCING</t>
  </si>
  <si>
    <t>4.00.35211</t>
  </si>
  <si>
    <t>001377</t>
  </si>
  <si>
    <t>001378</t>
  </si>
  <si>
    <t>4-CONSTRCREW BL</t>
  </si>
  <si>
    <t>4-SLUDGE BLDG</t>
  </si>
  <si>
    <t>4.00.35300</t>
  </si>
  <si>
    <t>001379</t>
  </si>
  <si>
    <t>001380</t>
  </si>
  <si>
    <t>001381</t>
  </si>
  <si>
    <t>001382</t>
  </si>
  <si>
    <t>001383</t>
  </si>
  <si>
    <t>001384</t>
  </si>
  <si>
    <t>001386</t>
  </si>
  <si>
    <t>001387</t>
  </si>
  <si>
    <t>001388</t>
  </si>
  <si>
    <t>001389</t>
  </si>
  <si>
    <t>001799</t>
  </si>
  <si>
    <t>001819</t>
  </si>
  <si>
    <t>001833</t>
  </si>
  <si>
    <t>001851</t>
  </si>
  <si>
    <t>001924</t>
  </si>
  <si>
    <t>001934</t>
  </si>
  <si>
    <t>001967</t>
  </si>
  <si>
    <t>002003</t>
  </si>
  <si>
    <t>002031</t>
  </si>
  <si>
    <t>002062</t>
  </si>
  <si>
    <t>002478</t>
  </si>
  <si>
    <t>002664</t>
  </si>
  <si>
    <t>002696</t>
  </si>
  <si>
    <t>002877</t>
  </si>
  <si>
    <t>003082</t>
  </si>
  <si>
    <t>4-YARD RPRS</t>
  </si>
  <si>
    <t>4-LANDSCAPE S/C</t>
  </si>
  <si>
    <t>4-MISC BLDG IMP</t>
  </si>
  <si>
    <t>4-PARK LOT S/C</t>
  </si>
  <si>
    <t>4-ROOF</t>
  </si>
  <si>
    <t>4.00.35400</t>
  </si>
  <si>
    <t>001390</t>
  </si>
  <si>
    <t>001391</t>
  </si>
  <si>
    <t>001392</t>
  </si>
  <si>
    <t>002597</t>
  </si>
  <si>
    <t>002723</t>
  </si>
  <si>
    <t>002943</t>
  </si>
  <si>
    <t>002960</t>
  </si>
  <si>
    <t>4-FLOW MEASURE</t>
  </si>
  <si>
    <t>4.00.35500</t>
  </si>
  <si>
    <t>001393</t>
  </si>
  <si>
    <t>001394</t>
  </si>
  <si>
    <t>001395</t>
  </si>
  <si>
    <t>001396</t>
  </si>
  <si>
    <t>001397</t>
  </si>
  <si>
    <t>001398</t>
  </si>
  <si>
    <t>001399</t>
  </si>
  <si>
    <t>001400</t>
  </si>
  <si>
    <t>001401</t>
  </si>
  <si>
    <t>001402</t>
  </si>
  <si>
    <t>001403</t>
  </si>
  <si>
    <t>001404</t>
  </si>
  <si>
    <t>001405</t>
  </si>
  <si>
    <t>001406</t>
  </si>
  <si>
    <t>001820</t>
  </si>
  <si>
    <t>001821</t>
  </si>
  <si>
    <t>001846</t>
  </si>
  <si>
    <t>001847</t>
  </si>
  <si>
    <t>001876</t>
  </si>
  <si>
    <t>001877</t>
  </si>
  <si>
    <t>001946</t>
  </si>
  <si>
    <t>002100</t>
  </si>
  <si>
    <t>002121</t>
  </si>
  <si>
    <t>002150</t>
  </si>
  <si>
    <t>002308</t>
  </si>
  <si>
    <t>002309</t>
  </si>
  <si>
    <t>002473</t>
  </si>
  <si>
    <t>002774</t>
  </si>
  <si>
    <t>002786</t>
  </si>
  <si>
    <t>002787</t>
  </si>
  <si>
    <t>002828</t>
  </si>
  <si>
    <t>002829</t>
  </si>
  <si>
    <t>002831</t>
  </si>
  <si>
    <t>002832</t>
  </si>
  <si>
    <t>002837</t>
  </si>
  <si>
    <t>002839</t>
  </si>
  <si>
    <t>002840</t>
  </si>
  <si>
    <t>002841</t>
  </si>
  <si>
    <t>002851</t>
  </si>
  <si>
    <t>002944</t>
  </si>
  <si>
    <t>003158</t>
  </si>
  <si>
    <t>003173</t>
  </si>
  <si>
    <t>003198</t>
  </si>
  <si>
    <t>003199</t>
  </si>
  <si>
    <t>4-PUMPS</t>
  </si>
  <si>
    <t>4-L/S CONT PNLS</t>
  </si>
  <si>
    <t>4.00.36301</t>
  </si>
  <si>
    <t>001407</t>
  </si>
  <si>
    <t>Portable 6 Godwin T Pump"</t>
  </si>
  <si>
    <t>4-PUMP DIESEL</t>
  </si>
  <si>
    <t>4.00.36302</t>
  </si>
  <si>
    <t>001408</t>
  </si>
  <si>
    <t>001409</t>
  </si>
  <si>
    <t>001410</t>
  </si>
  <si>
    <t>001411</t>
  </si>
  <si>
    <t>001413</t>
  </si>
  <si>
    <t>001414</t>
  </si>
  <si>
    <t>001415</t>
  </si>
  <si>
    <t>001416</t>
  </si>
  <si>
    <t>001417</t>
  </si>
  <si>
    <t>001419</t>
  </si>
  <si>
    <t>001420</t>
  </si>
  <si>
    <t>001421</t>
  </si>
  <si>
    <t>001422</t>
  </si>
  <si>
    <t>001423</t>
  </si>
  <si>
    <t>001424</t>
  </si>
  <si>
    <t>001426</t>
  </si>
  <si>
    <t>001427</t>
  </si>
  <si>
    <t>001428</t>
  </si>
  <si>
    <t>001429</t>
  </si>
  <si>
    <t>001430</t>
  </si>
  <si>
    <t>001431</t>
  </si>
  <si>
    <t>001432</t>
  </si>
  <si>
    <t>001433</t>
  </si>
  <si>
    <t>001434</t>
  </si>
  <si>
    <t>001435</t>
  </si>
  <si>
    <t>001436</t>
  </si>
  <si>
    <t>001437</t>
  </si>
  <si>
    <t>001438</t>
  </si>
  <si>
    <t>001800</t>
  </si>
  <si>
    <t>001822</t>
  </si>
  <si>
    <t>001834</t>
  </si>
  <si>
    <t>001864</t>
  </si>
  <si>
    <t>001878</t>
  </si>
  <si>
    <t>001879</t>
  </si>
  <si>
    <t>001880</t>
  </si>
  <si>
    <t>002020</t>
  </si>
  <si>
    <t>002033</t>
  </si>
  <si>
    <t>002050</t>
  </si>
  <si>
    <t>002064</t>
  </si>
  <si>
    <t>002095</t>
  </si>
  <si>
    <t>002102</t>
  </si>
  <si>
    <t>002151</t>
  </si>
  <si>
    <t>002152</t>
  </si>
  <si>
    <t>002335</t>
  </si>
  <si>
    <t>002360</t>
  </si>
  <si>
    <t>002439</t>
  </si>
  <si>
    <t>002516</t>
  </si>
  <si>
    <t>002620</t>
  </si>
  <si>
    <t>002643</t>
  </si>
  <si>
    <t>002656</t>
  </si>
  <si>
    <t>002684</t>
  </si>
  <si>
    <t>002854</t>
  </si>
  <si>
    <t>003098</t>
  </si>
  <si>
    <t>4-WORK EQUIP</t>
  </si>
  <si>
    <t>4-TOOLS</t>
  </si>
  <si>
    <t>4.00.37300</t>
  </si>
  <si>
    <t>001439</t>
  </si>
  <si>
    <t>001440</t>
  </si>
  <si>
    <t>001441</t>
  </si>
  <si>
    <t>001442</t>
  </si>
  <si>
    <t>001443</t>
  </si>
  <si>
    <t>001444</t>
  </si>
  <si>
    <t>002474</t>
  </si>
  <si>
    <t>002475</t>
  </si>
  <si>
    <t>003012</t>
  </si>
  <si>
    <t>003052</t>
  </si>
  <si>
    <t>4-OTHR T&amp;D EQ</t>
  </si>
  <si>
    <t>4.00.37600</t>
  </si>
  <si>
    <t>001445</t>
  </si>
  <si>
    <t>001448</t>
  </si>
  <si>
    <t>001449</t>
  </si>
  <si>
    <t>001456</t>
  </si>
  <si>
    <t>001458</t>
  </si>
  <si>
    <t>001459</t>
  </si>
  <si>
    <t>001460</t>
  </si>
  <si>
    <t>001462</t>
  </si>
  <si>
    <t>001463</t>
  </si>
  <si>
    <t>001464</t>
  </si>
  <si>
    <t>001468</t>
  </si>
  <si>
    <t>001470</t>
  </si>
  <si>
    <t>001471</t>
  </si>
  <si>
    <t>001473</t>
  </si>
  <si>
    <t>001477</t>
  </si>
  <si>
    <t>001479</t>
  </si>
  <si>
    <t>001481</t>
  </si>
  <si>
    <t>001482</t>
  </si>
  <si>
    <t>001483</t>
  </si>
  <si>
    <t>001484</t>
  </si>
  <si>
    <t>001485</t>
  </si>
  <si>
    <t>001486</t>
  </si>
  <si>
    <t>001774</t>
  </si>
  <si>
    <t>001790</t>
  </si>
  <si>
    <t>001795</t>
  </si>
  <si>
    <t>001813</t>
  </si>
  <si>
    <t>001882</t>
  </si>
  <si>
    <t>001899</t>
  </si>
  <si>
    <t>001939</t>
  </si>
  <si>
    <t>001971</t>
  </si>
  <si>
    <t>001977</t>
  </si>
  <si>
    <t>001981</t>
  </si>
  <si>
    <t>001986</t>
  </si>
  <si>
    <t>002005</t>
  </si>
  <si>
    <t>002083</t>
  </si>
  <si>
    <t>002114</t>
  </si>
  <si>
    <t>002117</t>
  </si>
  <si>
    <t>002135</t>
  </si>
  <si>
    <t>002140</t>
  </si>
  <si>
    <t>002145</t>
  </si>
  <si>
    <t>002148</t>
  </si>
  <si>
    <t>002153</t>
  </si>
  <si>
    <t>002154</t>
  </si>
  <si>
    <t>002157</t>
  </si>
  <si>
    <t>002158</t>
  </si>
  <si>
    <t>002159</t>
  </si>
  <si>
    <t>002206</t>
  </si>
  <si>
    <t>002211</t>
  </si>
  <si>
    <t>002216</t>
  </si>
  <si>
    <t>002233</t>
  </si>
  <si>
    <t>002417</t>
  </si>
  <si>
    <t>002567</t>
  </si>
  <si>
    <t>002622</t>
  </si>
  <si>
    <t>002632</t>
  </si>
  <si>
    <t>002636</t>
  </si>
  <si>
    <t>002641</t>
  </si>
  <si>
    <t>002672</t>
  </si>
  <si>
    <t>002701</t>
  </si>
  <si>
    <t>002739</t>
  </si>
  <si>
    <t>002758</t>
  </si>
  <si>
    <t>002783</t>
  </si>
  <si>
    <t>002822</t>
  </si>
  <si>
    <t>002824</t>
  </si>
  <si>
    <t>002923</t>
  </si>
  <si>
    <t>002935</t>
  </si>
  <si>
    <t>002970</t>
  </si>
  <si>
    <t>002978</t>
  </si>
  <si>
    <t>002991</t>
  </si>
  <si>
    <t>003002</t>
  </si>
  <si>
    <t>003022</t>
  </si>
  <si>
    <t>003033</t>
  </si>
  <si>
    <t>003038</t>
  </si>
  <si>
    <t>003077</t>
  </si>
  <si>
    <t>003094</t>
  </si>
  <si>
    <t>003107</t>
  </si>
  <si>
    <t>003118</t>
  </si>
  <si>
    <t>003124</t>
  </si>
  <si>
    <t>003136</t>
  </si>
  <si>
    <t>003141</t>
  </si>
  <si>
    <t>003144</t>
  </si>
  <si>
    <t>003146</t>
  </si>
  <si>
    <t>003148</t>
  </si>
  <si>
    <t>003150</t>
  </si>
  <si>
    <t>003152</t>
  </si>
  <si>
    <t>003154</t>
  </si>
  <si>
    <t>003170</t>
  </si>
  <si>
    <t>003193</t>
  </si>
  <si>
    <t>003194</t>
  </si>
  <si>
    <t>003602</t>
  </si>
  <si>
    <t>006603</t>
  </si>
  <si>
    <t>4-FURNITURE</t>
  </si>
  <si>
    <t>4-SOFTWARE</t>
  </si>
  <si>
    <t>4-MISC EQUIP</t>
  </si>
  <si>
    <t>4-COMPUTERS</t>
  </si>
  <si>
    <t>4-SERVER</t>
  </si>
  <si>
    <t>4.00.39100</t>
  </si>
  <si>
    <t>001487</t>
  </si>
  <si>
    <t>001493</t>
  </si>
  <si>
    <t>001502</t>
  </si>
  <si>
    <t>001503</t>
  </si>
  <si>
    <t>001504</t>
  </si>
  <si>
    <t>001505</t>
  </si>
  <si>
    <t>001506</t>
  </si>
  <si>
    <t>001507</t>
  </si>
  <si>
    <t>001509</t>
  </si>
  <si>
    <t>001510</t>
  </si>
  <si>
    <t>001511</t>
  </si>
  <si>
    <t>001513</t>
  </si>
  <si>
    <t>001514</t>
  </si>
  <si>
    <t>001515</t>
  </si>
  <si>
    <t>002088</t>
  </si>
  <si>
    <t>002165</t>
  </si>
  <si>
    <t>002166</t>
  </si>
  <si>
    <t>002167</t>
  </si>
  <si>
    <t>002168</t>
  </si>
  <si>
    <t>002169</t>
  </si>
  <si>
    <t>002170</t>
  </si>
  <si>
    <t>002171</t>
  </si>
  <si>
    <t>002172</t>
  </si>
  <si>
    <t>002173</t>
  </si>
  <si>
    <t>002174</t>
  </si>
  <si>
    <t>002177</t>
  </si>
  <si>
    <t>002238</t>
  </si>
  <si>
    <t>002239</t>
  </si>
  <si>
    <t>002240</t>
  </si>
  <si>
    <t>002252</t>
  </si>
  <si>
    <t>002361</t>
  </si>
  <si>
    <t>002374</t>
  </si>
  <si>
    <t>002382</t>
  </si>
  <si>
    <t>002401</t>
  </si>
  <si>
    <t>002468</t>
  </si>
  <si>
    <t>002500</t>
  </si>
  <si>
    <t>002571</t>
  </si>
  <si>
    <t>002583</t>
  </si>
  <si>
    <t>002685</t>
  </si>
  <si>
    <t>002717</t>
  </si>
  <si>
    <t>002898</t>
  </si>
  <si>
    <t>003208</t>
  </si>
  <si>
    <t>4-UTILITY VEHIC</t>
  </si>
  <si>
    <t>4-TRAILERS</t>
  </si>
  <si>
    <t>4-VEHICLES</t>
  </si>
  <si>
    <t>4.00.39200</t>
  </si>
  <si>
    <t>001518</t>
  </si>
  <si>
    <t>001519</t>
  </si>
  <si>
    <t>001521</t>
  </si>
  <si>
    <t>001947</t>
  </si>
  <si>
    <t>002550</t>
  </si>
  <si>
    <t>003013</t>
  </si>
  <si>
    <t>4-LAB EQUIP</t>
  </si>
  <si>
    <t>4.00.39301</t>
  </si>
  <si>
    <t>001525</t>
  </si>
  <si>
    <t>001527</t>
  </si>
  <si>
    <t>001528</t>
  </si>
  <si>
    <t>001529</t>
  </si>
  <si>
    <t>001530</t>
  </si>
  <si>
    <t>001531</t>
  </si>
  <si>
    <t>001996</t>
  </si>
  <si>
    <t>002028</t>
  </si>
  <si>
    <t>002122</t>
  </si>
  <si>
    <t>002155</t>
  </si>
  <si>
    <t>002156</t>
  </si>
  <si>
    <t>002186</t>
  </si>
  <si>
    <t>002310</t>
  </si>
  <si>
    <t>002347</t>
  </si>
  <si>
    <t>002531</t>
  </si>
  <si>
    <t>002549</t>
  </si>
  <si>
    <t>002842</t>
  </si>
  <si>
    <t>002971</t>
  </si>
  <si>
    <t>003111</t>
  </si>
  <si>
    <t>4-POWER OPER EQ</t>
  </si>
  <si>
    <t>4.00.39302</t>
  </si>
  <si>
    <t>001533</t>
  </si>
  <si>
    <t>001534</t>
  </si>
  <si>
    <t>001824</t>
  </si>
  <si>
    <t>001906</t>
  </si>
  <si>
    <t>002035</t>
  </si>
  <si>
    <t>002229</t>
  </si>
  <si>
    <t>002704</t>
  </si>
  <si>
    <t>003070</t>
  </si>
  <si>
    <t>003071</t>
  </si>
  <si>
    <t>003072</t>
  </si>
  <si>
    <t>006592</t>
  </si>
  <si>
    <t>4-GIS RECEIVER</t>
  </si>
  <si>
    <t>4-PHONE SYSTEM</t>
  </si>
  <si>
    <t>4-MISC COMM EQ</t>
  </si>
  <si>
    <t>4-SCADA</t>
  </si>
  <si>
    <t>4.00.39303</t>
  </si>
  <si>
    <t>Rate Per</t>
  </si>
  <si>
    <t>1,000 gallons</t>
  </si>
  <si>
    <t>Month</t>
  </si>
  <si>
    <t>$ Change</t>
  </si>
  <si>
    <t>% Change</t>
  </si>
  <si>
    <t>ATTACHMENT 2</t>
  </si>
  <si>
    <t>ATTACHMENT 4A</t>
  </si>
  <si>
    <t>ATTACHMENT 4B</t>
  </si>
  <si>
    <t>3 - Current-Proposed Rates</t>
  </si>
  <si>
    <t>4 - Stmt of Adj Ops</t>
  </si>
  <si>
    <t>Ref A - Income Statement</t>
  </si>
  <si>
    <t>Ref B - Depreciation</t>
  </si>
  <si>
    <t>WorksheetName</t>
  </si>
  <si>
    <t>PrintRange</t>
  </si>
  <si>
    <t>Orient</t>
  </si>
  <si>
    <t>TitlesRows</t>
  </si>
  <si>
    <t>TitleCols</t>
  </si>
  <si>
    <t>PageTall</t>
  </si>
  <si>
    <t>PageWide</t>
  </si>
  <si>
    <t>Header</t>
  </si>
  <si>
    <t>Footer</t>
  </si>
  <si>
    <t>ATTACHMENT_3</t>
  </si>
  <si>
    <t>ATTACHMENT_4</t>
  </si>
  <si>
    <t>ATTACHMENT_4A1</t>
  </si>
  <si>
    <t>ATTACHMENT_4A2</t>
  </si>
  <si>
    <t>Calculation</t>
  </si>
  <si>
    <r>
      <t xml:space="preserve">Attachment 3 - </t>
    </r>
    <r>
      <rPr>
        <sz val="10"/>
        <rFont val="Arial"/>
        <family val="2"/>
      </rPr>
      <t>Current and Proposed Rates
Hardin County Water District No. 1 - Radcliff Sewer Utility</t>
    </r>
    <r>
      <rPr>
        <sz val="10"/>
        <rFont val="Arial"/>
        <family val="2"/>
      </rPr>
      <t xml:space="preserve">
Alternative Rate Filing Application</t>
    </r>
  </si>
  <si>
    <t>Current</t>
  </si>
  <si>
    <t>Proposed</t>
  </si>
  <si>
    <t>First 2,000 Minimum</t>
  </si>
  <si>
    <r>
      <t>Attachment 4 - Statement of Adjusted Operations (SAO)</t>
    </r>
    <r>
      <rPr>
        <sz val="10"/>
        <rFont val="Arial"/>
        <family val="2"/>
      </rPr>
      <t xml:space="preserve">
Hardin County Water District No. 1 - Radcliff Sewer Utility</t>
    </r>
    <r>
      <rPr>
        <sz val="10"/>
        <rFont val="Arial"/>
        <family val="2"/>
      </rPr>
      <t xml:space="preserve">
Alternative Rate Filing Application</t>
    </r>
  </si>
  <si>
    <r>
      <t>Attachment 4a - SAO Reference A - Income Statement</t>
    </r>
    <r>
      <rPr>
        <sz val="10"/>
        <rFont val="Arial"/>
        <family val="2"/>
      </rPr>
      <t xml:space="preserve">
Hardin County Water District No. 1 - Radcliff Sewer Utility</t>
    </r>
    <r>
      <rPr>
        <sz val="10"/>
        <rFont val="Arial"/>
        <family val="2"/>
      </rPr>
      <t xml:space="preserve">
Alternative Rate Filing Application</t>
    </r>
  </si>
  <si>
    <t>Normalizing after travel delays due to Covid. Returning to travel for training, certifications and conferences. Also newer staffing.</t>
  </si>
  <si>
    <t>Required Revenue Increase Stated as a Percentage of Revenue at Present Rates</t>
  </si>
  <si>
    <t>Revised</t>
  </si>
  <si>
    <t>Normalized based on 2021 and 2022 actuals, plus Gear Box Oil, Rock, UV Ballast, UV Bulbs, Valve Replacement</t>
  </si>
  <si>
    <t>Annual savings due to no longer contracting with Paymentech, reducing credit card processing fee costs to the District. Updated Tarrif language (Non-Recurring Charges and Misc. Fees section G) is as follows: "If Payment by credit or debit card is attempted and declined, the customer's obligation to pay the billed amount on the due date remains unchanged. Credit and debit card payments are subject to a convenience fee assessed by the card processor (not the District). Prior to processing the transaction, the customer will be advised that the card processor will assess a processing fee and provided an opportunity to halt the transaction." Offset slightly by increased contractual services costs for: meter calibration, lab costs, other shared contractual services.</t>
  </si>
  <si>
    <t>5 year average of actuals + 3%</t>
  </si>
  <si>
    <t>Imputed interest on phone lease</t>
  </si>
  <si>
    <t>RefBHeader</t>
  </si>
  <si>
    <t>ATTACHMENT_4B1</t>
  </si>
  <si>
    <t>ATTACHMENT_4B2</t>
  </si>
  <si>
    <t>5 - Revenue Req (OR)</t>
  </si>
  <si>
    <t>ATTACHMENT_5</t>
  </si>
  <si>
    <t>6 - Billing Analysis (BA)</t>
  </si>
  <si>
    <t>7 - Depreciation</t>
  </si>
  <si>
    <t>ATTACHMENT_7</t>
  </si>
  <si>
    <t>A7Header</t>
  </si>
  <si>
    <t>Attachment 4b - SAO Reference B - Depreciation Adjustment
Hardin County Water District No. 1 - Radcliff Sewer Utility
Alternative Rate Filing Application</t>
  </si>
  <si>
    <t>Attachment 5 - Revenue Requirement (Operating Ratio Method)
Hardin County Water District No. 1 - Radcliff Sewer Utility
Alternative Rate Filing Application</t>
  </si>
  <si>
    <t>DEPRECIATION SCHEDULE</t>
  </si>
  <si>
    <t>Attachment 7 - Depreciation Schedule
Hardin County Water District No. 1 - Radcliff Sewer Utility
Alternative Rate Filing Application</t>
  </si>
  <si>
    <t>2 - Reasons for App</t>
  </si>
  <si>
    <t>ATTACHMENT_2</t>
  </si>
  <si>
    <t>Attachment 2 - Reasons for Application
Hardin County Water District No. 1 - Radcliff Sewer Utility
Alternative Rate Filing Application</t>
  </si>
  <si>
    <t>Increase in total Fort Knox revenue, 4.4% of which is allocated to Radcliff to offset Fort Knox related G&amp;A</t>
  </si>
  <si>
    <t>Cost of Natural Gas</t>
  </si>
  <si>
    <t>Board/Attorney Health/Dental</t>
  </si>
  <si>
    <t>Expenses</t>
  </si>
  <si>
    <t>Change</t>
  </si>
  <si>
    <t>Category</t>
  </si>
  <si>
    <t>Summary</t>
  </si>
  <si>
    <t>Rate Increase</t>
  </si>
  <si>
    <t>Rate Revenue</t>
  </si>
  <si>
    <t>Other Revenue</t>
  </si>
  <si>
    <t>Ck</t>
  </si>
  <si>
    <t>Capital R&amp;R</t>
  </si>
  <si>
    <t>Personnel</t>
  </si>
  <si>
    <t>Supplies</t>
  </si>
  <si>
    <t>Bad Debt</t>
  </si>
  <si>
    <t>Other</t>
  </si>
  <si>
    <t>Contractual</t>
  </si>
  <si>
    <t>Maintenance</t>
  </si>
  <si>
    <t>Interest</t>
  </si>
  <si>
    <t>AMI Year 4 - Installing New Plastic Meter Pit Lids to Increase Effectiveness and Reliability</t>
  </si>
  <si>
    <t>Service Center Surveillance Camera Replacement</t>
  </si>
  <si>
    <t>General Manager's Office Furniture -  (PROJECT)</t>
  </si>
  <si>
    <t>Kubota SVL75-2 HFWC Track Skid Steer and Harley Rake</t>
  </si>
  <si>
    <t>2022 TurfMaker 900 Straw Blower</t>
  </si>
  <si>
    <t>Ice Maker for Svc Ctr</t>
  </si>
  <si>
    <t>Ice Maker for Co Distribution</t>
  </si>
  <si>
    <t>AMI Year 4 - Installing New Plastic Meter Pit Lids to Increase Effectiveness and Reliability -  (PROJECT)</t>
  </si>
  <si>
    <t>VAC Truck Engine Rebuild - (PROJECT)</t>
  </si>
  <si>
    <t>Audubon L/S Pedistals Replacement - (PROJECT)</t>
  </si>
  <si>
    <t>SCADA System Upgrade/Refresh for FK Wastewater &amp; Radcliff Wastewater - (PROJECT)</t>
  </si>
  <si>
    <t>Highway 313 L/S Pump Replacement - (PROJECT)</t>
  </si>
  <si>
    <t>WIFI Access Point Replacements - (PORJECT)</t>
  </si>
  <si>
    <t>New IT Server (Replaces Poseidon Server) - (PROJECT)</t>
  </si>
  <si>
    <t>Annual Desktop Refresh - 8 Desktops &amp; 2 Laptops - (PROJECT)</t>
  </si>
  <si>
    <t>Fire Alarm Panel Replacement at Svc Ctr - (PROJECT)</t>
  </si>
  <si>
    <t>Security Fencing at Svc Ctr - (PROJECT)</t>
  </si>
  <si>
    <t>Application</t>
  </si>
  <si>
    <t>2022 Actual</t>
  </si>
  <si>
    <t>June CPI</t>
  </si>
  <si>
    <t>Adjusted per 2023 quote from Insurance Broker stating approximately 10% across-the-board premium increases</t>
  </si>
  <si>
    <t>Normalizing adjustment. Average of 2021, 2022, and 2023 (projected) average tonage multiplied by new rate.</t>
  </si>
  <si>
    <t>Volume</t>
  </si>
  <si>
    <t>Bill</t>
  </si>
  <si>
    <t>1,000 Gal</t>
  </si>
  <si>
    <t>0 to 2</t>
  </si>
  <si>
    <t>Over 15</t>
  </si>
  <si>
    <t>$</t>
  </si>
  <si>
    <t>#</t>
  </si>
  <si>
    <t>Monthly Volume</t>
  </si>
  <si>
    <t>3 to 15</t>
  </si>
  <si>
    <t>Included</t>
  </si>
  <si>
    <t>Actual YE</t>
  </si>
  <si>
    <t>Existing Rates:</t>
  </si>
  <si>
    <t>BILLING ANALYSIS - EXISTING RATES</t>
  </si>
  <si>
    <t>Adjusted</t>
  </si>
  <si>
    <t>Adjustment:</t>
  </si>
  <si>
    <t>Proposed Rates</t>
  </si>
  <si>
    <t>BILLING ANALYSIS - PROPOSED RATES</t>
  </si>
  <si>
    <t>Existing</t>
  </si>
  <si>
    <t>%</t>
  </si>
  <si>
    <t>Calculated Revenue</t>
  </si>
  <si>
    <t>Hardin County Water District Number 1 (HCWD 1) last files for increased rates for its Radcliff Sewer Utility (Radcliff) in 2013. Since that time the District has made significant investments in capital infrastructure and has experienced increases in operating costs, related to chemicals, materials and supplies and personnel. Accordingly, since 2013, operating income for Radcliff has declined. While operating income in the test year (ending 12/31/2022) was positive, known and measureable changes in operating expenses as well as additional capital investments will result in negative operating income going forward at current rate levels.
Accordingly, HCWD1 respectfully requests a 17.3% increase in the rates for its Radcliff Sewer Utility. This increase will allow Radcliff to maintain its sound financial condition and make the investments needed to maintain compliance with the federal Clean Water Act and KRS Chapter 151.</t>
  </si>
  <si>
    <t>ATTACHMENT_6A</t>
  </si>
  <si>
    <t>ATTACHMENT_6B</t>
  </si>
  <si>
    <t>ATTACHMENT_6C</t>
  </si>
  <si>
    <t>Attachment 6 - Billing Analysis - Existing Rates
Hardin County Water District No. 1 - Radcliff Sewer Utility
Alternative Rate Filing Application</t>
  </si>
  <si>
    <t>Attachment 6 - Billing Analysis - Proposed Rates
Hardin County Water District No. 1 - Radcliff Sewer Utility
Alternative Rate Filing Application</t>
  </si>
  <si>
    <t>Attachment 6 - Billing Analysis - Comparison
Hardin County Water District No. 1 - Radcliff Sewer Utility
Alternative Rate Filing Application</t>
  </si>
  <si>
    <t>HEADER_6A</t>
  </si>
  <si>
    <t>HEADER_6B</t>
  </si>
  <si>
    <t>HEADER_6C</t>
  </si>
  <si>
    <t>Personnel salaries have increased 11% from test year with proportional increases in payroll taxes. Other benefits (health, dental, life) and workers compensation insurance based on actual premiums for 2023. Radliff sewer covers 100% of Board and attorney health insurance premiums. These costs have been removed.</t>
  </si>
  <si>
    <t>From PR SS</t>
  </si>
  <si>
    <t>None needed, no shift premium</t>
  </si>
  <si>
    <t>Used Formula</t>
  </si>
  <si>
    <t>Used Formula - Usage is up in 2022</t>
  </si>
  <si>
    <t>Used Formula + $450 Replace Front Gate Sign + $2,000 Various Valve Replacements</t>
  </si>
  <si>
    <t>2022 annualized less UV Bulbs + 3% +$1,250 Gear Box Oil, $3,250 Rock, $1,800 UV Ballast, $14,000 UV Bulbs</t>
  </si>
  <si>
    <t>Used Formula + $1,250 Tool Replacement</t>
  </si>
  <si>
    <t>Used Formula + $1,400 Annual Flow Meter Calibration + $400 Annual Hoist Inspection</t>
  </si>
  <si>
    <t>Annualized 2022 + 7.2% per email from Pace 10/21/22 - Pace fee.</t>
  </si>
  <si>
    <t>Used Formula less 2022 Bobcat tires</t>
  </si>
  <si>
    <t>7% of Uniform Expense - Direct to Radcliff per Allocation for Misc Shirt, Hat orders, etc. Purchased Uniforms in 2016 for EE's.</t>
  </si>
  <si>
    <t>Used Formula + $4,200 Hach SC1000 Screen Replacement</t>
  </si>
  <si>
    <t>Used Formula less $1,500 for Deductible pymt for House backup</t>
  </si>
  <si>
    <t>Used Formula + $3,250 Rock + $12,000 Various Valve Replacement</t>
  </si>
  <si>
    <t>Used Formula (Site Mowing, Locates, DOT Physicals, Drug Screens, etc.) + $100 Annual Hoist Inspection</t>
  </si>
  <si>
    <t>Per Pipe Eyes Bid, 67,305 LF x $1.38 per Justin email 09/30/22</t>
  </si>
  <si>
    <t>Avg of 2019, 2020, 2021 &amp; 2022 annualized with adjust for one-time purchase of Vac Truck tires + 3%  + 5% + $2,500 Truck/Trailer Tires + $4,015 Vac Truck Hoses/Fittings</t>
  </si>
  <si>
    <t>Used Formula (Cell Phones)</t>
  </si>
  <si>
    <t xml:space="preserve">49% of CS Maint &amp; Repairs - Direct Allocation, </t>
  </si>
  <si>
    <t>20% of CS Mat &amp; Supplies</t>
  </si>
  <si>
    <t>49% of Bill printing, Contracted Svcs, Security Svc, etc (No longer have Paymentech Credit Card Fees)</t>
  </si>
  <si>
    <t>Done monthly per PSC direction</t>
  </si>
  <si>
    <t>Current 2022 rate plus 5% increase (2022 was an decrease from 2021 and have had more claims in 2022)</t>
  </si>
  <si>
    <t>20% of total SC utilities estimated + Phone + Water Svc. Average 2018, 2020, 2021 &amp; 2022 Annualized + 3%. 2019 incl W/O of 2009 Veolia Elect Deposit</t>
  </si>
  <si>
    <t>Misc studies, Not Budgeted for</t>
  </si>
  <si>
    <t>RHF Audit Fees + KRONOS PR Fees + KRONOS Clock Maint Fee = $250 for Misc Exp</t>
  </si>
  <si>
    <t xml:space="preserve">20% of Water Annual Expense - 13 Layers, Itron (Handhelds,Fixed Base,Mobile Collector), Jobs Plus, Remit Plus, GP/Smartconnect, Incode, Internet, etc </t>
  </si>
  <si>
    <t>20% of Water Annual Expense, Averaged 2018,2019,2020,2021 &amp; 2022 Annualized + $700 for Eng Cert/Training + $1,500 Waste Water Re-Cert &amp; new Certifications</t>
  </si>
  <si>
    <t>20% of Water Annual Expense + $200 for Eng Conferences</t>
  </si>
  <si>
    <t>Misc Ad's - $500 is for Miscell Ad's that may be needed</t>
  </si>
  <si>
    <t>Online Collections; Credit Bureau =&gt; Avg 2018, 2019, 2020, 2021 &amp; 2022 Annualized + 3.0%</t>
  </si>
  <si>
    <t xml:space="preserve">Avg 2018, 2019, 2020, 2021 &amp; 2022 Annualized + 3% </t>
  </si>
  <si>
    <t>20% of Water - Admin Supplies, Dues, Postage &amp; Misc Exp + $200 for Engineer Supplies</t>
  </si>
  <si>
    <t>49% of Water Annual Expense - Benecom, OmegaRail, CSX, Garbage, Janitorial Svc at Svc Ctr, etc  + $1,000 for Lab Study/Calibration from Chris G. Micro Lab S/S\</t>
  </si>
  <si>
    <t>Purchased Uniforms in 2016; this is for Misc purchases</t>
  </si>
  <si>
    <t>Wire Fees etc</t>
  </si>
  <si>
    <t>Philadelphia Indemnity per C&amp;H email 10/24/22 - Combined 10.5% incr compared to 2022 Actual</t>
  </si>
  <si>
    <t>Glasses, Boots, Gloves, Safety Cabinet, etc</t>
  </si>
  <si>
    <t>Part of PSC annual assesment based on 2021 Actual Revenues &amp; 2022 Annualized Revenues</t>
  </si>
  <si>
    <t>20% of Water Travel &amp; Lodging Expens  for Oper/Collect Cert School+ Alloc Co Water Dist Cert School + lodging/meals for Admin (KRWA Mgmt conf, WPC, WWT Cert, Tyler, etc)</t>
  </si>
  <si>
    <t>20% of Water Annual Expense</t>
  </si>
  <si>
    <t>Annual Lease with Gov't (RA WWTP)-Lagoon Site from Financial Op's System - per RFH Auditor (Heather), GASB 87 does not apply as $$ are immaterial</t>
  </si>
  <si>
    <t>Formula</t>
  </si>
  <si>
    <t>Per GP Projection + Cap Item List</t>
  </si>
  <si>
    <t>Shared assets with water (SC, vehicles, other) Projected from Class Allocation</t>
  </si>
  <si>
    <t>Spectrum Phone Lease Per GASB 87</t>
  </si>
  <si>
    <t>$758.36/mth for Organization Costs, Standard AJE (ends in what year?)</t>
  </si>
  <si>
    <t>Raftelis Rate Study over 5 yrs - (Est $150,000 total cost for Raftelis, $85K + Legal Fees + Internal Labor) - Amort Start Date July 2023, Ends June 2028</t>
  </si>
  <si>
    <t>KIA Debt Paid-Off 12/2018</t>
  </si>
  <si>
    <t>2002 Water VR Debt matured 09/01/22 (13% of Water Remarketing Fees, KIA Debt paid off 12/01/18.  RBC Fee decreases with each paydown of 2002 BONY debt pymt)</t>
  </si>
  <si>
    <t>2002 VR Bond Matured 09/01/22 (Allocate 13% of Water 2002 Interest)</t>
  </si>
  <si>
    <t>Commission Meals x 12 + $500 Miscell Training/Registration etc.</t>
  </si>
  <si>
    <t xml:space="preserve">From PR SS </t>
  </si>
  <si>
    <t>Calc from Bottom</t>
  </si>
  <si>
    <t>See calculations and notes in Revenue analysis SS - Assumes Rate Case fee won't be in effect until 2024</t>
  </si>
  <si>
    <t>Formula - PSC lifted COVID order in 2021</t>
  </si>
  <si>
    <t>Guess at 1 new permit.  None reported thru Sept 2022</t>
  </si>
  <si>
    <t>Billed Quarterly - Annulaized 2022 Sept YTD</t>
  </si>
  <si>
    <t>Sept 2022 Current Investment Level, Revenue Acct $ 8,080,000 @ 2.5% + CD $435,060 @ 1.985&amp; + $4,648 payback from Co Wat on Intra-Fund Loan</t>
  </si>
  <si>
    <t>Not Budgeted For</t>
  </si>
  <si>
    <t>Sale of old vehicles equip - if any, Not Budgeted For</t>
  </si>
  <si>
    <t>Scrap Sales -Estimate</t>
  </si>
  <si>
    <t>Radcliff has No Tap Fees</t>
  </si>
  <si>
    <t>Fully Expended in 2018</t>
  </si>
  <si>
    <t>Fully Expended in 2019</t>
  </si>
  <si>
    <t>Fully Expended in 2020</t>
  </si>
  <si>
    <t>New $205,000 KIA Grant</t>
  </si>
  <si>
    <t>Formula, PSC order fully lifted</t>
  </si>
  <si>
    <t>Income margin</t>
  </si>
  <si>
    <t>WA Adm</t>
  </si>
  <si>
    <t>RA Adm</t>
  </si>
  <si>
    <t>FKS Adm</t>
  </si>
  <si>
    <t>FKST Adm</t>
  </si>
  <si>
    <t>Total FKW Available to pay G&amp;A other funds - From 2022 Wage - Draft 1</t>
  </si>
  <si>
    <t>Adj A</t>
  </si>
  <si>
    <t>ADJ_A1</t>
  </si>
  <si>
    <t>ADJ_A2</t>
  </si>
  <si>
    <t>ADJ_A3</t>
  </si>
  <si>
    <t>ADJ_A4</t>
  </si>
  <si>
    <t>ADJ_A5</t>
  </si>
  <si>
    <t>ADJ_A6</t>
  </si>
  <si>
    <t>ADJ_A7</t>
  </si>
  <si>
    <t>ADJ_A8</t>
  </si>
  <si>
    <t>ADJ_A9</t>
  </si>
  <si>
    <t>ADJ_A_HEADER</t>
  </si>
  <si>
    <t>ADJUSTMENT A</t>
  </si>
  <si>
    <t>PERSONNEL COSTS</t>
  </si>
  <si>
    <t>Adjustment A - Personnel
Hardin County Water District No. 1 - Radcliff Sewer Utility
Alternative Rate Filing Application</t>
  </si>
  <si>
    <t>Adj B - P</t>
  </si>
  <si>
    <t>ADJ_B_HEADER</t>
  </si>
  <si>
    <t>ADJ_B</t>
  </si>
  <si>
    <t>Revised (BK) based on selected bid of $78.31/ton....2,356 x $78.31 = $184,498</t>
  </si>
  <si>
    <t>Adjustments B - P
Hardin County Water District No. 1 - Radcliff Sewer Utility
Alternative Rate Filing Application</t>
  </si>
  <si>
    <t>BILLING ANALYSIS</t>
  </si>
  <si>
    <t>Class: All Users</t>
  </si>
  <si>
    <t>USAGE TABLE</t>
  </si>
  <si>
    <t>Usage by Rate Increment</t>
  </si>
  <si>
    <t>(1)</t>
  </si>
  <si>
    <t>(2)</t>
  </si>
  <si>
    <t>(3)</t>
  </si>
  <si>
    <t>(4)</t>
  </si>
  <si>
    <t>(5)</t>
  </si>
  <si>
    <t>(6)</t>
  </si>
  <si>
    <t>(7)</t>
  </si>
  <si>
    <t>KGallons</t>
  </si>
  <si>
    <t>First 2,000</t>
  </si>
  <si>
    <t>Next 13,000</t>
  </si>
  <si>
    <t>Over 15,000</t>
  </si>
  <si>
    <t>First 2,000 Minimum Bill</t>
  </si>
  <si>
    <t>Totals</t>
  </si>
  <si>
    <t>REVENUE TABLE</t>
  </si>
  <si>
    <t>Revenue by Rate Increment</t>
  </si>
  <si>
    <t>ARF FORM 1 - ATTACHMENT BA-DB</t>
  </si>
  <si>
    <r>
      <t xml:space="preserve">Revenue from </t>
    </r>
    <r>
      <rPr>
        <b/>
        <u/>
        <sz val="10"/>
        <rFont val="Arial"/>
        <family val="2"/>
      </rPr>
      <t xml:space="preserve">Present </t>
    </r>
    <r>
      <rPr>
        <sz val="10"/>
        <rFont val="Arial"/>
        <family val="2"/>
      </rPr>
      <t>Rates</t>
    </r>
  </si>
  <si>
    <t>Test Period from 1-1-2022 to 12-31-2022</t>
  </si>
  <si>
    <r>
      <t xml:space="preserve">Revenue from </t>
    </r>
    <r>
      <rPr>
        <b/>
        <u/>
        <sz val="10"/>
        <rFont val="Arial"/>
        <family val="2"/>
      </rPr>
      <t xml:space="preserve">Proposed </t>
    </r>
    <r>
      <rPr>
        <sz val="10"/>
        <rFont val="Arial"/>
        <family val="2"/>
      </rPr>
      <t>Rates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</si>
</sst>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0_);_(&quot;$&quot;* \(#,##0.00\);_(&quot;$&quot;* &quot;-&quot;_);_(@_)"/>
    <numFmt numFmtId="166" formatCode="0_);\(0\)"/>
    <numFmt numFmtId="167" formatCode="_(&quot;$&quot;* #,##0_);_(&quot;$&quot;* \(#,##0\);_(&quot;$&quot;* &quot;-&quot;??_);_(@_)"/>
    <numFmt numFmtId="168" formatCode="_(&quot;$&quot;* #,##0_);_(&quot;$&quot;* \(#,##0\);_(&quot;$&quot;* &quot;-&quot;?_);_(@_)"/>
    <numFmt numFmtId="169" formatCode="_(* #,##0_);_(* \(#,##0\);_(* &quot;-&quot;??_);_(@_)"/>
    <numFmt numFmtId="170" formatCode="&quot;$&quot;#,##0"/>
    <numFmt numFmtId="171" formatCode="_(&quot;$&quot;* #,##0.0_);_(&quot;$&quot;* \(#,##0.0\);_(&quot;$&quot;* &quot;-&quot;?_);_(@_)"/>
    <numFmt numFmtId="172" formatCode="_(* #,##0.0_);_(* \(#,##0.0\);_(* &quot;-&quot;??_);_(@_)"/>
    <numFmt numFmtId="173" formatCode="&quot;$&quot;#,##0.00"/>
  </numFmts>
  <fonts count="49" x14ac:knownFonts="1">
    <font>
      <sz val="10"/>
      <name val="Arial"/>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8"/>
      <name val="Arial"/>
      <family val="2"/>
    </font>
    <font>
      <b/>
      <sz val="12"/>
      <name val="Times New Roman"/>
      <family val="1"/>
    </font>
    <font>
      <sz val="12"/>
      <name val="Times New Roman"/>
      <family val="1"/>
    </font>
    <font>
      <i/>
      <sz val="12"/>
      <name val="Times New Roman"/>
      <family val="1"/>
    </font>
    <font>
      <u/>
      <sz val="12"/>
      <name val="Times New Roman"/>
      <family val="1"/>
    </font>
    <font>
      <b/>
      <sz val="10"/>
      <name val="Arial"/>
      <family val="2"/>
    </font>
    <font>
      <sz val="10"/>
      <name val="Arial"/>
      <family val="2"/>
    </font>
    <font>
      <b/>
      <sz val="11"/>
      <color theme="1"/>
      <name val="Arial"/>
      <family val="2"/>
      <scheme val="minor"/>
    </font>
    <font>
      <sz val="11"/>
      <color rgb="FF9C6500"/>
      <name val="Arial"/>
      <family val="2"/>
      <scheme val="minor"/>
    </font>
    <font>
      <b/>
      <sz val="18"/>
      <color theme="3"/>
      <name val="Georgia"/>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
      <sz val="11"/>
      <name val="Calibri"/>
      <family val="2"/>
    </font>
    <font>
      <sz val="10"/>
      <name val="Arial"/>
      <family val="2"/>
    </font>
    <font>
      <sz val="9"/>
      <name val="Segoe UI"/>
      <family val="2"/>
    </font>
    <font>
      <sz val="10"/>
      <color indexed="0"/>
      <name val="Arial"/>
      <family val="2"/>
    </font>
    <font>
      <sz val="12"/>
      <name val="Arial"/>
      <family val="2"/>
    </font>
    <font>
      <sz val="12"/>
      <name val="Arial"/>
      <family val="2"/>
    </font>
    <font>
      <sz val="10"/>
      <name val="Arial"/>
      <family val="2"/>
    </font>
    <font>
      <i/>
      <sz val="10"/>
      <name val="Arial"/>
      <family val="2"/>
    </font>
    <font>
      <u/>
      <sz val="10"/>
      <color theme="10"/>
      <name val="Arial"/>
      <family val="2"/>
    </font>
    <font>
      <b/>
      <sz val="11"/>
      <name val="Arial"/>
      <family val="2"/>
      <scheme val="minor"/>
    </font>
    <font>
      <sz val="11"/>
      <name val="Arial"/>
      <family val="2"/>
      <scheme val="minor"/>
    </font>
    <font>
      <b/>
      <sz val="11"/>
      <color rgb="FFFF0000"/>
      <name val="Arial"/>
      <family val="2"/>
      <scheme val="minor"/>
    </font>
    <font>
      <b/>
      <u val="singleAccounting"/>
      <sz val="11"/>
      <name val="Arial"/>
      <family val="2"/>
      <scheme val="minor"/>
    </font>
    <font>
      <b/>
      <u/>
      <sz val="11"/>
      <name val="Arial"/>
      <family val="2"/>
      <scheme val="minor"/>
    </font>
    <font>
      <u/>
      <sz val="11"/>
      <name val="Arial"/>
      <family val="2"/>
      <scheme val="minor"/>
    </font>
    <font>
      <b/>
      <sz val="11"/>
      <color indexed="10"/>
      <name val="Arial"/>
      <family val="2"/>
      <scheme val="minor"/>
    </font>
    <font>
      <u val="singleAccounting"/>
      <sz val="11"/>
      <name val="Arial"/>
      <family val="2"/>
      <scheme val="minor"/>
    </font>
    <font>
      <sz val="8"/>
      <name val="Arial"/>
      <family val="2"/>
    </font>
    <font>
      <b/>
      <sz val="9"/>
      <color indexed="81"/>
      <name val="Tahoma"/>
      <family val="2"/>
    </font>
    <font>
      <sz val="9"/>
      <color indexed="81"/>
      <name val="Tahoma"/>
      <family val="2"/>
    </font>
    <font>
      <b/>
      <u/>
      <sz val="10"/>
      <name val="Arial"/>
      <family val="2"/>
    </font>
  </fonts>
  <fills count="41">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9"/>
        <bgColor indexed="9"/>
      </patternFill>
    </fill>
    <fill>
      <patternFill patternType="solid">
        <fgColor indexed="44"/>
        <bgColor indexed="9"/>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8">
    <xf numFmtId="0" fontId="0" fillId="0" borderId="0"/>
    <xf numFmtId="44" fontId="4" fillId="0" borderId="0" applyFont="0" applyFill="0" applyBorder="0" applyAlignment="0" applyProtection="0"/>
    <xf numFmtId="9" fontId="4" fillId="0" borderId="0" applyFont="0" applyFill="0" applyBorder="0" applyAlignment="0" applyProtection="0"/>
    <xf numFmtId="43" fontId="11"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1" applyNumberFormat="0" applyAlignment="0" applyProtection="0"/>
    <xf numFmtId="0" fontId="21" fillId="8" borderId="12" applyNumberFormat="0" applyAlignment="0" applyProtection="0"/>
    <xf numFmtId="0" fontId="22" fillId="8" borderId="11" applyNumberFormat="0" applyAlignment="0" applyProtection="0"/>
    <xf numFmtId="0" fontId="23" fillId="0" borderId="13" applyNumberFormat="0" applyFill="0" applyAlignment="0" applyProtection="0"/>
    <xf numFmtId="0" fontId="24" fillId="9" borderId="14"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2" fillId="0" borderId="16" applyNumberFormat="0" applyFill="0" applyAlignment="0" applyProtection="0"/>
    <xf numFmtId="0" fontId="27"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7" fillId="34" borderId="0" applyNumberFormat="0" applyBorder="0" applyAlignment="0" applyProtection="0"/>
    <xf numFmtId="0" fontId="3" fillId="0" borderId="0"/>
    <xf numFmtId="0" fontId="3" fillId="10" borderId="15" applyNumberFormat="0" applyFont="0" applyAlignment="0" applyProtection="0"/>
    <xf numFmtId="0" fontId="29" fillId="0" borderId="0"/>
    <xf numFmtId="9" fontId="4" fillId="0" borderId="0" applyFont="0" applyFill="0" applyBorder="0" applyAlignment="0" applyProtection="0"/>
    <xf numFmtId="44" fontId="4" fillId="0" borderId="0" applyFont="0" applyFill="0" applyBorder="0" applyAlignment="0" applyProtection="0"/>
    <xf numFmtId="44" fontId="30"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31" fillId="0" borderId="0"/>
    <xf numFmtId="0" fontId="33" fillId="0" borderId="0">
      <alignment vertical="top"/>
    </xf>
    <xf numFmtId="44" fontId="32" fillId="0" borderId="0" applyFont="0" applyFill="0" applyBorder="0" applyAlignment="0" applyProtection="0"/>
    <xf numFmtId="9" fontId="32" fillId="0" borderId="0" applyFont="0" applyFill="0" applyBorder="0" applyAlignment="0" applyProtection="0"/>
    <xf numFmtId="0" fontId="2" fillId="16" borderId="0" applyNumberFormat="0" applyBorder="0" applyAlignment="0" applyProtection="0"/>
    <xf numFmtId="43" fontId="32"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28" fillId="35" borderId="0" applyFont="0" applyFill="0" applyBorder="0" applyAlignment="0" applyProtection="0"/>
    <xf numFmtId="0" fontId="34" fillId="0" borderId="0">
      <alignment vertical="top"/>
    </xf>
    <xf numFmtId="7" fontId="4" fillId="0" borderId="0" applyFont="0" applyFill="0" applyBorder="0" applyAlignment="0" applyProtection="0"/>
    <xf numFmtId="0" fontId="36" fillId="0" borderId="0" applyNumberFormat="0" applyFill="0" applyBorder="0" applyAlignment="0" applyProtection="0">
      <alignment vertical="top"/>
      <protection locked="0"/>
    </xf>
    <xf numFmtId="0" fontId="28" fillId="36" borderId="0" applyFont="0" applyFill="0" applyBorder="0" applyAlignment="0" applyProtection="0"/>
    <xf numFmtId="0" fontId="4" fillId="0" borderId="0"/>
  </cellStyleXfs>
  <cellXfs count="258">
    <xf numFmtId="0" fontId="0" fillId="0" borderId="0" xfId="0"/>
    <xf numFmtId="0" fontId="7" fillId="0" borderId="0" xfId="0" applyFont="1"/>
    <xf numFmtId="42" fontId="7" fillId="0" borderId="1" xfId="2" applyNumberFormat="1" applyFont="1" applyFill="1" applyBorder="1" applyAlignment="1">
      <alignment horizontal="center"/>
    </xf>
    <xf numFmtId="164" fontId="7" fillId="0" borderId="0" xfId="2" applyNumberFormat="1" applyFont="1" applyFill="1" applyBorder="1"/>
    <xf numFmtId="42" fontId="7" fillId="0" borderId="0" xfId="2" applyNumberFormat="1" applyFont="1" applyFill="1" applyAlignment="1">
      <alignment horizontal="center"/>
    </xf>
    <xf numFmtId="42" fontId="7" fillId="0" borderId="0" xfId="2" applyNumberFormat="1" applyFont="1" applyFill="1"/>
    <xf numFmtId="164" fontId="7" fillId="0" borderId="0" xfId="2" applyNumberFormat="1" applyFont="1" applyFill="1"/>
    <xf numFmtId="42" fontId="8" fillId="0" borderId="0" xfId="2" applyNumberFormat="1" applyFont="1" applyFill="1" applyAlignment="1">
      <alignment horizontal="center"/>
    </xf>
    <xf numFmtId="0" fontId="4" fillId="0" borderId="0" xfId="0" applyFont="1"/>
    <xf numFmtId="10" fontId="7" fillId="0" borderId="0" xfId="2" applyNumberFormat="1" applyFont="1" applyFill="1" applyBorder="1"/>
    <xf numFmtId="10" fontId="7" fillId="0" borderId="0" xfId="2" applyNumberFormat="1" applyFont="1" applyFill="1" applyBorder="1" applyAlignment="1">
      <alignment horizontal="center"/>
    </xf>
    <xf numFmtId="0" fontId="7" fillId="0" borderId="1" xfId="2" applyNumberFormat="1" applyFont="1" applyFill="1" applyBorder="1" applyAlignment="1">
      <alignment horizontal="center"/>
    </xf>
    <xf numFmtId="171" fontId="7" fillId="0" borderId="1" xfId="2" applyNumberFormat="1" applyFont="1" applyFill="1" applyBorder="1" applyAlignment="1">
      <alignment horizontal="center"/>
    </xf>
    <xf numFmtId="44" fontId="7" fillId="0" borderId="1" xfId="2" applyNumberFormat="1" applyFont="1" applyFill="1" applyBorder="1" applyAlignment="1">
      <alignment horizontal="center"/>
    </xf>
    <xf numFmtId="0" fontId="4" fillId="0" borderId="0" xfId="0" applyFont="1" applyAlignment="1">
      <alignment horizontal="center"/>
    </xf>
    <xf numFmtId="42" fontId="10" fillId="0" borderId="0" xfId="62" applyNumberFormat="1" applyFont="1" applyFill="1" applyBorder="1" applyAlignment="1">
      <alignment horizontal="left"/>
    </xf>
    <xf numFmtId="42" fontId="4" fillId="0" borderId="0" xfId="62" applyNumberFormat="1" applyFont="1" applyFill="1" applyBorder="1" applyAlignment="1">
      <alignment horizontal="right"/>
    </xf>
    <xf numFmtId="39" fontId="4" fillId="0" borderId="0" xfId="62" applyNumberFormat="1" applyFont="1" applyFill="1" applyBorder="1"/>
    <xf numFmtId="42" fontId="4" fillId="0" borderId="0" xfId="62" applyNumberFormat="1" applyFont="1" applyFill="1" applyBorder="1"/>
    <xf numFmtId="42" fontId="10" fillId="0" borderId="0" xfId="62" applyNumberFormat="1" applyFont="1" applyFill="1" applyBorder="1" applyAlignment="1">
      <alignment horizontal="center"/>
    </xf>
    <xf numFmtId="42" fontId="10" fillId="0" borderId="0" xfId="62" applyNumberFormat="1" applyFont="1" applyFill="1" applyBorder="1" applyAlignment="1">
      <alignment horizontal="right"/>
    </xf>
    <xf numFmtId="0" fontId="10" fillId="0" borderId="0" xfId="62" applyFont="1" applyFill="1" applyBorder="1" applyAlignment="1">
      <alignment horizontal="right"/>
    </xf>
    <xf numFmtId="42" fontId="4" fillId="0" borderId="0" xfId="62" applyNumberFormat="1" applyFont="1" applyFill="1" applyBorder="1" applyAlignment="1">
      <alignment horizontal="left"/>
    </xf>
    <xf numFmtId="0" fontId="10" fillId="0" borderId="0" xfId="62" applyFont="1" applyFill="1" applyBorder="1" applyAlignment="1">
      <alignment horizontal="center"/>
    </xf>
    <xf numFmtId="0" fontId="4" fillId="0" borderId="0" xfId="62" applyFont="1" applyFill="1" applyBorder="1" applyAlignment="1">
      <alignment horizontal="center"/>
    </xf>
    <xf numFmtId="42" fontId="4" fillId="0" borderId="0" xfId="62" applyNumberFormat="1" applyFont="1" applyFill="1" applyBorder="1" applyAlignment="1">
      <alignment horizontal="center"/>
    </xf>
    <xf numFmtId="42" fontId="35" fillId="0" borderId="0" xfId="62" applyNumberFormat="1" applyFont="1" applyFill="1" applyBorder="1" applyAlignment="1">
      <alignment horizontal="center"/>
    </xf>
    <xf numFmtId="42" fontId="35" fillId="0" borderId="0" xfId="62" applyNumberFormat="1" applyFont="1" applyFill="1" applyBorder="1" applyAlignment="1">
      <alignment horizontal="right"/>
    </xf>
    <xf numFmtId="42" fontId="35" fillId="0" borderId="0" xfId="62" applyNumberFormat="1" applyFont="1" applyFill="1" applyBorder="1" applyAlignment="1">
      <alignment horizontal="left"/>
    </xf>
    <xf numFmtId="164" fontId="4" fillId="0" borderId="0" xfId="2" applyNumberFormat="1" applyFont="1" applyFill="1" applyBorder="1"/>
    <xf numFmtId="9" fontId="7" fillId="3" borderId="0" xfId="2" applyFont="1" applyFill="1" applyAlignment="1">
      <alignment horizontal="center"/>
    </xf>
    <xf numFmtId="9" fontId="7" fillId="3" borderId="0" xfId="67" applyNumberFormat="1" applyFont="1" applyFill="1" applyAlignment="1">
      <alignment horizontal="center"/>
    </xf>
    <xf numFmtId="0" fontId="0" fillId="0" borderId="0" xfId="0" applyAlignment="1">
      <alignment horizontal="center"/>
    </xf>
    <xf numFmtId="0" fontId="4" fillId="0" borderId="0" xfId="0" applyFont="1" applyAlignment="1">
      <alignment horizontal="center" vertical="center" wrapText="1"/>
    </xf>
    <xf numFmtId="14" fontId="10" fillId="0" borderId="0" xfId="0" applyNumberFormat="1" applyFont="1" applyAlignment="1">
      <alignment horizontal="center" vertical="center"/>
    </xf>
    <xf numFmtId="0" fontId="37" fillId="0" borderId="0" xfId="0" applyFont="1"/>
    <xf numFmtId="0" fontId="38" fillId="0" borderId="0" xfId="0" applyFont="1"/>
    <xf numFmtId="43" fontId="37" fillId="0" borderId="0" xfId="3" applyFont="1" applyAlignment="1">
      <alignment horizontal="right"/>
    </xf>
    <xf numFmtId="43" fontId="40" fillId="0" borderId="0" xfId="3" applyFont="1"/>
    <xf numFmtId="43" fontId="40" fillId="0" borderId="0" xfId="3" applyFont="1" applyAlignment="1">
      <alignment horizontal="right"/>
    </xf>
    <xf numFmtId="43" fontId="38" fillId="0" borderId="0" xfId="3" applyFont="1"/>
    <xf numFmtId="44" fontId="38" fillId="0" borderId="0" xfId="1" applyFont="1"/>
    <xf numFmtId="44" fontId="38" fillId="0" borderId="0" xfId="0" applyNumberFormat="1" applyFont="1"/>
    <xf numFmtId="164" fontId="38" fillId="0" borderId="0" xfId="2" applyNumberFormat="1" applyFont="1"/>
    <xf numFmtId="0" fontId="38" fillId="0" borderId="0" xfId="0" applyFont="1" applyAlignment="1">
      <alignment horizontal="center"/>
    </xf>
    <xf numFmtId="0" fontId="38" fillId="0" borderId="0" xfId="0" applyFont="1" applyAlignment="1">
      <alignment horizontal="left"/>
    </xf>
    <xf numFmtId="0" fontId="37" fillId="0" borderId="0" xfId="0" applyFont="1" applyAlignment="1">
      <alignment horizontal="center"/>
    </xf>
    <xf numFmtId="43" fontId="40" fillId="0" borderId="0" xfId="3" quotePrefix="1" applyFont="1" applyAlignment="1">
      <alignment horizontal="center"/>
    </xf>
    <xf numFmtId="43" fontId="40" fillId="0" borderId="0" xfId="3" applyFont="1" applyAlignment="1">
      <alignment horizontal="center"/>
    </xf>
    <xf numFmtId="0" fontId="41" fillId="0" borderId="0" xfId="0" applyFont="1" applyAlignment="1">
      <alignment horizontal="center"/>
    </xf>
    <xf numFmtId="43" fontId="42" fillId="0" borderId="0" xfId="3" applyFont="1"/>
    <xf numFmtId="43" fontId="38" fillId="0" borderId="0" xfId="3" applyFont="1" applyAlignment="1">
      <alignment horizontal="left" indent="1"/>
    </xf>
    <xf numFmtId="43" fontId="38" fillId="0" borderId="0" xfId="3" applyFont="1" applyAlignment="1">
      <alignment horizontal="left" indent="2"/>
    </xf>
    <xf numFmtId="167" fontId="38" fillId="0" borderId="0" xfId="1" applyNumberFormat="1" applyFont="1"/>
    <xf numFmtId="169" fontId="38" fillId="0" borderId="0" xfId="3" applyNumberFormat="1" applyFont="1"/>
    <xf numFmtId="169" fontId="38" fillId="0" borderId="0" xfId="3" applyNumberFormat="1" applyFont="1" applyAlignment="1">
      <alignment horizontal="center"/>
    </xf>
    <xf numFmtId="167" fontId="38" fillId="0" borderId="6" xfId="1" applyNumberFormat="1" applyFont="1" applyBorder="1"/>
    <xf numFmtId="43" fontId="37" fillId="0" borderId="0" xfId="3" applyFont="1"/>
    <xf numFmtId="167" fontId="37" fillId="0" borderId="0" xfId="1" applyNumberFormat="1" applyFont="1"/>
    <xf numFmtId="167" fontId="37" fillId="0" borderId="6" xfId="1" applyNumberFormat="1" applyFont="1" applyBorder="1"/>
    <xf numFmtId="167" fontId="38" fillId="0" borderId="0" xfId="1" applyNumberFormat="1" applyFont="1" applyBorder="1"/>
    <xf numFmtId="167" fontId="37" fillId="0" borderId="0" xfId="1" applyNumberFormat="1" applyFont="1" applyBorder="1" applyAlignment="1">
      <alignment horizontal="center"/>
    </xf>
    <xf numFmtId="167" fontId="40" fillId="0" borderId="0" xfId="1" applyNumberFormat="1" applyFont="1" applyFill="1" applyBorder="1" applyAlignment="1">
      <alignment horizontal="center"/>
    </xf>
    <xf numFmtId="43" fontId="41" fillId="0" borderId="0" xfId="3" applyFont="1"/>
    <xf numFmtId="43" fontId="37" fillId="0" borderId="0" xfId="3" applyFont="1" applyAlignment="1">
      <alignment horizontal="left"/>
    </xf>
    <xf numFmtId="44" fontId="38" fillId="0" borderId="6" xfId="1" applyFont="1" applyBorder="1"/>
    <xf numFmtId="167" fontId="38" fillId="0" borderId="0" xfId="1" applyNumberFormat="1" applyFont="1" applyFill="1" applyBorder="1"/>
    <xf numFmtId="44" fontId="38" fillId="0" borderId="0" xfId="1" applyFont="1" applyFill="1" applyBorder="1" applyAlignment="1">
      <alignment horizontal="center"/>
    </xf>
    <xf numFmtId="167" fontId="38" fillId="0" borderId="0" xfId="0" applyNumberFormat="1" applyFont="1"/>
    <xf numFmtId="169" fontId="38" fillId="0" borderId="0" xfId="3" applyNumberFormat="1" applyFont="1" applyFill="1" applyBorder="1"/>
    <xf numFmtId="43" fontId="38" fillId="0" borderId="0" xfId="3" applyFont="1" applyFill="1" applyAlignment="1">
      <alignment horizontal="left" indent="1"/>
    </xf>
    <xf numFmtId="169" fontId="38" fillId="0" borderId="0" xfId="3" applyNumberFormat="1" applyFont="1" applyFill="1"/>
    <xf numFmtId="43" fontId="37" fillId="0" borderId="0" xfId="3" applyFont="1" applyFill="1"/>
    <xf numFmtId="167" fontId="38" fillId="0" borderId="6" xfId="1" applyNumberFormat="1" applyFont="1" applyFill="1" applyBorder="1"/>
    <xf numFmtId="44" fontId="38" fillId="0" borderId="6" xfId="1" applyFont="1" applyFill="1" applyBorder="1"/>
    <xf numFmtId="167" fontId="43" fillId="0" borderId="0" xfId="1" applyNumberFormat="1" applyFont="1" applyFill="1" applyAlignment="1">
      <alignment horizontal="center"/>
    </xf>
    <xf numFmtId="44" fontId="38" fillId="0" borderId="0" xfId="1" applyFont="1" applyFill="1"/>
    <xf numFmtId="44" fontId="43" fillId="0" borderId="0" xfId="1" applyFont="1" applyFill="1" applyAlignment="1">
      <alignment horizontal="center"/>
    </xf>
    <xf numFmtId="43" fontId="41" fillId="0" borderId="0" xfId="3" applyFont="1" applyFill="1"/>
    <xf numFmtId="167" fontId="38" fillId="0" borderId="0" xfId="1" applyNumberFormat="1" applyFont="1" applyFill="1"/>
    <xf numFmtId="43" fontId="37" fillId="0" borderId="0" xfId="3" applyFont="1" applyFill="1" applyAlignment="1">
      <alignment horizontal="left"/>
    </xf>
    <xf numFmtId="0" fontId="38" fillId="0" borderId="0" xfId="0" applyFont="1" applyAlignment="1">
      <alignment horizontal="right"/>
    </xf>
    <xf numFmtId="43" fontId="38" fillId="0" borderId="0" xfId="3" applyFont="1" applyFill="1"/>
    <xf numFmtId="43" fontId="41" fillId="0" borderId="0" xfId="3" applyFont="1" applyFill="1" applyAlignment="1">
      <alignment horizontal="left"/>
    </xf>
    <xf numFmtId="44" fontId="37" fillId="0" borderId="0" xfId="1" applyFont="1" applyFill="1"/>
    <xf numFmtId="167" fontId="38" fillId="0" borderId="0" xfId="3" applyNumberFormat="1" applyFont="1" applyFill="1" applyBorder="1"/>
    <xf numFmtId="42" fontId="38" fillId="0" borderId="0" xfId="0" applyNumberFormat="1" applyFont="1"/>
    <xf numFmtId="44" fontId="38" fillId="0" borderId="0" xfId="1" applyFont="1" applyFill="1" applyBorder="1"/>
    <xf numFmtId="44" fontId="37" fillId="0" borderId="0" xfId="1" applyFont="1"/>
    <xf numFmtId="43" fontId="38" fillId="0" borderId="0" xfId="3" applyFont="1" applyAlignment="1">
      <alignment horizontal="left"/>
    </xf>
    <xf numFmtId="167" fontId="38" fillId="0" borderId="4" xfId="1" applyNumberFormat="1" applyFont="1" applyBorder="1"/>
    <xf numFmtId="44" fontId="38" fillId="0" borderId="4" xfId="1" applyFont="1" applyBorder="1"/>
    <xf numFmtId="0" fontId="38" fillId="0" borderId="0" xfId="0" applyFont="1" applyAlignment="1">
      <alignment horizontal="center" vertical="center"/>
    </xf>
    <xf numFmtId="0" fontId="38" fillId="0" borderId="0" xfId="0" applyFont="1" applyAlignment="1">
      <alignment horizontal="left" vertical="center" wrapText="1"/>
    </xf>
    <xf numFmtId="0" fontId="37" fillId="0" borderId="0" xfId="0" applyFont="1" applyAlignment="1">
      <alignment horizontal="right"/>
    </xf>
    <xf numFmtId="0" fontId="37" fillId="0" borderId="0" xfId="0" applyFont="1" applyAlignment="1">
      <alignment horizontal="center" wrapText="1"/>
    </xf>
    <xf numFmtId="43" fontId="40" fillId="0" borderId="0" xfId="3" applyFont="1" applyAlignment="1">
      <alignment horizontal="center" wrapText="1"/>
    </xf>
    <xf numFmtId="43" fontId="37" fillId="0" borderId="0" xfId="3" applyFont="1" applyBorder="1" applyAlignment="1"/>
    <xf numFmtId="0" fontId="38" fillId="0" borderId="0" xfId="0" applyFont="1" applyAlignment="1">
      <alignment horizontal="center" wrapText="1"/>
    </xf>
    <xf numFmtId="43" fontId="38" fillId="0" borderId="0" xfId="3" applyFont="1" applyAlignment="1">
      <alignment horizontal="left" vertical="center" indent="1"/>
    </xf>
    <xf numFmtId="0" fontId="38" fillId="3" borderId="0" xfId="0" applyFont="1" applyFill="1" applyAlignment="1">
      <alignment horizontal="center" vertical="center" wrapText="1"/>
    </xf>
    <xf numFmtId="167" fontId="38" fillId="0" borderId="0" xfId="1" applyNumberFormat="1" applyFont="1" applyAlignment="1">
      <alignment vertical="center"/>
    </xf>
    <xf numFmtId="1" fontId="38" fillId="0" borderId="0" xfId="0" applyNumberFormat="1" applyFont="1" applyAlignment="1">
      <alignment horizontal="center" vertical="center"/>
    </xf>
    <xf numFmtId="167" fontId="38" fillId="0" borderId="0" xfId="0" applyNumberFormat="1" applyFont="1" applyAlignment="1">
      <alignment horizontal="center"/>
    </xf>
    <xf numFmtId="0" fontId="38" fillId="3" borderId="0" xfId="0" applyFont="1" applyFill="1" applyAlignment="1">
      <alignment horizontal="center"/>
    </xf>
    <xf numFmtId="169" fontId="38" fillId="0" borderId="0" xfId="3" applyNumberFormat="1" applyFont="1" applyAlignment="1">
      <alignment vertical="center"/>
    </xf>
    <xf numFmtId="0" fontId="38" fillId="0" borderId="0" xfId="0" applyFont="1" applyAlignment="1">
      <alignment horizontal="center" vertical="center" wrapText="1"/>
    </xf>
    <xf numFmtId="167" fontId="38" fillId="0" borderId="6" xfId="1" applyNumberFormat="1" applyFont="1" applyFill="1" applyBorder="1" applyAlignment="1">
      <alignment vertical="center"/>
    </xf>
    <xf numFmtId="1" fontId="38" fillId="0" borderId="6" xfId="0" applyNumberFormat="1" applyFont="1" applyBorder="1" applyAlignment="1">
      <alignment horizontal="center" vertical="center"/>
    </xf>
    <xf numFmtId="0" fontId="38" fillId="0" borderId="6" xfId="0" applyFont="1" applyBorder="1" applyAlignment="1">
      <alignment horizontal="center"/>
    </xf>
    <xf numFmtId="1" fontId="38" fillId="0" borderId="0" xfId="0" applyNumberFormat="1" applyFont="1" applyAlignment="1">
      <alignment horizontal="center"/>
    </xf>
    <xf numFmtId="1" fontId="38" fillId="3" borderId="0" xfId="0" applyNumberFormat="1" applyFont="1" applyFill="1" applyAlignment="1">
      <alignment horizontal="center"/>
    </xf>
    <xf numFmtId="0" fontId="38" fillId="2" borderId="0" xfId="0" applyFont="1" applyFill="1" applyAlignment="1">
      <alignment horizontal="center"/>
    </xf>
    <xf numFmtId="42" fontId="37" fillId="0" borderId="0" xfId="0" applyNumberFormat="1" applyFont="1"/>
    <xf numFmtId="14" fontId="38" fillId="0" borderId="0" xfId="0" applyNumberFormat="1" applyFont="1"/>
    <xf numFmtId="0" fontId="38" fillId="0" borderId="0" xfId="0" quotePrefix="1" applyFont="1" applyAlignment="1">
      <alignment horizontal="center"/>
    </xf>
    <xf numFmtId="43" fontId="38" fillId="0" borderId="6" xfId="3" applyFont="1" applyBorder="1"/>
    <xf numFmtId="0" fontId="38" fillId="0" borderId="0" xfId="0" quotePrefix="1" applyFont="1" applyAlignment="1">
      <alignment horizontal="right"/>
    </xf>
    <xf numFmtId="43" fontId="37" fillId="0" borderId="6" xfId="3" applyFont="1" applyBorder="1"/>
    <xf numFmtId="167" fontId="37" fillId="0" borderId="0" xfId="1" applyNumberFormat="1" applyFont="1" applyBorder="1"/>
    <xf numFmtId="164" fontId="37" fillId="0" borderId="0" xfId="2" applyNumberFormat="1" applyFont="1"/>
    <xf numFmtId="0" fontId="41" fillId="0" borderId="0" xfId="0" applyFont="1"/>
    <xf numFmtId="0" fontId="37" fillId="0" borderId="0" xfId="46" applyFont="1"/>
    <xf numFmtId="0" fontId="38" fillId="0" borderId="0" xfId="46" applyFont="1"/>
    <xf numFmtId="0" fontId="37" fillId="0" borderId="0" xfId="46" applyFont="1" applyAlignment="1">
      <alignment horizontal="center"/>
    </xf>
    <xf numFmtId="42" fontId="37" fillId="0" borderId="0" xfId="46" applyNumberFormat="1" applyFont="1"/>
    <xf numFmtId="168" fontId="38" fillId="0" borderId="0" xfId="46" applyNumberFormat="1" applyFont="1"/>
    <xf numFmtId="42" fontId="38" fillId="0" borderId="0" xfId="46" applyNumberFormat="1" applyFont="1"/>
    <xf numFmtId="0" fontId="38" fillId="0" borderId="0" xfId="0" applyFont="1" applyAlignment="1">
      <alignment vertical="center"/>
    </xf>
    <xf numFmtId="14" fontId="38" fillId="0" borderId="0" xfId="0" applyNumberFormat="1" applyFont="1" applyAlignment="1">
      <alignment vertical="center"/>
    </xf>
    <xf numFmtId="173" fontId="38" fillId="0" borderId="0" xfId="0" applyNumberFormat="1" applyFont="1" applyAlignment="1">
      <alignment vertical="center"/>
    </xf>
    <xf numFmtId="167" fontId="37" fillId="0" borderId="0" xfId="49" applyNumberFormat="1" applyFont="1" applyBorder="1"/>
    <xf numFmtId="173" fontId="38" fillId="0" borderId="0" xfId="46" applyNumberFormat="1" applyFont="1"/>
    <xf numFmtId="0" fontId="37" fillId="0" borderId="17" xfId="0" applyFont="1" applyBorder="1" applyAlignment="1">
      <alignment vertical="center" wrapText="1"/>
    </xf>
    <xf numFmtId="0" fontId="37" fillId="0" borderId="17" xfId="0" applyFont="1" applyBorder="1" applyAlignment="1">
      <alignment horizontal="center" vertical="center" wrapText="1"/>
    </xf>
    <xf numFmtId="173" fontId="37" fillId="0" borderId="17" xfId="0" applyNumberFormat="1" applyFont="1" applyBorder="1" applyAlignment="1">
      <alignment horizontal="center" vertical="center" wrapText="1"/>
    </xf>
    <xf numFmtId="167" fontId="38" fillId="0" borderId="4" xfId="1" applyNumberFormat="1" applyFont="1" applyFill="1" applyBorder="1"/>
    <xf numFmtId="167" fontId="0" fillId="0" borderId="0" xfId="1" applyNumberFormat="1" applyFont="1" applyAlignment="1">
      <alignment horizontal="center"/>
    </xf>
    <xf numFmtId="0" fontId="0" fillId="0" borderId="0" xfId="0" applyAlignment="1">
      <alignment horizontal="left" indent="1"/>
    </xf>
    <xf numFmtId="167" fontId="0" fillId="0" borderId="0" xfId="0" applyNumberFormat="1"/>
    <xf numFmtId="44" fontId="0" fillId="0" borderId="0" xfId="0" applyNumberFormat="1"/>
    <xf numFmtId="167" fontId="0" fillId="0" borderId="0" xfId="0" applyNumberFormat="1" applyAlignment="1">
      <alignment horizontal="center"/>
    </xf>
    <xf numFmtId="0" fontId="0" fillId="38" borderId="0" xfId="0" applyFill="1"/>
    <xf numFmtId="167" fontId="0" fillId="38" borderId="0" xfId="1" applyNumberFormat="1" applyFont="1" applyFill="1" applyAlignment="1">
      <alignment horizontal="center"/>
    </xf>
    <xf numFmtId="167" fontId="0" fillId="38" borderId="0" xfId="0" applyNumberFormat="1" applyFill="1"/>
    <xf numFmtId="0" fontId="0" fillId="37" borderId="0" xfId="0" applyFill="1"/>
    <xf numFmtId="167" fontId="0" fillId="37" borderId="0" xfId="1" applyNumberFormat="1" applyFont="1" applyFill="1" applyAlignment="1">
      <alignment horizontal="center"/>
    </xf>
    <xf numFmtId="167" fontId="0" fillId="37" borderId="0" xfId="0" applyNumberFormat="1" applyFill="1"/>
    <xf numFmtId="167" fontId="0" fillId="38" borderId="0" xfId="0" applyNumberFormat="1" applyFill="1" applyAlignment="1">
      <alignment horizontal="center"/>
    </xf>
    <xf numFmtId="167" fontId="0" fillId="0" borderId="0" xfId="1" applyNumberFormat="1" applyFont="1" applyFill="1" applyAlignment="1">
      <alignment horizontal="center"/>
    </xf>
    <xf numFmtId="167" fontId="38" fillId="38" borderId="0" xfId="1" applyNumberFormat="1" applyFont="1" applyFill="1"/>
    <xf numFmtId="167" fontId="38" fillId="37" borderId="0" xfId="1" applyNumberFormat="1" applyFont="1" applyFill="1"/>
    <xf numFmtId="44" fontId="0" fillId="0" borderId="0" xfId="1" applyFont="1"/>
    <xf numFmtId="167" fontId="0" fillId="0" borderId="0" xfId="1" applyNumberFormat="1" applyFont="1"/>
    <xf numFmtId="0" fontId="0" fillId="0" borderId="0" xfId="0" applyAlignment="1">
      <alignment horizontal="left"/>
    </xf>
    <xf numFmtId="0" fontId="4" fillId="0" borderId="0" xfId="0" applyFont="1" applyAlignment="1">
      <alignment horizontal="left"/>
    </xf>
    <xf numFmtId="0" fontId="0" fillId="0" borderId="0" xfId="0" applyAlignment="1">
      <alignment horizontal="right"/>
    </xf>
    <xf numFmtId="0" fontId="4" fillId="0" borderId="0" xfId="0" applyFont="1" applyAlignment="1">
      <alignment horizontal="right"/>
    </xf>
    <xf numFmtId="167" fontId="4" fillId="0" borderId="0" xfId="0" applyNumberFormat="1" applyFont="1" applyAlignment="1">
      <alignment horizontal="center"/>
    </xf>
    <xf numFmtId="0" fontId="4" fillId="0" borderId="0" xfId="0" applyFont="1" applyAlignment="1">
      <alignment horizontal="left" indent="1"/>
    </xf>
    <xf numFmtId="10" fontId="0" fillId="0" borderId="0" xfId="2" applyNumberFormat="1" applyFont="1"/>
    <xf numFmtId="0" fontId="0" fillId="39" borderId="0" xfId="0" applyFill="1" applyAlignment="1">
      <alignment horizontal="center"/>
    </xf>
    <xf numFmtId="0" fontId="4" fillId="39" borderId="0" xfId="0" applyFont="1" applyFill="1" applyAlignment="1">
      <alignment horizontal="center"/>
    </xf>
    <xf numFmtId="164" fontId="38" fillId="0" borderId="0" xfId="0" applyNumberFormat="1" applyFont="1"/>
    <xf numFmtId="37" fontId="38" fillId="0" borderId="0" xfId="3" applyNumberFormat="1" applyFont="1" applyAlignment="1">
      <alignment horizontal="center"/>
    </xf>
    <xf numFmtId="3" fontId="38" fillId="0" borderId="0" xfId="0" applyNumberFormat="1" applyFont="1" applyAlignment="1">
      <alignment horizontal="center"/>
    </xf>
    <xf numFmtId="37" fontId="38" fillId="0" borderId="2" xfId="3" applyNumberFormat="1" applyFont="1" applyBorder="1" applyAlignment="1">
      <alignment horizontal="center"/>
    </xf>
    <xf numFmtId="3" fontId="38" fillId="0" borderId="2" xfId="0" applyNumberFormat="1" applyFont="1" applyBorder="1" applyAlignment="1">
      <alignment horizontal="center"/>
    </xf>
    <xf numFmtId="172" fontId="38" fillId="0" borderId="0" xfId="0" applyNumberFormat="1" applyFont="1"/>
    <xf numFmtId="43" fontId="44" fillId="0" borderId="0" xfId="3" applyFont="1" applyAlignment="1">
      <alignment horizontal="center" vertical="center"/>
    </xf>
    <xf numFmtId="16" fontId="38" fillId="0" borderId="0" xfId="0" applyNumberFormat="1" applyFont="1" applyAlignment="1">
      <alignment horizontal="center" vertical="center"/>
    </xf>
    <xf numFmtId="169" fontId="38" fillId="0" borderId="2" xfId="3" applyNumberFormat="1" applyFont="1" applyBorder="1"/>
    <xf numFmtId="43" fontId="40" fillId="0" borderId="0" xfId="3" applyFont="1" applyAlignment="1"/>
    <xf numFmtId="14" fontId="40" fillId="0" borderId="0" xfId="3" applyNumberFormat="1" applyFont="1" applyAlignment="1">
      <alignment horizontal="center" wrapText="1"/>
    </xf>
    <xf numFmtId="164" fontId="4" fillId="0" borderId="0" xfId="2" applyNumberFormat="1" applyFont="1" applyFill="1" applyBorder="1" applyAlignment="1">
      <alignment horizontal="left"/>
    </xf>
    <xf numFmtId="169" fontId="38" fillId="0" borderId="0" xfId="0" applyNumberFormat="1" applyFont="1"/>
    <xf numFmtId="169" fontId="38" fillId="0" borderId="6" xfId="0" applyNumberFormat="1" applyFont="1" applyBorder="1"/>
    <xf numFmtId="169" fontId="38" fillId="0" borderId="6" xfId="3" applyNumberFormat="1" applyFont="1" applyBorder="1"/>
    <xf numFmtId="9" fontId="38" fillId="0" borderId="0" xfId="2" applyFont="1" applyAlignment="1">
      <alignment horizontal="center"/>
    </xf>
    <xf numFmtId="43" fontId="38" fillId="0" borderId="0" xfId="0" applyNumberFormat="1" applyFont="1"/>
    <xf numFmtId="43" fontId="38" fillId="0" borderId="2" xfId="0" applyNumberFormat="1" applyFont="1" applyBorder="1"/>
    <xf numFmtId="164" fontId="38" fillId="0" borderId="2" xfId="2" applyNumberFormat="1" applyFont="1" applyBorder="1"/>
    <xf numFmtId="43" fontId="38" fillId="0" borderId="2" xfId="3" applyFont="1" applyBorder="1"/>
    <xf numFmtId="0" fontId="6" fillId="0" borderId="0" xfId="67" applyFont="1"/>
    <xf numFmtId="0" fontId="7" fillId="0" borderId="0" xfId="67" applyFont="1"/>
    <xf numFmtId="0" fontId="6" fillId="0" borderId="0" xfId="67" applyFont="1" applyAlignment="1">
      <alignment horizontal="right"/>
    </xf>
    <xf numFmtId="0" fontId="6" fillId="0" borderId="1" xfId="67" applyFont="1" applyBorder="1" applyAlignment="1">
      <alignment horizontal="center" vertical="center" wrapText="1"/>
    </xf>
    <xf numFmtId="0" fontId="6" fillId="0" borderId="0" xfId="67" applyFont="1" applyAlignment="1">
      <alignment horizontal="center" vertical="center" wrapText="1"/>
    </xf>
    <xf numFmtId="0" fontId="6" fillId="0" borderId="0" xfId="67" applyFont="1" applyAlignment="1">
      <alignment horizontal="center"/>
    </xf>
    <xf numFmtId="0" fontId="6" fillId="0" borderId="1" xfId="67" applyFont="1" applyBorder="1" applyAlignment="1">
      <alignment horizontal="center"/>
    </xf>
    <xf numFmtId="0" fontId="6" fillId="0" borderId="7" xfId="67" applyFont="1" applyBorder="1" applyAlignment="1">
      <alignment horizontal="centerContinuous" vertical="center"/>
    </xf>
    <xf numFmtId="0" fontId="6" fillId="0" borderId="5" xfId="67" applyFont="1" applyBorder="1" applyAlignment="1">
      <alignment horizontal="centerContinuous" vertical="center"/>
    </xf>
    <xf numFmtId="0" fontId="9" fillId="0" borderId="0" xfId="67" applyFont="1" applyAlignment="1">
      <alignment horizontal="left" vertical="center"/>
    </xf>
    <xf numFmtId="0" fontId="9" fillId="0" borderId="0" xfId="67" applyFont="1" applyAlignment="1">
      <alignment horizontal="center" vertical="center"/>
    </xf>
    <xf numFmtId="0" fontId="9" fillId="0" borderId="3" xfId="67" applyFont="1" applyBorder="1" applyAlignment="1">
      <alignment horizontal="center" vertical="center" wrapText="1"/>
    </xf>
    <xf numFmtId="0" fontId="8" fillId="0" borderId="1" xfId="67" applyFont="1" applyBorder="1" applyAlignment="1">
      <alignment horizontal="center" vertical="center"/>
    </xf>
    <xf numFmtId="0" fontId="8" fillId="0" borderId="1" xfId="67" applyFont="1" applyBorder="1" applyAlignment="1">
      <alignment horizontal="center" vertical="center" wrapText="1"/>
    </xf>
    <xf numFmtId="0" fontId="8" fillId="0" borderId="7" xfId="67" applyFont="1" applyBorder="1" applyAlignment="1">
      <alignment horizontal="center" vertical="center" wrapText="1"/>
    </xf>
    <xf numFmtId="0" fontId="8" fillId="0" borderId="7" xfId="67" applyFont="1" applyBorder="1" applyAlignment="1">
      <alignment horizontal="center" vertical="center"/>
    </xf>
    <xf numFmtId="0" fontId="7" fillId="0" borderId="0" xfId="67" applyFont="1" applyAlignment="1">
      <alignment horizontal="center"/>
    </xf>
    <xf numFmtId="0" fontId="7" fillId="0" borderId="0" xfId="0" applyFont="1" applyAlignment="1">
      <alignment horizontal="center"/>
    </xf>
    <xf numFmtId="42" fontId="7" fillId="0" borderId="0" xfId="67" applyNumberFormat="1" applyFont="1"/>
    <xf numFmtId="165" fontId="7" fillId="0" borderId="0" xfId="67" applyNumberFormat="1" applyFont="1" applyAlignment="1">
      <alignment horizontal="left"/>
    </xf>
    <xf numFmtId="167" fontId="7" fillId="0" borderId="0" xfId="67" applyNumberFormat="1" applyFont="1"/>
    <xf numFmtId="0" fontId="7" fillId="0" borderId="0" xfId="0" applyFont="1" applyAlignment="1">
      <alignment horizontal="right"/>
    </xf>
    <xf numFmtId="167" fontId="7" fillId="0" borderId="0" xfId="1" applyNumberFormat="1" applyFont="1" applyFill="1"/>
    <xf numFmtId="42" fontId="7" fillId="0" borderId="0" xfId="0" applyNumberFormat="1" applyFont="1"/>
    <xf numFmtId="41" fontId="7" fillId="0" borderId="0" xfId="67" applyNumberFormat="1" applyFont="1"/>
    <xf numFmtId="169" fontId="7" fillId="0" borderId="0" xfId="3" applyNumberFormat="1" applyFont="1" applyFill="1"/>
    <xf numFmtId="0" fontId="7" fillId="0" borderId="0" xfId="67" applyFont="1" applyAlignment="1">
      <alignment horizontal="right"/>
    </xf>
    <xf numFmtId="167" fontId="7" fillId="0" borderId="6" xfId="67" applyNumberFormat="1" applyFont="1" applyBorder="1"/>
    <xf numFmtId="167" fontId="32" fillId="0" borderId="0" xfId="67" applyNumberFormat="1" applyFont="1"/>
    <xf numFmtId="164" fontId="7" fillId="0" borderId="0" xfId="67" applyNumberFormat="1" applyFont="1"/>
    <xf numFmtId="8" fontId="6" fillId="0" borderId="0" xfId="67" applyNumberFormat="1" applyFont="1"/>
    <xf numFmtId="8" fontId="7" fillId="0" borderId="0" xfId="67" applyNumberFormat="1" applyFont="1"/>
    <xf numFmtId="170" fontId="6" fillId="0" borderId="0" xfId="67" applyNumberFormat="1" applyFont="1"/>
    <xf numFmtId="42" fontId="6" fillId="0" borderId="0" xfId="67" applyNumberFormat="1" applyFont="1"/>
    <xf numFmtId="6" fontId="6" fillId="0" borderId="0" xfId="67" applyNumberFormat="1" applyFont="1"/>
    <xf numFmtId="0" fontId="7" fillId="0" borderId="0" xfId="67" applyFont="1" applyAlignment="1">
      <alignment wrapText="1"/>
    </xf>
    <xf numFmtId="166" fontId="7" fillId="0" borderId="0" xfId="67" applyNumberFormat="1" applyFont="1"/>
    <xf numFmtId="0" fontId="6" fillId="0" borderId="1" xfId="67" applyFont="1" applyBorder="1" applyAlignment="1">
      <alignment horizontal="center" vertical="center"/>
    </xf>
    <xf numFmtId="165" fontId="7" fillId="0" borderId="0" xfId="67" applyNumberFormat="1" applyFont="1"/>
    <xf numFmtId="2" fontId="7" fillId="0" borderId="0" xfId="67" applyNumberFormat="1" applyFont="1"/>
    <xf numFmtId="6" fontId="7" fillId="0" borderId="0" xfId="67" applyNumberFormat="1" applyFont="1"/>
    <xf numFmtId="0" fontId="9" fillId="0" borderId="0" xfId="67" applyFont="1" applyAlignment="1">
      <alignment horizontal="center" vertical="center" wrapText="1"/>
    </xf>
    <xf numFmtId="0" fontId="8" fillId="0" borderId="0" xfId="67" applyFont="1" applyAlignment="1">
      <alignment horizontal="center" vertical="center"/>
    </xf>
    <xf numFmtId="0" fontId="8" fillId="0" borderId="0" xfId="67" applyFont="1" applyAlignment="1">
      <alignment horizontal="center" vertical="center" wrapText="1"/>
    </xf>
    <xf numFmtId="42" fontId="4" fillId="0" borderId="0" xfId="63" applyNumberFormat="1" applyFont="1" applyAlignment="1">
      <alignment horizontal="left"/>
    </xf>
    <xf numFmtId="42" fontId="4" fillId="0" borderId="0" xfId="63" applyNumberFormat="1" applyFont="1" applyAlignment="1">
      <alignment horizontal="center"/>
    </xf>
    <xf numFmtId="42" fontId="4" fillId="0" borderId="0" xfId="63" applyNumberFormat="1" applyFont="1" applyAlignment="1"/>
    <xf numFmtId="39" fontId="4" fillId="0" borderId="0" xfId="63" applyNumberFormat="1" applyFont="1" applyAlignment="1">
      <alignment horizontal="left"/>
    </xf>
    <xf numFmtId="0" fontId="10" fillId="0" borderId="0" xfId="63" applyFont="1" applyAlignment="1"/>
    <xf numFmtId="42" fontId="10" fillId="0" borderId="0" xfId="63" applyNumberFormat="1" applyFont="1" applyAlignment="1">
      <alignment horizontal="left"/>
    </xf>
    <xf numFmtId="42" fontId="35" fillId="0" borderId="0" xfId="63" applyNumberFormat="1" applyFont="1" applyAlignment="1">
      <alignment horizontal="center"/>
    </xf>
    <xf numFmtId="0" fontId="6" fillId="0" borderId="0" xfId="0" applyFont="1"/>
    <xf numFmtId="42" fontId="4" fillId="0" borderId="18" xfId="62" applyNumberFormat="1" applyFont="1" applyFill="1" applyBorder="1"/>
    <xf numFmtId="0" fontId="7" fillId="0" borderId="0" xfId="67" quotePrefix="1" applyFont="1"/>
    <xf numFmtId="42" fontId="6" fillId="40" borderId="0" xfId="67" applyNumberFormat="1" applyFont="1" applyFill="1"/>
    <xf numFmtId="14" fontId="0" fillId="0" borderId="0" xfId="0" applyNumberFormat="1"/>
    <xf numFmtId="164" fontId="0" fillId="0" borderId="0" xfId="2" applyNumberFormat="1" applyFont="1"/>
    <xf numFmtId="0" fontId="10" fillId="0" borderId="0" xfId="0" applyFont="1"/>
    <xf numFmtId="0" fontId="4" fillId="0" borderId="1" xfId="0" applyFont="1" applyBorder="1"/>
    <xf numFmtId="3" fontId="0" fillId="0" borderId="1" xfId="0" applyNumberFormat="1" applyBorder="1"/>
    <xf numFmtId="0" fontId="0" fillId="0" borderId="1" xfId="0" applyBorder="1"/>
    <xf numFmtId="0" fontId="10" fillId="0" borderId="19" xfId="0" quotePrefix="1" applyFont="1" applyBorder="1" applyAlignment="1">
      <alignment horizontal="center"/>
    </xf>
    <xf numFmtId="0" fontId="10" fillId="0" borderId="20" xfId="0" applyFont="1" applyBorder="1" applyAlignment="1">
      <alignment horizontal="center"/>
    </xf>
    <xf numFmtId="3" fontId="0" fillId="3" borderId="1" xfId="0" applyNumberFormat="1" applyFill="1" applyBorder="1"/>
    <xf numFmtId="44" fontId="0" fillId="0" borderId="1" xfId="1" applyFont="1" applyBorder="1"/>
    <xf numFmtId="167" fontId="0" fillId="0" borderId="1" xfId="0" applyNumberFormat="1" applyBorder="1"/>
    <xf numFmtId="0" fontId="38" fillId="0" borderId="0" xfId="0" applyFont="1" applyAlignment="1">
      <alignment horizontal="left" vertical="top" wrapText="1"/>
    </xf>
    <xf numFmtId="0" fontId="39" fillId="0" borderId="0" xfId="0" applyFont="1" applyAlignment="1">
      <alignment horizontal="left" vertical="top" wrapText="1"/>
    </xf>
    <xf numFmtId="0" fontId="37" fillId="0" borderId="0" xfId="0" applyFont="1" applyAlignment="1">
      <alignment horizontal="center"/>
    </xf>
    <xf numFmtId="0" fontId="38" fillId="0" borderId="0" xfId="0" applyFont="1" applyAlignment="1">
      <alignment horizontal="left" vertical="center" wrapText="1"/>
    </xf>
    <xf numFmtId="43" fontId="40" fillId="0" borderId="0" xfId="3" applyFont="1" applyBorder="1" applyAlignment="1">
      <alignment horizontal="left"/>
    </xf>
    <xf numFmtId="43" fontId="44" fillId="0" borderId="0" xfId="3" applyFont="1" applyAlignment="1">
      <alignment horizontal="center" vertical="center"/>
    </xf>
    <xf numFmtId="0" fontId="4" fillId="0" borderId="0" xfId="0" applyFont="1" applyAlignment="1">
      <alignment horizontal="center"/>
    </xf>
    <xf numFmtId="0" fontId="0" fillId="0" borderId="0" xfId="0" applyAlignment="1">
      <alignment horizontal="center"/>
    </xf>
    <xf numFmtId="0" fontId="10" fillId="0" borderId="0" xfId="0" applyFont="1" applyAlignment="1">
      <alignment horizontal="center"/>
    </xf>
  </cellXfs>
  <cellStyles count="68">
    <cellStyle name="20% - Accent1" xfId="21" builtinId="30" customBuiltin="1"/>
    <cellStyle name="20% - Accent1 2" xfId="66" xr:uid="{00000000-0005-0000-0000-000001000000}"/>
    <cellStyle name="20% - Accent2" xfId="25" builtinId="34" customBuiltin="1"/>
    <cellStyle name="20% - Accent2 2" xfId="57" xr:uid="{00000000-0005-0000-0000-000003000000}"/>
    <cellStyle name="20% - Accent2 3" xfId="62" xr:uid="{00000000-0005-0000-0000-000004000000}"/>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1" builtinId="27" customBuiltin="1"/>
    <cellStyle name="Calculation" xfId="14" builtinId="22" customBuiltin="1"/>
    <cellStyle name="Check Cell" xfId="16" builtinId="23" customBuiltin="1"/>
    <cellStyle name="Comma" xfId="3" builtinId="3"/>
    <cellStyle name="Comma 2" xfId="58" xr:uid="{00000000-0005-0000-0000-00001F000000}"/>
    <cellStyle name="Currency" xfId="1" builtinId="4"/>
    <cellStyle name="Currency 2" xfId="49" xr:uid="{00000000-0005-0000-0000-000021000000}"/>
    <cellStyle name="Currency 3" xfId="51" xr:uid="{00000000-0005-0000-0000-000022000000}"/>
    <cellStyle name="Currency 4" xfId="48" xr:uid="{00000000-0005-0000-0000-000023000000}"/>
    <cellStyle name="Currency 5" xfId="55" xr:uid="{00000000-0005-0000-0000-000024000000}"/>
    <cellStyle name="Currency 6" xfId="60" xr:uid="{00000000-0005-0000-0000-000025000000}"/>
    <cellStyle name="Currency 7" xfId="64" xr:uid="{00000000-0005-0000-0000-000026000000}"/>
    <cellStyle name="Explanatory Text" xfId="18"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2" xfId="65" xr:uid="{00000000-0005-0000-0000-00002D000000}"/>
    <cellStyle name="Input" xfId="12" builtinId="20" customBuiltin="1"/>
    <cellStyle name="Linked Cell" xfId="15" builtinId="24" customBuiltin="1"/>
    <cellStyle name="Neutral" xfId="4" builtinId="28" customBuiltin="1"/>
    <cellStyle name="Normal" xfId="0" builtinId="0"/>
    <cellStyle name="Normal 2" xfId="44" xr:uid="{00000000-0005-0000-0000-000032000000}"/>
    <cellStyle name="Normal 3" xfId="50" xr:uid="{00000000-0005-0000-0000-000033000000}"/>
    <cellStyle name="Normal 4" xfId="46" xr:uid="{00000000-0005-0000-0000-000034000000}"/>
    <cellStyle name="Normal 5" xfId="53" xr:uid="{00000000-0005-0000-0000-000035000000}"/>
    <cellStyle name="Normal 6" xfId="54" xr:uid="{00000000-0005-0000-0000-000036000000}"/>
    <cellStyle name="Normal 7" xfId="59" xr:uid="{00000000-0005-0000-0000-000037000000}"/>
    <cellStyle name="Normal 8" xfId="63" xr:uid="{00000000-0005-0000-0000-000038000000}"/>
    <cellStyle name="Normal 9" xfId="67" xr:uid="{00000000-0005-0000-0000-000039000000}"/>
    <cellStyle name="Note 2" xfId="45" xr:uid="{00000000-0005-0000-0000-00003A000000}"/>
    <cellStyle name="Output" xfId="13" builtinId="21" customBuiltin="1"/>
    <cellStyle name="Percent" xfId="2" builtinId="5"/>
    <cellStyle name="Percent 2" xfId="52" xr:uid="{00000000-0005-0000-0000-00003D000000}"/>
    <cellStyle name="Percent 3" xfId="56" xr:uid="{00000000-0005-0000-0000-00003E000000}"/>
    <cellStyle name="Percent 4" xfId="47" xr:uid="{00000000-0005-0000-0000-00003F000000}"/>
    <cellStyle name="Percent 5" xfId="61" xr:uid="{00000000-0005-0000-0000-000040000000}"/>
    <cellStyle name="Title" xfId="5" builtinId="15" customBuiltin="1"/>
    <cellStyle name="Total" xfId="19" builtinId="25" customBuiltin="1"/>
    <cellStyle name="Warning Text" xfId="17" builtinId="11" customBuiltin="1"/>
  </cellStyles>
  <dxfs count="0"/>
  <tableStyles count="0" defaultTableStyle="TableStyleMedium9" defaultPivotStyle="PivotStyleLight16"/>
  <colors>
    <mruColors>
      <color rgb="FFCCFFFF"/>
      <color rgb="FF66FFFF"/>
      <color rgb="FF4354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Monthly</a:t>
            </a:r>
            <a:r>
              <a:rPr lang="en-US" sz="2000" baseline="0"/>
              <a:t> Bill at 4,000 Gallons </a:t>
            </a:r>
            <a:endParaRPr lang="en-US" sz="2000"/>
          </a:p>
        </c:rich>
      </c:tx>
      <c:overlay val="1"/>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Average Bill</c:v>
          </c:tx>
          <c:spPr>
            <a:ln w="28575" cap="rnd">
              <a:solidFill>
                <a:schemeClr val="accent1"/>
              </a:solidFill>
              <a:round/>
            </a:ln>
            <a:effectLst/>
          </c:spPr>
          <c:marker>
            <c:symbol val="circle"/>
            <c:size val="10"/>
            <c:spPr>
              <a:solidFill>
                <a:schemeClr val="accent1"/>
              </a:solidFill>
              <a:ln w="9525">
                <a:solidFill>
                  <a:schemeClr val="accent1"/>
                </a:solidFill>
              </a:ln>
              <a:effectLst/>
            </c:spPr>
          </c:marker>
          <c:dLbls>
            <c:dLbl>
              <c:idx val="1"/>
              <c:delete val="1"/>
              <c:extLst>
                <c:ext xmlns:c15="http://schemas.microsoft.com/office/drawing/2012/chart" uri="{CE6537A1-D6FC-4f65-9D91-7224C49458BB}"/>
                <c:ext xmlns:c16="http://schemas.microsoft.com/office/drawing/2014/chart" uri="{C3380CC4-5D6E-409C-BE32-E72D297353CC}">
                  <c16:uniqueId val="{00000002-DC1D-445E-A8DA-A482953260CD}"/>
                </c:ext>
              </c:extLst>
            </c:dLbl>
            <c:dLbl>
              <c:idx val="2"/>
              <c:delete val="1"/>
              <c:extLst>
                <c:ext xmlns:c15="http://schemas.microsoft.com/office/drawing/2012/chart" uri="{CE6537A1-D6FC-4f65-9D91-7224C49458BB}"/>
                <c:ext xmlns:c16="http://schemas.microsoft.com/office/drawing/2014/chart" uri="{C3380CC4-5D6E-409C-BE32-E72D297353CC}">
                  <c16:uniqueId val="{00000003-DC1D-445E-A8DA-A482953260CD}"/>
                </c:ext>
              </c:extLst>
            </c:dLbl>
            <c:dLbl>
              <c:idx val="3"/>
              <c:delete val="1"/>
              <c:extLst>
                <c:ext xmlns:c15="http://schemas.microsoft.com/office/drawing/2012/chart" uri="{CE6537A1-D6FC-4f65-9D91-7224C49458BB}"/>
                <c:ext xmlns:c16="http://schemas.microsoft.com/office/drawing/2014/chart" uri="{C3380CC4-5D6E-409C-BE32-E72D297353CC}">
                  <c16:uniqueId val="{00000004-DC1D-445E-A8DA-A482953260CD}"/>
                </c:ext>
              </c:extLst>
            </c:dLbl>
            <c:dLbl>
              <c:idx val="4"/>
              <c:delete val="1"/>
              <c:extLst>
                <c:ext xmlns:c15="http://schemas.microsoft.com/office/drawing/2012/chart" uri="{CE6537A1-D6FC-4f65-9D91-7224C49458BB}"/>
                <c:ext xmlns:c16="http://schemas.microsoft.com/office/drawing/2014/chart" uri="{C3380CC4-5D6E-409C-BE32-E72D297353CC}">
                  <c16:uniqueId val="{00000005-DC1D-445E-A8DA-A482953260CD}"/>
                </c:ext>
              </c:extLst>
            </c:dLbl>
            <c:dLbl>
              <c:idx val="5"/>
              <c:delete val="1"/>
              <c:extLst>
                <c:ext xmlns:c15="http://schemas.microsoft.com/office/drawing/2012/chart" uri="{CE6537A1-D6FC-4f65-9D91-7224C49458BB}"/>
                <c:ext xmlns:c16="http://schemas.microsoft.com/office/drawing/2014/chart" uri="{C3380CC4-5D6E-409C-BE32-E72D297353CC}">
                  <c16:uniqueId val="{00000006-DC1D-445E-A8DA-A482953260CD}"/>
                </c:ext>
              </c:extLst>
            </c:dLbl>
            <c:dLbl>
              <c:idx val="6"/>
              <c:delete val="1"/>
              <c:extLst>
                <c:ext xmlns:c15="http://schemas.microsoft.com/office/drawing/2012/chart" uri="{CE6537A1-D6FC-4f65-9D91-7224C49458BB}"/>
                <c:ext xmlns:c16="http://schemas.microsoft.com/office/drawing/2014/chart" uri="{C3380CC4-5D6E-409C-BE32-E72D297353CC}">
                  <c16:uniqueId val="{00000007-DC1D-445E-A8DA-A482953260CD}"/>
                </c:ext>
              </c:extLst>
            </c:dLbl>
            <c:dLbl>
              <c:idx val="7"/>
              <c:delete val="1"/>
              <c:extLst>
                <c:ext xmlns:c15="http://schemas.microsoft.com/office/drawing/2012/chart" uri="{CE6537A1-D6FC-4f65-9D91-7224C49458BB}"/>
                <c:ext xmlns:c16="http://schemas.microsoft.com/office/drawing/2014/chart" uri="{C3380CC4-5D6E-409C-BE32-E72D297353CC}">
                  <c16:uniqueId val="{00000008-DC1D-445E-A8DA-A482953260CD}"/>
                </c:ext>
              </c:extLst>
            </c:dLbl>
            <c:dLbl>
              <c:idx val="8"/>
              <c:delete val="1"/>
              <c:extLst>
                <c:ext xmlns:c15="http://schemas.microsoft.com/office/drawing/2012/chart" uri="{CE6537A1-D6FC-4f65-9D91-7224C49458BB}"/>
                <c:ext xmlns:c16="http://schemas.microsoft.com/office/drawing/2014/chart" uri="{C3380CC4-5D6E-409C-BE32-E72D297353CC}">
                  <c16:uniqueId val="{00000009-DC1D-445E-A8DA-A482953260CD}"/>
                </c:ext>
              </c:extLst>
            </c:dLbl>
            <c:dLbl>
              <c:idx val="9"/>
              <c:delete val="1"/>
              <c:extLst>
                <c:ext xmlns:c15="http://schemas.microsoft.com/office/drawing/2012/chart" uri="{CE6537A1-D6FC-4f65-9D91-7224C49458BB}"/>
                <c:ext xmlns:c16="http://schemas.microsoft.com/office/drawing/2014/chart" uri="{C3380CC4-5D6E-409C-BE32-E72D297353CC}">
                  <c16:uniqueId val="{0000000A-DC1D-445E-A8DA-A482953260CD}"/>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'Presentation Materials'!$K$36:$K$46</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'Presentation Materials'!$N$36:$N$46</c:f>
              <c:numCache>
                <c:formatCode>_("$"* #,##0.00_);_("$"* \(#,##0.00\);_("$"* "-"??_);_(@_)</c:formatCode>
                <c:ptCount val="11"/>
                <c:pt idx="0">
                  <c:v>32.43</c:v>
                </c:pt>
                <c:pt idx="1">
                  <c:v>32.43</c:v>
                </c:pt>
                <c:pt idx="2">
                  <c:v>32.43</c:v>
                </c:pt>
                <c:pt idx="3">
                  <c:v>32.43</c:v>
                </c:pt>
                <c:pt idx="4">
                  <c:v>32.43</c:v>
                </c:pt>
                <c:pt idx="5">
                  <c:v>32.43</c:v>
                </c:pt>
                <c:pt idx="6">
                  <c:v>32.43</c:v>
                </c:pt>
                <c:pt idx="7">
                  <c:v>32.43</c:v>
                </c:pt>
                <c:pt idx="8">
                  <c:v>32.43</c:v>
                </c:pt>
                <c:pt idx="9">
                  <c:v>32.43</c:v>
                </c:pt>
                <c:pt idx="10">
                  <c:v>38.040000000000006</c:v>
                </c:pt>
              </c:numCache>
            </c:numRef>
          </c:val>
          <c:smooth val="0"/>
          <c:extLst>
            <c:ext xmlns:c16="http://schemas.microsoft.com/office/drawing/2014/chart" uri="{C3380CC4-5D6E-409C-BE32-E72D297353CC}">
              <c16:uniqueId val="{00000000-DC1D-445E-A8DA-A482953260CD}"/>
            </c:ext>
          </c:extLst>
        </c:ser>
        <c:ser>
          <c:idx val="1"/>
          <c:order val="1"/>
          <c:tx>
            <c:v>Average Bill w/Inflation</c:v>
          </c:tx>
          <c:spPr>
            <a:ln w="28575" cap="rnd">
              <a:solidFill>
                <a:schemeClr val="accent2"/>
              </a:solidFill>
              <a:round/>
            </a:ln>
            <a:effectLst/>
          </c:spPr>
          <c:marker>
            <c:symbol val="circle"/>
            <c:size val="10"/>
            <c:spPr>
              <a:solidFill>
                <a:schemeClr val="bg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'Presentation Materials'!$K$36:$K$46</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'Presentation Materials'!$O$36:$O$46</c:f>
              <c:numCache>
                <c:formatCode>_("$"* #,##0.00_);_("$"* \(#,##0.00\);_("$"* "-"??_);_(@_)</c:formatCode>
                <c:ptCount val="11"/>
                <c:pt idx="0">
                  <c:v>32.43</c:v>
                </c:pt>
                <c:pt idx="1">
                  <c:v>33.298373011972018</c:v>
                </c:pt>
                <c:pt idx="2">
                  <c:v>34.189998311576517</c:v>
                </c:pt>
                <c:pt idx="3">
                  <c:v>35.105498521664153</c:v>
                </c:pt>
                <c:pt idx="4">
                  <c:v>36.045512936959767</c:v>
                </c:pt>
                <c:pt idx="5">
                  <c:v>37.01069797048256</c:v>
                </c:pt>
                <c:pt idx="6">
                  <c:v>38.001727611919954</c:v>
                </c:pt>
                <c:pt idx="7">
                  <c:v>39.019293898275279</c:v>
                </c:pt>
                <c:pt idx="8">
                  <c:v>40.064107397117915</c:v>
                </c:pt>
                <c:pt idx="9">
                  <c:v>41.136897702773346</c:v>
                </c:pt>
                <c:pt idx="10">
                  <c:v>42.238413945799621</c:v>
                </c:pt>
              </c:numCache>
            </c:numRef>
          </c:val>
          <c:smooth val="0"/>
          <c:extLst>
            <c:ext xmlns:c16="http://schemas.microsoft.com/office/drawing/2014/chart" uri="{C3380CC4-5D6E-409C-BE32-E72D297353CC}">
              <c16:uniqueId val="{00000001-DC1D-445E-A8DA-A482953260CD}"/>
            </c:ext>
          </c:extLst>
        </c:ser>
        <c:dLbls>
          <c:showLegendKey val="0"/>
          <c:showVal val="0"/>
          <c:showCatName val="0"/>
          <c:showSerName val="0"/>
          <c:showPercent val="0"/>
          <c:showBubbleSize val="0"/>
        </c:dLbls>
        <c:marker val="1"/>
        <c:smooth val="0"/>
        <c:axId val="758706928"/>
        <c:axId val="758707888"/>
      </c:lineChart>
      <c:catAx>
        <c:axId val="758706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58707888"/>
        <c:crosses val="autoZero"/>
        <c:auto val="1"/>
        <c:lblAlgn val="ctr"/>
        <c:lblOffset val="100"/>
        <c:noMultiLvlLbl val="0"/>
      </c:catAx>
      <c:valAx>
        <c:axId val="758707888"/>
        <c:scaling>
          <c:orientation val="minMax"/>
        </c:scaling>
        <c:delete val="1"/>
        <c:axPos val="l"/>
        <c:numFmt formatCode="_(&quot;$&quot;* #,##0.00_);_(&quot;$&quot;* \(#,##0.00\);_(&quot;$&quot;* &quot;-&quot;??_);_(@_)" sourceLinked="1"/>
        <c:majorTickMark val="none"/>
        <c:minorTickMark val="none"/>
        <c:tickLblPos val="nextTo"/>
        <c:crossAx val="758706928"/>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title pos="t" align="ctr" overlay="0">
      <cx:tx>
        <cx:txData>
          <cx:v>Breakdown of Requested Increase (Thousands)</cx:v>
        </cx:txData>
      </cx:tx>
      <cx:txPr>
        <a:bodyPr spcFirstLastPara="1" vertOverflow="ellipsis" horzOverflow="overflow" wrap="square" lIns="0" tIns="0" rIns="0" bIns="0" anchor="ctr" anchorCtr="1"/>
        <a:lstStyle/>
        <a:p>
          <a:pPr algn="ctr" rtl="0">
            <a:defRPr sz="2000" b="1"/>
          </a:pPr>
          <a:r>
            <a:rPr lang="en-US" sz="2000" b="1" i="0" u="none" strike="noStrike" baseline="0">
              <a:solidFill>
                <a:srgbClr val="000000">
                  <a:lumMod val="65000"/>
                  <a:lumOff val="35000"/>
                </a:srgbClr>
              </a:solidFill>
              <a:latin typeface="Arial"/>
            </a:rPr>
            <a:t>Breakdown of Requested Increase (Thousands)</a:t>
          </a:r>
        </a:p>
      </cx:txPr>
    </cx:title>
    <cx:plotArea>
      <cx:plotAreaRegion>
        <cx:series layoutId="waterfall" uniqueId="{EA1DD205-1D39-4D21-A8C0-706B40A4743B}">
          <cx:spPr>
            <a:solidFill>
              <a:schemeClr val="accent1"/>
            </a:solidFill>
          </cx:spPr>
          <cx:dataPt idx="8">
            <cx:spPr>
              <a:solidFill>
                <a:srgbClr val="F7D342"/>
              </a:solidFill>
            </cx:spPr>
          </cx:dataPt>
          <cx:dataPt idx="9">
            <cx:spPr>
              <a:solidFill>
                <a:srgbClr val="02A787"/>
              </a:solidFill>
            </cx:spPr>
          </cx:dataPt>
          <cx:dataLabels>
            <cx:txPr>
              <a:bodyPr spcFirstLastPara="1" vertOverflow="ellipsis" horzOverflow="overflow" wrap="square" lIns="0" tIns="0" rIns="0" bIns="0" anchor="ctr" anchorCtr="1"/>
              <a:lstStyle/>
              <a:p>
                <a:pPr algn="ctr" rtl="0">
                  <a:defRPr sz="1200" b="1"/>
                </a:pPr>
                <a:endParaRPr lang="en-US" sz="1200" b="1" i="0" u="none" strike="noStrike" baseline="0">
                  <a:solidFill>
                    <a:srgbClr val="000000">
                      <a:lumMod val="65000"/>
                      <a:lumOff val="35000"/>
                    </a:srgbClr>
                  </a:solidFill>
                  <a:latin typeface="Arial"/>
                </a:endParaRPr>
              </a:p>
            </cx:txPr>
          </cx:dataLabels>
          <cx:dataId val="0"/>
          <cx:layoutPr>
            <cx:visibility connectorLines="1"/>
            <cx:subtotals>
              <cx:idx val="9"/>
            </cx:subtotals>
          </cx:layoutPr>
        </cx:series>
      </cx:plotAreaRegion>
      <cx:axis id="0">
        <cx:catScaling gapWidth="1"/>
        <cx:tickLabels/>
        <cx:txPr>
          <a:bodyPr spcFirstLastPara="1" vertOverflow="ellipsis" horzOverflow="overflow" wrap="square" lIns="0" tIns="0" rIns="0" bIns="0" anchor="ctr" anchorCtr="1"/>
          <a:lstStyle/>
          <a:p>
            <a:pPr algn="ctr" rtl="0">
              <a:defRPr sz="1200"/>
            </a:pPr>
            <a:endParaRPr lang="en-US" sz="1200" b="0" i="0" u="none" strike="noStrike" baseline="0">
              <a:solidFill>
                <a:srgbClr val="000000">
                  <a:lumMod val="65000"/>
                  <a:lumOff val="35000"/>
                </a:srgbClr>
              </a:solidFill>
              <a:latin typeface="Arial"/>
            </a:endParaRPr>
          </a:p>
        </cx:txPr>
      </cx:axis>
      <cx:axis id="1" hidden="1">
        <cx:valScaling/>
        <cx:units unit="thousands"/>
        <cx:tickLabels/>
      </cx:axis>
    </cx:plotArea>
  </cx:chart>
  <cx:spPr>
    <a:noFill/>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_xlchart.v1.2</cx:f>
      </cx:strDim>
      <cx:numDim type="val">
        <cx:f>_xlchart.v1.3</cx:f>
      </cx:numDim>
    </cx:data>
  </cx:chartData>
  <cx:chart>
    <cx:title pos="t" align="ctr" overlay="0">
      <cx:tx>
        <cx:rich>
          <a:bodyPr spcFirstLastPara="1" vertOverflow="ellipsis" horzOverflow="overflow" wrap="square" lIns="0" tIns="0" rIns="0" bIns="0" anchor="ctr" anchorCtr="1"/>
          <a:lstStyle/>
          <a:p>
            <a:pPr algn="ctr" rtl="0">
              <a:defRPr sz="2000" b="1"/>
            </a:pPr>
            <a:r>
              <a:rPr lang="en-US" sz="2000" b="1" i="0" u="none" strike="noStrike" baseline="0">
                <a:solidFill>
                  <a:srgbClr val="000000">
                    <a:lumMod val="65000"/>
                    <a:lumOff val="35000"/>
                  </a:srgbClr>
                </a:solidFill>
                <a:latin typeface="Arial"/>
              </a:rPr>
              <a:t>Breakdown of Requested Increase </a:t>
            </a:r>
          </a:p>
          <a:p>
            <a:pPr algn="ctr" rtl="0">
              <a:defRPr sz="2000" b="1"/>
            </a:pPr>
            <a:r>
              <a:rPr lang="en-US" sz="2000" b="1" i="0" u="none" strike="noStrike" baseline="0">
                <a:solidFill>
                  <a:srgbClr val="000000">
                    <a:lumMod val="65000"/>
                    <a:lumOff val="35000"/>
                  </a:srgbClr>
                </a:solidFill>
                <a:latin typeface="Arial"/>
              </a:rPr>
              <a:t>($/Bill - Avg. Customer)</a:t>
            </a:r>
          </a:p>
        </cx:rich>
      </cx:tx>
    </cx:title>
    <cx:plotArea>
      <cx:plotAreaRegion>
        <cx:series layoutId="waterfall" uniqueId="{88059DF8-E7EB-4674-9F06-E878E6BB118E}">
          <cx:spPr>
            <a:solidFill>
              <a:schemeClr val="accent1"/>
            </a:solidFill>
          </cx:spPr>
          <cx:dataPt idx="8">
            <cx:spPr>
              <a:solidFill>
                <a:srgbClr val="F7D342"/>
              </a:solidFill>
            </cx:spPr>
          </cx:dataPt>
          <cx:dataPt idx="9">
            <cx:spPr>
              <a:solidFill>
                <a:srgbClr val="02A787"/>
              </a:solidFill>
            </cx:spPr>
          </cx:dataPt>
          <cx:dataLabels>
            <cx:txPr>
              <a:bodyPr spcFirstLastPara="1" vertOverflow="ellipsis" horzOverflow="overflow" wrap="square" lIns="0" tIns="0" rIns="0" bIns="0" anchor="ctr" anchorCtr="1"/>
              <a:lstStyle/>
              <a:p>
                <a:pPr algn="ctr" rtl="0">
                  <a:defRPr sz="1200" b="1"/>
                </a:pPr>
                <a:endParaRPr lang="en-US" sz="1200" b="1" i="0" u="none" strike="noStrike" baseline="0">
                  <a:solidFill>
                    <a:srgbClr val="000000">
                      <a:lumMod val="65000"/>
                      <a:lumOff val="35000"/>
                    </a:srgbClr>
                  </a:solidFill>
                  <a:latin typeface="Arial"/>
                </a:endParaRPr>
              </a:p>
            </cx:txPr>
            <cx:dataLabel idx="0">
              <cx:txPr>
                <a:bodyPr spcFirstLastPara="1" vertOverflow="ellipsis" horzOverflow="overflow" wrap="square" lIns="0" tIns="0" rIns="0" bIns="0" anchor="ctr" anchorCtr="1"/>
                <a:lstStyle/>
                <a:p>
                  <a:pPr algn="ctr" rtl="0">
                    <a:defRPr/>
                  </a:pPr>
                  <a:r>
                    <a:rPr lang="en-US" sz="1200" b="1" i="0" u="none" strike="noStrike" baseline="0">
                      <a:solidFill>
                        <a:srgbClr val="000000">
                          <a:lumMod val="65000"/>
                          <a:lumOff val="35000"/>
                        </a:srgbClr>
                      </a:solidFill>
                      <a:latin typeface="Arial"/>
                    </a:rPr>
                    <a:t> $0.07 </a:t>
                  </a:r>
                </a:p>
              </cx:txPr>
            </cx:dataLabel>
          </cx:dataLabels>
          <cx:dataId val="0"/>
          <cx:layoutPr>
            <cx:subtotals>
              <cx:idx val="9"/>
            </cx:subtotals>
          </cx:layoutPr>
        </cx:series>
      </cx:plotAreaRegion>
      <cx:axis id="0">
        <cx:catScaling gapWidth="1"/>
        <cx:tickLabels/>
        <cx:txPr>
          <a:bodyPr spcFirstLastPara="1" vertOverflow="ellipsis" horzOverflow="overflow" wrap="square" lIns="0" tIns="0" rIns="0" bIns="0" anchor="ctr" anchorCtr="1"/>
          <a:lstStyle/>
          <a:p>
            <a:pPr algn="ctr" rtl="0">
              <a:defRPr sz="1200"/>
            </a:pPr>
            <a:endParaRPr lang="en-US" sz="1200" b="0" i="0" u="none" strike="noStrike" baseline="0">
              <a:solidFill>
                <a:srgbClr val="000000">
                  <a:lumMod val="65000"/>
                  <a:lumOff val="35000"/>
                </a:srgbClr>
              </a:solidFill>
              <a:latin typeface="Arial"/>
            </a:endParaRPr>
          </a:p>
        </cx:txPr>
      </cx:axis>
      <cx:axis id="1" hidden="1">
        <cx:valScaling/>
        <cx:tickLabels/>
      </cx:axis>
    </cx:plotArea>
  </cx:chart>
  <cx:spPr>
    <a:noFill/>
    <a:ln>
      <a:noFill/>
    </a:ln>
  </cx:spPr>
  <cx:clrMapOvr bg1="lt1" tx1="dk1" bg2="lt2" tx2="dk2" accent1="accent1" accent2="accent2" accent3="accent3" accent4="accent4" accent5="accent5" accent6="accent6" hlink="hlink" folHlink="folHlink"/>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microsoft.com/office/2014/relationships/chartEx" Target="../charts/chartEx2.xml"/><Relationship Id="rId1" Type="http://schemas.microsoft.com/office/2014/relationships/chartEx" Target="../charts/chartEx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14</xdr:col>
      <xdr:colOff>139467</xdr:colOff>
      <xdr:row>1</xdr:row>
      <xdr:rowOff>88489</xdr:rowOff>
    </xdr:from>
    <xdr:to>
      <xdr:col>23</xdr:col>
      <xdr:colOff>1238</xdr:colOff>
      <xdr:row>30</xdr:row>
      <xdr:rowOff>68765</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829D22FB-51D9-1194-F5BE-D6FC951D86D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6128767" y="247239"/>
              <a:ext cx="7126171" cy="4584026"/>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editAs="absolute">
    <xdr:from>
      <xdr:col>24</xdr:col>
      <xdr:colOff>0</xdr:colOff>
      <xdr:row>2</xdr:row>
      <xdr:rowOff>44223</xdr:rowOff>
    </xdr:from>
    <xdr:to>
      <xdr:col>35</xdr:col>
      <xdr:colOff>188342</xdr:colOff>
      <xdr:row>31</xdr:row>
      <xdr:rowOff>24498</xdr:rowOff>
    </xdr:to>
    <mc:AlternateContent xmlns:mc="http://schemas.openxmlformats.org/markup-compatibility/2006">
      <mc:Choice xmlns:cx1="http://schemas.microsoft.com/office/drawing/2015/9/8/chartex" Requires="cx1">
        <xdr:graphicFrame macro="">
          <xdr:nvGraphicFramePr>
            <xdr:cNvPr id="7" name="Chart 6">
              <a:extLst>
                <a:ext uri="{FF2B5EF4-FFF2-40B4-BE49-F238E27FC236}">
                  <a16:creationId xmlns:a16="http://schemas.microsoft.com/office/drawing/2014/main" id="{E12A9143-891A-4DE7-BF96-1C23648AACC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23863300" y="361723"/>
              <a:ext cx="6893942" cy="4584025"/>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15</xdr:col>
      <xdr:colOff>1292677</xdr:colOff>
      <xdr:row>33</xdr:row>
      <xdr:rowOff>2719</xdr:rowOff>
    </xdr:from>
    <xdr:to>
      <xdr:col>31</xdr:col>
      <xdr:colOff>176893</xdr:colOff>
      <xdr:row>58</xdr:row>
      <xdr:rowOff>122464</xdr:rowOff>
    </xdr:to>
    <xdr:graphicFrame macro="">
      <xdr:nvGraphicFramePr>
        <xdr:cNvPr id="3" name="Chart 2">
          <a:extLst>
            <a:ext uri="{FF2B5EF4-FFF2-40B4-BE49-F238E27FC236}">
              <a16:creationId xmlns:a16="http://schemas.microsoft.com/office/drawing/2014/main" id="{1F86231F-834D-159A-981E-E08CB2A705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309282</xdr:colOff>
      <xdr:row>2</xdr:row>
      <xdr:rowOff>432547</xdr:rowOff>
    </xdr:to>
    <xdr:pic macro="[0]!Print_Tables">
      <xdr:nvPicPr>
        <xdr:cNvPr id="3" name="Graphic 2" descr="Photocopier with solid fill">
          <a:extLst>
            <a:ext uri="{FF2B5EF4-FFF2-40B4-BE49-F238E27FC236}">
              <a16:creationId xmlns:a16="http://schemas.microsoft.com/office/drawing/2014/main" id="{8CA8D401-CAA2-D005-0AE5-B228274113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212235" y="156882"/>
          <a:ext cx="914400" cy="914400"/>
        </a:xfrm>
        <a:prstGeom prst="rect">
          <a:avLst/>
        </a:prstGeom>
      </xdr:spPr>
    </xdr:pic>
    <xdr:clientData/>
  </xdr:twoCellAnchor>
</xdr:wsDr>
</file>

<file path=xl/theme/theme1.xml><?xml version="1.0" encoding="utf-8"?>
<a:theme xmlns:a="http://schemas.openxmlformats.org/drawingml/2006/main" name="Raftelis-2020-PPT-v3">
  <a:themeElements>
    <a:clrScheme name="Raftelis-2020-PPT-v3">
      <a:dk1>
        <a:srgbClr val="000000"/>
      </a:dk1>
      <a:lt1>
        <a:srgbClr val="F0F0F0"/>
      </a:lt1>
      <a:dk2>
        <a:srgbClr val="023B40"/>
      </a:dk2>
      <a:lt2>
        <a:srgbClr val="FEFFFF"/>
      </a:lt2>
      <a:accent1>
        <a:srgbClr val="3DCCD5"/>
      </a:accent1>
      <a:accent2>
        <a:srgbClr val="02A787"/>
      </a:accent2>
      <a:accent3>
        <a:srgbClr val="8ACEAF"/>
      </a:accent3>
      <a:accent4>
        <a:srgbClr val="F1564B"/>
      </a:accent4>
      <a:accent5>
        <a:srgbClr val="F7D342"/>
      </a:accent5>
      <a:accent6>
        <a:srgbClr val="6D8076"/>
      </a:accent6>
      <a:hlink>
        <a:srgbClr val="3DCCD5"/>
      </a:hlink>
      <a:folHlink>
        <a:srgbClr val="24A1A8"/>
      </a:folHlink>
    </a:clrScheme>
    <a:fontScheme name="Raftelis Fonts">
      <a:majorFont>
        <a:latin typeface="Georgia"/>
        <a:ea typeface=""/>
        <a:cs typeface=""/>
      </a:majorFont>
      <a:minorFont>
        <a:latin typeface="Arial"/>
        <a:ea typeface=""/>
        <a:cs typeface=""/>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2"/>
        </a:solidFill>
        <a:ln>
          <a:noFill/>
        </a:ln>
        <a:effectLst>
          <a:outerShdw blurRad="38100" dist="12700" dir="5400000" algn="ctr" rotWithShape="0">
            <a:prstClr val="black">
              <a:alpha val="15000"/>
            </a:prstClr>
          </a:outerShdw>
        </a:effectLst>
      </a:spPr>
      <a:bodyPr wrap="square" lIns="0" tIns="0" rIns="0" bIns="0" rtlCol="0" anchor="t">
        <a:noAutofit/>
      </a:bodyPr>
      <a:lstStyle>
        <a:defPPr algn="ctr">
          <a:spcBef>
            <a:spcPts val="1000"/>
          </a:spcBef>
          <a:defRPr sz="1400" b="1" dirty="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lIns="0" tIns="36000" rIns="216000" bIns="36000" rtlCol="0">
        <a:spAutoFit/>
      </a:bodyPr>
      <a:lstStyle>
        <a:defPPr algn="l">
          <a:lnSpc>
            <a:spcPct val="130000"/>
          </a:lnSpc>
          <a:spcBef>
            <a:spcPts val="1000"/>
          </a:spcBef>
          <a:defRPr dirty="0"/>
        </a:defPPr>
      </a:lstStyle>
    </a:txDef>
  </a:objectDefaults>
  <a:extraClrSchemeLst/>
  <a:extLst>
    <a:ext uri="{05A4C25C-085E-4340-85A3-A5531E510DB2}">
      <thm15:themeFamily xmlns:thm15="http://schemas.microsoft.com/office/thememl/2012/main" name="Raftelis-2020-PPT-v3" id="{0CF0FCE5-96E2-46A4-BA02-8AA9021A650A}" vid="{EC7AF960-D8E2-49D9-BEE7-F1CCBF8CDD63}"/>
    </a:ext>
  </a:extLst>
</a:theme>
</file>

<file path=xl/theme/themeOverride1.xml><?xml version="1.0" encoding="utf-8"?>
<a:themeOverride xmlns:a="http://schemas.openxmlformats.org/drawingml/2006/main">
  <a:clrScheme name="Raftelis-2020-PPT-v3">
    <a:dk1>
      <a:srgbClr val="000000"/>
    </a:dk1>
    <a:lt1>
      <a:srgbClr val="F0F0F0"/>
    </a:lt1>
    <a:dk2>
      <a:srgbClr val="023B40"/>
    </a:dk2>
    <a:lt2>
      <a:srgbClr val="FEFFFF"/>
    </a:lt2>
    <a:accent1>
      <a:srgbClr val="3DCCD5"/>
    </a:accent1>
    <a:accent2>
      <a:srgbClr val="02A787"/>
    </a:accent2>
    <a:accent3>
      <a:srgbClr val="8ACEAF"/>
    </a:accent3>
    <a:accent4>
      <a:srgbClr val="F1564B"/>
    </a:accent4>
    <a:accent5>
      <a:srgbClr val="F7D342"/>
    </a:accent5>
    <a:accent6>
      <a:srgbClr val="6D8076"/>
    </a:accent6>
    <a:hlink>
      <a:srgbClr val="3DCCD5"/>
    </a:hlink>
    <a:folHlink>
      <a:srgbClr val="24A1A8"/>
    </a:folHlink>
  </a:clrScheme>
  <a:fontScheme name="Raftelis Fonts">
    <a:majorFont>
      <a:latin typeface="Georgia"/>
      <a:ea typeface=""/>
      <a:cs typeface=""/>
    </a:majorFont>
    <a:minorFont>
      <a:latin typeface="Arial"/>
      <a:ea typeface=""/>
      <a:cs typeface=""/>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E9817-D672-47F3-8D9F-AA7124175A96}">
  <sheetPr codeName="Sheet1">
    <tabColor theme="1"/>
  </sheetPr>
  <dimension ref="B2:O53"/>
  <sheetViews>
    <sheetView showGridLines="0" zoomScale="70" zoomScaleNormal="70" workbookViewId="0">
      <selection activeCell="G24" sqref="G24"/>
    </sheetView>
  </sheetViews>
  <sheetFormatPr defaultRowHeight="12.5" x14ac:dyDescent="0.25"/>
  <cols>
    <col min="1" max="1" width="4.54296875" customWidth="1"/>
    <col min="2" max="2" width="37.54296875" bestFit="1" customWidth="1"/>
    <col min="3" max="4" width="14.1796875" style="32" customWidth="1"/>
    <col min="5" max="7" width="14.1796875" customWidth="1"/>
    <col min="8" max="8" width="17.7265625" bestFit="1" customWidth="1"/>
    <col min="11" max="16" width="20.1796875" customWidth="1"/>
    <col min="17" max="17" width="11.26953125" bestFit="1" customWidth="1"/>
  </cols>
  <sheetData>
    <row r="2" spans="2:13" x14ac:dyDescent="0.25">
      <c r="H2" s="32" t="s">
        <v>1726</v>
      </c>
    </row>
    <row r="3" spans="2:13" x14ac:dyDescent="0.25">
      <c r="C3" s="32" t="s">
        <v>0</v>
      </c>
      <c r="D3" s="32" t="s">
        <v>959</v>
      </c>
      <c r="E3" s="32" t="s">
        <v>1724</v>
      </c>
      <c r="F3" s="32" t="s">
        <v>1730</v>
      </c>
      <c r="G3" s="32" t="s">
        <v>1730</v>
      </c>
      <c r="H3" s="32" t="s">
        <v>1725</v>
      </c>
      <c r="K3" s="154" t="s">
        <v>1732</v>
      </c>
      <c r="L3" s="153">
        <f>+SUMIFS($E$3:$E$52,$H$3:$H$52,$K3)</f>
        <v>258800.49773287034</v>
      </c>
      <c r="M3" s="152">
        <f>+$M$12*(L3/$L$12)</f>
        <v>6.8923371085576696E-2</v>
      </c>
    </row>
    <row r="4" spans="2:13" x14ac:dyDescent="0.25">
      <c r="B4" s="142" t="s">
        <v>222</v>
      </c>
      <c r="C4" s="143">
        <f>+'Ref A - Income Statement'!D23</f>
        <v>247837.99000000002</v>
      </c>
      <c r="D4" s="143">
        <f>+'Ref A - Income Statement'!G23</f>
        <v>253312.82678523619</v>
      </c>
      <c r="E4" s="144">
        <f>+D4-C4</f>
        <v>5474.8367852361698</v>
      </c>
      <c r="F4" s="139">
        <f>+C4-'Ref A - Income Statement'!D23</f>
        <v>0</v>
      </c>
      <c r="G4" s="139">
        <f>+D4-'Ref A - Income Statement'!G23</f>
        <v>0</v>
      </c>
      <c r="H4" s="32" t="s">
        <v>1732</v>
      </c>
      <c r="K4" s="155" t="s">
        <v>1737</v>
      </c>
      <c r="L4" s="153">
        <f t="shared" ref="L4:L12" si="0">+SUMIFS($E$3:$E$52,$H$3:$H$52,$K4)</f>
        <v>24748.899999999994</v>
      </c>
      <c r="M4" s="152">
        <f t="shared" ref="M4:M11" si="1">+$M$12*(L4/$L$12)</f>
        <v>6.5910909507620203E-3</v>
      </c>
    </row>
    <row r="5" spans="2:13" x14ac:dyDescent="0.25">
      <c r="B5" s="142" t="s">
        <v>2</v>
      </c>
      <c r="C5" s="143">
        <f>+'Ref A - Income Statement'!D24</f>
        <v>537164.75</v>
      </c>
      <c r="D5" s="143">
        <f>+'Ref A - Income Statement'!G24</f>
        <v>677702.2439407265</v>
      </c>
      <c r="E5" s="144">
        <f t="shared" ref="E5:E36" si="2">+D5-C5</f>
        <v>140537.4939407265</v>
      </c>
      <c r="F5" s="139">
        <f>+C5-'Ref A - Income Statement'!D24</f>
        <v>0</v>
      </c>
      <c r="G5" s="139">
        <f>+D5-'Ref A - Income Statement'!G24</f>
        <v>0</v>
      </c>
      <c r="H5" s="32" t="s">
        <v>1732</v>
      </c>
      <c r="K5" s="155" t="s">
        <v>1733</v>
      </c>
      <c r="L5" s="153">
        <f>+SUMIFS($E$3:$E$52,$H$3:$H$52,$K5)</f>
        <v>95200.299999999988</v>
      </c>
      <c r="M5" s="152">
        <f t="shared" si="1"/>
        <v>2.5353605042641478E-2</v>
      </c>
    </row>
    <row r="6" spans="2:13" x14ac:dyDescent="0.25">
      <c r="B6" s="142" t="s">
        <v>3</v>
      </c>
      <c r="C6" s="143">
        <f>+'Ref A - Income Statement'!D25</f>
        <v>195854.56</v>
      </c>
      <c r="D6" s="143">
        <f>+'Ref A - Income Statement'!G25</f>
        <v>230379.88841476335</v>
      </c>
      <c r="E6" s="144">
        <f t="shared" si="2"/>
        <v>34525.328414763353</v>
      </c>
      <c r="F6" s="139">
        <f>+C6-'Ref A - Income Statement'!D25</f>
        <v>0</v>
      </c>
      <c r="G6" s="139">
        <f>+D6-'Ref A - Income Statement'!G25</f>
        <v>0</v>
      </c>
      <c r="H6" s="32" t="s">
        <v>1732</v>
      </c>
      <c r="K6" s="154" t="s">
        <v>19</v>
      </c>
      <c r="L6" s="153">
        <f t="shared" si="0"/>
        <v>12410.282099999953</v>
      </c>
      <c r="M6" s="152">
        <f t="shared" si="1"/>
        <v>3.3050882279904801E-3</v>
      </c>
    </row>
    <row r="7" spans="2:13" x14ac:dyDescent="0.25">
      <c r="B7" s="142" t="s">
        <v>158</v>
      </c>
      <c r="C7" s="143">
        <f>+'Ref A - Income Statement'!D26</f>
        <v>62274.529999999992</v>
      </c>
      <c r="D7" s="143">
        <f>+'Ref A - Income Statement'!G26</f>
        <v>70673.679377778724</v>
      </c>
      <c r="E7" s="144">
        <f t="shared" si="2"/>
        <v>8399.1493777787327</v>
      </c>
      <c r="F7" s="139">
        <f>+C7-'Ref A - Income Statement'!D26</f>
        <v>0</v>
      </c>
      <c r="G7" s="139">
        <f>+D7-'Ref A - Income Statement'!G26</f>
        <v>0</v>
      </c>
      <c r="H7" s="32" t="s">
        <v>1732</v>
      </c>
      <c r="K7" t="s">
        <v>1734</v>
      </c>
      <c r="L7" s="153">
        <f t="shared" si="0"/>
        <v>12282.32</v>
      </c>
      <c r="M7" s="152">
        <f t="shared" si="1"/>
        <v>3.2710095481562171E-3</v>
      </c>
    </row>
    <row r="8" spans="2:13" x14ac:dyDescent="0.25">
      <c r="B8" s="142" t="s">
        <v>4</v>
      </c>
      <c r="C8" s="143">
        <f>+'Ref A - Income Statement'!D27</f>
        <v>126086.22</v>
      </c>
      <c r="D8" s="143">
        <f>+'Ref A - Income Statement'!G27</f>
        <v>198924.64733436558</v>
      </c>
      <c r="E8" s="144">
        <f t="shared" si="2"/>
        <v>72838.42733436558</v>
      </c>
      <c r="F8" s="139">
        <f>+C8-'Ref A - Income Statement'!D27</f>
        <v>0</v>
      </c>
      <c r="G8" s="139">
        <f>+D8-'Ref A - Income Statement'!G27</f>
        <v>0</v>
      </c>
      <c r="H8" s="32" t="s">
        <v>1732</v>
      </c>
      <c r="K8" s="155" t="s">
        <v>1736</v>
      </c>
      <c r="L8" s="153">
        <f t="shared" si="0"/>
        <v>-25756.710000000021</v>
      </c>
      <c r="M8" s="152">
        <f t="shared" si="1"/>
        <v>-6.8594894400317514E-3</v>
      </c>
    </row>
    <row r="9" spans="2:13" x14ac:dyDescent="0.25">
      <c r="B9" s="142" t="s">
        <v>5</v>
      </c>
      <c r="C9" s="143">
        <f>+'Ref A - Income Statement'!D28</f>
        <v>10274.59</v>
      </c>
      <c r="D9" s="143">
        <f>+'Ref A - Income Statement'!G28</f>
        <v>10274.59</v>
      </c>
      <c r="E9" s="144">
        <f t="shared" si="2"/>
        <v>0</v>
      </c>
      <c r="F9" s="139">
        <f>+C9-'Ref A - Income Statement'!D28</f>
        <v>0</v>
      </c>
      <c r="G9" s="139">
        <f>+D9-'Ref A - Income Statement'!G28</f>
        <v>0</v>
      </c>
      <c r="H9" s="14" t="s">
        <v>1732</v>
      </c>
      <c r="K9" s="154" t="s">
        <v>1735</v>
      </c>
      <c r="L9" s="153">
        <f t="shared" si="0"/>
        <v>12506.247474202639</v>
      </c>
      <c r="M9" s="152">
        <f t="shared" si="1"/>
        <v>3.3306455864788903E-3</v>
      </c>
    </row>
    <row r="10" spans="2:13" x14ac:dyDescent="0.25">
      <c r="B10" s="142" t="s">
        <v>6</v>
      </c>
      <c r="C10" s="143">
        <f>+'Ref A - Income Statement'!D29</f>
        <v>4690.09</v>
      </c>
      <c r="D10" s="143">
        <f>+'Ref A - Income Statement'!G29</f>
        <v>1715.3518799999993</v>
      </c>
      <c r="E10" s="144">
        <f t="shared" si="2"/>
        <v>-2974.7381200000009</v>
      </c>
      <c r="F10" s="139">
        <f>+C10-'Ref A - Income Statement'!D29</f>
        <v>0</v>
      </c>
      <c r="G10" s="139">
        <f>+D10-'Ref A - Income Statement'!G29</f>
        <v>0</v>
      </c>
      <c r="H10" s="32" t="s">
        <v>1732</v>
      </c>
      <c r="K10" s="155" t="s">
        <v>1738</v>
      </c>
      <c r="L10" s="153">
        <f t="shared" si="0"/>
        <v>-75435.109999999986</v>
      </c>
      <c r="M10" s="152">
        <f t="shared" si="1"/>
        <v>-2.0089768470143626E-2</v>
      </c>
    </row>
    <row r="11" spans="2:13" x14ac:dyDescent="0.25">
      <c r="B11" s="142" t="s">
        <v>7</v>
      </c>
      <c r="C11" s="143">
        <f>+'Ref A - Income Statement'!D30</f>
        <v>20855.57</v>
      </c>
      <c r="D11" s="143">
        <f>+'Ref A - Income Statement'!G30</f>
        <v>22200</v>
      </c>
      <c r="E11" s="144">
        <f t="shared" si="2"/>
        <v>1344.4300000000003</v>
      </c>
      <c r="F11" s="139">
        <f>+C11-'Ref A - Income Statement'!D30</f>
        <v>0</v>
      </c>
      <c r="G11" s="139">
        <f>+D11-'Ref A - Income Statement'!G30</f>
        <v>0</v>
      </c>
      <c r="H11" s="161" t="s">
        <v>1735</v>
      </c>
      <c r="K11" s="154" t="s">
        <v>1731</v>
      </c>
      <c r="L11" s="153">
        <f t="shared" si="0"/>
        <v>332250.76049218932</v>
      </c>
      <c r="M11" s="152">
        <f t="shared" si="1"/>
        <v>8.8484537933559426E-2</v>
      </c>
    </row>
    <row r="12" spans="2:13" x14ac:dyDescent="0.25">
      <c r="B12" s="142" t="s">
        <v>13</v>
      </c>
      <c r="C12" s="143">
        <f>+'Ref A - Income Statement'!D31</f>
        <v>262456.71000000002</v>
      </c>
      <c r="D12" s="143">
        <f>+'Ref A - Income Statement'!G31</f>
        <v>236700</v>
      </c>
      <c r="E12" s="144">
        <f t="shared" si="2"/>
        <v>-25756.710000000021</v>
      </c>
      <c r="F12" s="139">
        <f>+C12-'Ref A - Income Statement'!D31</f>
        <v>0</v>
      </c>
      <c r="G12" s="139">
        <f>+D12-'Ref A - Income Statement'!G31</f>
        <v>0</v>
      </c>
      <c r="H12" s="14" t="s">
        <v>1736</v>
      </c>
      <c r="K12" s="154" t="s">
        <v>1727</v>
      </c>
      <c r="L12" s="153">
        <f t="shared" si="0"/>
        <v>647007.4877992617</v>
      </c>
      <c r="M12" s="140">
        <f>+'5 - Revenue Req (OR)'!C25</f>
        <v>0.17231009046498968</v>
      </c>
    </row>
    <row r="13" spans="2:13" x14ac:dyDescent="0.25">
      <c r="B13" s="142" t="s">
        <v>223</v>
      </c>
      <c r="C13" s="143">
        <f>+'Ref A - Income Statement'!D32</f>
        <v>28540.05</v>
      </c>
      <c r="D13" s="143">
        <f>+'Ref A - Income Statement'!G32</f>
        <v>31500</v>
      </c>
      <c r="E13" s="144">
        <f t="shared" si="2"/>
        <v>2959.9500000000007</v>
      </c>
      <c r="F13" s="139">
        <f>+C13-'Ref A - Income Statement'!D32</f>
        <v>0</v>
      </c>
      <c r="G13" s="139">
        <f>+D13-'Ref A - Income Statement'!G32</f>
        <v>0</v>
      </c>
      <c r="H13" s="161" t="s">
        <v>1735</v>
      </c>
      <c r="L13" s="139">
        <f>+L12-E51</f>
        <v>0</v>
      </c>
    </row>
    <row r="14" spans="2:13" x14ac:dyDescent="0.25">
      <c r="B14" s="142" t="s">
        <v>160</v>
      </c>
      <c r="C14" s="143">
        <f>+'Ref A - Income Statement'!D33</f>
        <v>15919.1</v>
      </c>
      <c r="D14" s="143">
        <f>+'Ref A - Income Statement'!G33</f>
        <v>17300</v>
      </c>
      <c r="E14" s="144">
        <f t="shared" si="2"/>
        <v>1380.8999999999996</v>
      </c>
      <c r="F14" s="139">
        <f>+C14-'Ref A - Income Statement'!D33</f>
        <v>0</v>
      </c>
      <c r="G14" s="139">
        <f>+D14-'Ref A - Income Statement'!G33</f>
        <v>0</v>
      </c>
      <c r="H14" s="14" t="s">
        <v>1733</v>
      </c>
    </row>
    <row r="15" spans="2:13" x14ac:dyDescent="0.25">
      <c r="B15" s="142" t="s">
        <v>224</v>
      </c>
      <c r="C15" s="143">
        <f>+'Ref A - Income Statement'!D34</f>
        <v>90678.6</v>
      </c>
      <c r="D15" s="143">
        <f>+'Ref A - Income Statement'!G34</f>
        <v>184498</v>
      </c>
      <c r="E15" s="144">
        <f t="shared" si="2"/>
        <v>93819.4</v>
      </c>
      <c r="F15" s="139">
        <f>+C15-'Ref A - Income Statement'!D34</f>
        <v>0</v>
      </c>
      <c r="G15" s="139">
        <f>+D15-'Ref A - Income Statement'!G34</f>
        <v>0</v>
      </c>
      <c r="H15" s="14" t="s">
        <v>1733</v>
      </c>
      <c r="L15" s="156"/>
      <c r="M15" s="157"/>
    </row>
    <row r="16" spans="2:13" x14ac:dyDescent="0.25">
      <c r="B16" s="142" t="s">
        <v>25</v>
      </c>
      <c r="C16" s="143">
        <f>+'Ref A - Income Statement'!D35</f>
        <v>63451.100000000006</v>
      </c>
      <c r="D16" s="143">
        <f>+'Ref A - Income Statement'!G35</f>
        <v>88200</v>
      </c>
      <c r="E16" s="144">
        <f t="shared" si="2"/>
        <v>24748.899999999994</v>
      </c>
      <c r="F16" s="139">
        <f>+C16-'Ref A - Income Statement'!D35</f>
        <v>0</v>
      </c>
      <c r="G16" s="139">
        <f>+D16-'Ref A - Income Statement'!G35</f>
        <v>0</v>
      </c>
      <c r="H16" s="14" t="s">
        <v>1737</v>
      </c>
      <c r="K16" s="8" t="s">
        <v>962</v>
      </c>
      <c r="L16" s="158" t="s">
        <v>1757</v>
      </c>
      <c r="M16" s="158" t="s">
        <v>1756</v>
      </c>
    </row>
    <row r="17" spans="2:13" x14ac:dyDescent="0.25">
      <c r="B17" s="142" t="s">
        <v>225</v>
      </c>
      <c r="C17" s="143">
        <f>+'Ref A - Income Statement'!D36</f>
        <v>1320.47</v>
      </c>
      <c r="D17" s="143">
        <f>+'Ref A - Income Statement'!G36</f>
        <v>1320.47</v>
      </c>
      <c r="E17" s="144">
        <f t="shared" si="2"/>
        <v>0</v>
      </c>
      <c r="F17" s="139">
        <f>+C17-'Ref A - Income Statement'!D36</f>
        <v>0</v>
      </c>
      <c r="G17" s="139">
        <f>+D17-'Ref A - Income Statement'!G36</f>
        <v>0</v>
      </c>
      <c r="H17" s="14" t="s">
        <v>1737</v>
      </c>
      <c r="K17" s="8" t="s">
        <v>40</v>
      </c>
    </row>
    <row r="18" spans="2:13" x14ac:dyDescent="0.25">
      <c r="B18" s="142" t="s">
        <v>226</v>
      </c>
      <c r="C18" s="143">
        <f>+'Ref A - Income Statement'!D37</f>
        <v>15471.559999999998</v>
      </c>
      <c r="D18" s="143">
        <f>+'Ref A - Income Statement'!G37</f>
        <v>15471.559999999998</v>
      </c>
      <c r="E18" s="144">
        <f t="shared" si="2"/>
        <v>0</v>
      </c>
      <c r="F18" s="139">
        <f>+C18-'Ref A - Income Statement'!D37</f>
        <v>0</v>
      </c>
      <c r="G18" s="139">
        <f>+D18-'Ref A - Income Statement'!G37</f>
        <v>0</v>
      </c>
      <c r="H18" s="14" t="s">
        <v>1732</v>
      </c>
      <c r="K18" s="159" t="s">
        <v>928</v>
      </c>
      <c r="L18" s="153"/>
      <c r="M18" s="153"/>
    </row>
    <row r="19" spans="2:13" x14ac:dyDescent="0.25">
      <c r="B19" s="142" t="s">
        <v>14</v>
      </c>
      <c r="C19" s="143">
        <f>+'Ref A - Income Statement'!D38</f>
        <v>42513.85</v>
      </c>
      <c r="D19" s="143">
        <f>+'Ref A - Income Statement'!G38</f>
        <v>42513.85</v>
      </c>
      <c r="E19" s="144">
        <f t="shared" si="2"/>
        <v>0</v>
      </c>
      <c r="F19" s="139">
        <f>+C19-'Ref A - Income Statement'!D38</f>
        <v>0</v>
      </c>
      <c r="G19" s="139">
        <f>+D19-'Ref A - Income Statement'!G38</f>
        <v>0</v>
      </c>
      <c r="H19" s="14" t="s">
        <v>1733</v>
      </c>
      <c r="K19" s="159" t="s">
        <v>1735</v>
      </c>
      <c r="L19" s="153"/>
      <c r="M19" s="153"/>
    </row>
    <row r="20" spans="2:13" x14ac:dyDescent="0.25">
      <c r="B20" s="142" t="s">
        <v>227</v>
      </c>
      <c r="C20" s="143">
        <f>+'Ref A - Income Statement'!D39</f>
        <v>6822.34</v>
      </c>
      <c r="D20" s="143">
        <f>+'Ref A - Income Statement'!G39</f>
        <v>6822.34</v>
      </c>
      <c r="E20" s="144">
        <f t="shared" si="2"/>
        <v>0</v>
      </c>
      <c r="F20" s="139">
        <f>+C20-'Ref A - Income Statement'!D39</f>
        <v>0</v>
      </c>
      <c r="G20" s="139">
        <f>+D20-'Ref A - Income Statement'!G39</f>
        <v>0</v>
      </c>
      <c r="H20" s="162" t="s">
        <v>1735</v>
      </c>
      <c r="K20" s="159" t="s">
        <v>1738</v>
      </c>
      <c r="L20" s="153">
        <f>-SUMIFS($C$3:$C$52,$H$3:$H$52,$K20)</f>
        <v>139613.36000000002</v>
      </c>
      <c r="M20" s="153">
        <f>+SUMIFS($D$3:$D$52,$H$3:$H$52,#REF!)</f>
        <v>0</v>
      </c>
    </row>
    <row r="21" spans="2:13" x14ac:dyDescent="0.25">
      <c r="B21" s="142" t="s">
        <v>228</v>
      </c>
      <c r="C21" s="143">
        <f>+'Ref A - Income Statement'!D40</f>
        <v>20760.010000000002</v>
      </c>
      <c r="D21" s="143">
        <f>+'Ref A - Income Statement'!G40</f>
        <v>27900</v>
      </c>
      <c r="E21" s="144">
        <f t="shared" si="2"/>
        <v>7139.989999999998</v>
      </c>
      <c r="F21" s="139">
        <f>+C21-'Ref A - Income Statement'!D40</f>
        <v>0</v>
      </c>
      <c r="G21" s="139">
        <f>+D21-'Ref A - Income Statement'!G40</f>
        <v>0</v>
      </c>
      <c r="H21" s="161" t="s">
        <v>1735</v>
      </c>
      <c r="K21" s="8" t="s">
        <v>24</v>
      </c>
      <c r="L21" s="153">
        <f>+SUM(L17:L20)</f>
        <v>139613.36000000002</v>
      </c>
      <c r="M21" s="153"/>
    </row>
    <row r="22" spans="2:13" x14ac:dyDescent="0.25">
      <c r="B22" s="142" t="s">
        <v>19</v>
      </c>
      <c r="C22" s="143">
        <f>+'Ref A - Income Statement'!D41</f>
        <v>401969.4</v>
      </c>
      <c r="D22" s="143">
        <f>+'Ref A - Income Statement'!G41</f>
        <v>414379.68209999998</v>
      </c>
      <c r="E22" s="144">
        <f t="shared" si="2"/>
        <v>12410.282099999953</v>
      </c>
      <c r="F22" s="139">
        <f>+C22-'Ref A - Income Statement'!D41</f>
        <v>0</v>
      </c>
      <c r="G22" s="139">
        <f>+D22-'Ref A - Income Statement'!G41</f>
        <v>0</v>
      </c>
      <c r="H22" s="32" t="s">
        <v>19</v>
      </c>
    </row>
    <row r="23" spans="2:13" x14ac:dyDescent="0.25">
      <c r="B23" s="142" t="s">
        <v>10</v>
      </c>
      <c r="C23" s="143">
        <f>+'Ref A - Income Statement'!D42</f>
        <v>37017.68</v>
      </c>
      <c r="D23" s="143">
        <f>+'Ref A - Income Statement'!G42</f>
        <v>49300</v>
      </c>
      <c r="E23" s="144">
        <f t="shared" si="2"/>
        <v>12282.32</v>
      </c>
      <c r="F23" s="139">
        <f>+C23-'Ref A - Income Statement'!D42</f>
        <v>0</v>
      </c>
      <c r="G23" s="139">
        <f>+D23-'Ref A - Income Statement'!G42</f>
        <v>0</v>
      </c>
      <c r="H23" s="32" t="s">
        <v>1734</v>
      </c>
      <c r="K23" s="8" t="s">
        <v>1723</v>
      </c>
    </row>
    <row r="24" spans="2:13" x14ac:dyDescent="0.25">
      <c r="B24" s="142" t="s">
        <v>11</v>
      </c>
      <c r="C24" s="143">
        <f>+'Ref A - Income Statement'!D43</f>
        <v>2446.77</v>
      </c>
      <c r="D24" s="143">
        <f>+'Ref A - Income Statement'!G43</f>
        <v>2446.77</v>
      </c>
      <c r="E24" s="144">
        <f t="shared" si="2"/>
        <v>0</v>
      </c>
      <c r="F24" s="139">
        <f>+C24-'Ref A - Income Statement'!D43</f>
        <v>0</v>
      </c>
      <c r="G24" s="139">
        <f>+D24-'Ref A - Income Statement'!G43</f>
        <v>0</v>
      </c>
      <c r="H24" s="14" t="s">
        <v>1734</v>
      </c>
      <c r="K24" s="138" t="s">
        <v>1732</v>
      </c>
      <c r="L24" s="153">
        <f t="shared" ref="L24:L31" si="3">+SUMIFS($C$3:$C$52,$H$3:$H$52,$K24)</f>
        <v>1225224.9900000002</v>
      </c>
      <c r="M24" s="153">
        <f t="shared" ref="M24:M31" si="4">+SUMIFS($D$3:$D$52,$H$3:$H$52,$K24)</f>
        <v>1484025.4877328705</v>
      </c>
    </row>
    <row r="25" spans="2:13" x14ac:dyDescent="0.25">
      <c r="B25" s="142" t="s">
        <v>229</v>
      </c>
      <c r="C25" s="143">
        <f>+'Ref A - Income Statement'!D44</f>
        <v>4654.2800000000007</v>
      </c>
      <c r="D25" s="143">
        <f>+'Ref A - Income Statement'!G44</f>
        <v>4654.2800000000007</v>
      </c>
      <c r="E25" s="144">
        <f t="shared" si="2"/>
        <v>0</v>
      </c>
      <c r="F25" s="139">
        <f>+C25-'Ref A - Income Statement'!D44</f>
        <v>0</v>
      </c>
      <c r="G25" s="139">
        <f>+D25-'Ref A - Income Statement'!G44</f>
        <v>0</v>
      </c>
      <c r="H25" s="14" t="s">
        <v>1732</v>
      </c>
      <c r="K25" s="159" t="s">
        <v>1737</v>
      </c>
      <c r="L25" s="153">
        <f t="shared" si="3"/>
        <v>67906.200000000012</v>
      </c>
      <c r="M25" s="153">
        <f t="shared" si="4"/>
        <v>92655.1</v>
      </c>
    </row>
    <row r="26" spans="2:13" x14ac:dyDescent="0.25">
      <c r="B26" s="142" t="s">
        <v>230</v>
      </c>
      <c r="C26" s="143">
        <f>+'Ref A - Income Statement'!D45</f>
        <v>11024.72</v>
      </c>
      <c r="D26" s="143">
        <f>+'Ref A - Income Statement'!G45</f>
        <v>11024.72</v>
      </c>
      <c r="E26" s="144">
        <f t="shared" si="2"/>
        <v>0</v>
      </c>
      <c r="F26" s="139">
        <f>+C26-'Ref A - Income Statement'!D45</f>
        <v>0</v>
      </c>
      <c r="G26" s="139">
        <f>+D26-'Ref A - Income Statement'!G45</f>
        <v>0</v>
      </c>
      <c r="H26" s="14" t="s">
        <v>1732</v>
      </c>
      <c r="K26" s="159" t="s">
        <v>1733</v>
      </c>
      <c r="L26" s="153">
        <f t="shared" si="3"/>
        <v>149111.55000000002</v>
      </c>
      <c r="M26" s="153">
        <f t="shared" si="4"/>
        <v>244311.85</v>
      </c>
    </row>
    <row r="27" spans="2:13" x14ac:dyDescent="0.25">
      <c r="B27" s="142" t="s">
        <v>15</v>
      </c>
      <c r="C27" s="143">
        <f>+'Ref A - Income Statement'!D46</f>
        <v>144</v>
      </c>
      <c r="D27" s="143">
        <f>+'Ref A - Income Statement'!G46</f>
        <v>144</v>
      </c>
      <c r="E27" s="144">
        <f t="shared" si="2"/>
        <v>0</v>
      </c>
      <c r="F27" s="139">
        <f>+C27-'Ref A - Income Statement'!D46</f>
        <v>0</v>
      </c>
      <c r="G27" s="139">
        <f>+D27-'Ref A - Income Statement'!G46</f>
        <v>0</v>
      </c>
      <c r="H27" s="162" t="s">
        <v>1735</v>
      </c>
      <c r="K27" s="138" t="s">
        <v>19</v>
      </c>
      <c r="L27" s="153">
        <f t="shared" si="3"/>
        <v>401969.4</v>
      </c>
      <c r="M27" s="153">
        <f t="shared" si="4"/>
        <v>414379.68209999998</v>
      </c>
    </row>
    <row r="28" spans="2:13" x14ac:dyDescent="0.25">
      <c r="B28" s="142" t="s">
        <v>17</v>
      </c>
      <c r="C28" s="143">
        <f>+'Ref A - Income Statement'!D47</f>
        <v>2250</v>
      </c>
      <c r="D28" s="143">
        <f>+'Ref A - Income Statement'!G47</f>
        <v>2250</v>
      </c>
      <c r="E28" s="144">
        <f t="shared" si="2"/>
        <v>0</v>
      </c>
      <c r="F28" s="139">
        <f>+C28-'Ref A - Income Statement'!D47</f>
        <v>0</v>
      </c>
      <c r="G28" s="139">
        <f>+D28-'Ref A - Income Statement'!G47</f>
        <v>0</v>
      </c>
      <c r="H28" s="162" t="s">
        <v>1735</v>
      </c>
      <c r="K28" s="138" t="s">
        <v>1734</v>
      </c>
      <c r="L28" s="153">
        <f t="shared" si="3"/>
        <v>39464.449999999997</v>
      </c>
      <c r="M28" s="153">
        <f t="shared" si="4"/>
        <v>51746.77</v>
      </c>
    </row>
    <row r="29" spans="2:13" x14ac:dyDescent="0.25">
      <c r="B29" s="142" t="s">
        <v>202</v>
      </c>
      <c r="C29" s="143">
        <f>+'Ref A - Income Statement'!D48</f>
        <v>3594.64</v>
      </c>
      <c r="D29" s="143">
        <f>+'Ref A - Income Statement'!G48</f>
        <v>6300</v>
      </c>
      <c r="E29" s="144">
        <f t="shared" si="2"/>
        <v>2705.36</v>
      </c>
      <c r="F29" s="139">
        <f>+C29-'Ref A - Income Statement'!D48</f>
        <v>0</v>
      </c>
      <c r="G29" s="139">
        <f>+D29-'Ref A - Income Statement'!G48</f>
        <v>0</v>
      </c>
      <c r="H29" s="161" t="s">
        <v>1735</v>
      </c>
      <c r="K29" s="159" t="s">
        <v>1736</v>
      </c>
      <c r="L29" s="153">
        <f t="shared" si="3"/>
        <v>262456.71000000002</v>
      </c>
      <c r="M29" s="153">
        <f t="shared" si="4"/>
        <v>236700</v>
      </c>
    </row>
    <row r="30" spans="2:13" x14ac:dyDescent="0.25">
      <c r="B30" s="142" t="s">
        <v>8</v>
      </c>
      <c r="C30" s="143">
        <f>+'Ref A - Income Statement'!D49</f>
        <v>8553.89</v>
      </c>
      <c r="D30" s="143">
        <f>+'Ref A - Income Statement'!G49</f>
        <v>8553.89</v>
      </c>
      <c r="E30" s="144">
        <f t="shared" si="2"/>
        <v>0</v>
      </c>
      <c r="F30" s="139">
        <f>+C30-'Ref A - Income Statement'!D49</f>
        <v>0</v>
      </c>
      <c r="G30" s="139">
        <f>+D30-'Ref A - Income Statement'!G49</f>
        <v>0</v>
      </c>
      <c r="H30" s="14" t="s">
        <v>1732</v>
      </c>
      <c r="K30" s="138" t="s">
        <v>1735</v>
      </c>
      <c r="L30" s="153">
        <f t="shared" si="3"/>
        <v>57148.39</v>
      </c>
      <c r="M30" s="153">
        <f t="shared" si="4"/>
        <v>69654.637474202638</v>
      </c>
    </row>
    <row r="31" spans="2:13" x14ac:dyDescent="0.25">
      <c r="B31" s="142" t="s">
        <v>9</v>
      </c>
      <c r="C31" s="143">
        <f>+'Ref A - Income Statement'!D50</f>
        <v>1337.81</v>
      </c>
      <c r="D31" s="143">
        <f>+'Ref A - Income Statement'!G50</f>
        <v>1337.81</v>
      </c>
      <c r="E31" s="144">
        <f t="shared" si="2"/>
        <v>0</v>
      </c>
      <c r="F31" s="139">
        <f>+C31-'Ref A - Income Statement'!D50</f>
        <v>0</v>
      </c>
      <c r="G31" s="139">
        <f>+D31-'Ref A - Income Statement'!G50</f>
        <v>0</v>
      </c>
      <c r="H31" s="14" t="s">
        <v>1732</v>
      </c>
      <c r="K31" s="138" t="s">
        <v>1731</v>
      </c>
      <c r="L31" s="153">
        <f t="shared" si="3"/>
        <v>1926718.5699999996</v>
      </c>
      <c r="M31" s="153">
        <f t="shared" si="4"/>
        <v>2258969.3304921892</v>
      </c>
    </row>
    <row r="32" spans="2:13" x14ac:dyDescent="0.25">
      <c r="B32" s="142" t="s">
        <v>231</v>
      </c>
      <c r="C32" s="143">
        <f>+'Ref A - Income Statement'!D51</f>
        <v>3134.63</v>
      </c>
      <c r="D32" s="143">
        <f>+'Ref A - Income Statement'!G51</f>
        <v>3134.63</v>
      </c>
      <c r="E32" s="144">
        <f t="shared" si="2"/>
        <v>0</v>
      </c>
      <c r="F32" s="139">
        <f>+C32-'Ref A - Income Statement'!D51</f>
        <v>0</v>
      </c>
      <c r="G32" s="139">
        <f>+D32-'Ref A - Income Statement'!G51</f>
        <v>0</v>
      </c>
      <c r="H32" s="14" t="s">
        <v>1737</v>
      </c>
      <c r="K32" s="155" t="s">
        <v>24</v>
      </c>
      <c r="L32" s="139">
        <f>+SUM(L24:L31)</f>
        <v>4130000.26</v>
      </c>
      <c r="M32" s="139">
        <f>+SUM(M24:M31)</f>
        <v>4852442.8577992618</v>
      </c>
    </row>
    <row r="33" spans="2:15" x14ac:dyDescent="0.25">
      <c r="B33" s="142" t="s">
        <v>12</v>
      </c>
      <c r="C33" s="143">
        <f>+'Ref A - Income Statement'!D52</f>
        <v>318.89</v>
      </c>
      <c r="D33" s="143">
        <f>+'Ref A - Income Statement'!G52</f>
        <v>318.89</v>
      </c>
      <c r="E33" s="144">
        <f t="shared" si="2"/>
        <v>0</v>
      </c>
      <c r="F33" s="139">
        <f>+C33-'Ref A - Income Statement'!D52</f>
        <v>0</v>
      </c>
      <c r="G33" s="139">
        <f>+D33-'Ref A - Income Statement'!G52</f>
        <v>0</v>
      </c>
      <c r="H33" s="162" t="s">
        <v>1735</v>
      </c>
    </row>
    <row r="34" spans="2:15" x14ac:dyDescent="0.25">
      <c r="B34" s="142" t="s">
        <v>18</v>
      </c>
      <c r="C34" s="143">
        <f>+'Ref A - Income Statement'!D53</f>
        <v>4534.8900000000003</v>
      </c>
      <c r="D34" s="143">
        <f>+'Ref A - Income Statement'!G53</f>
        <v>4534.8900000000003</v>
      </c>
      <c r="E34" s="144">
        <f t="shared" si="2"/>
        <v>0</v>
      </c>
      <c r="F34" s="139">
        <f>+C34-'Ref A - Income Statement'!D53</f>
        <v>0</v>
      </c>
      <c r="G34" s="139">
        <f>+D34-'Ref A - Income Statement'!G53</f>
        <v>0</v>
      </c>
      <c r="H34" s="162" t="s">
        <v>1735</v>
      </c>
    </row>
    <row r="35" spans="2:15" x14ac:dyDescent="0.25">
      <c r="B35" s="142" t="s">
        <v>232</v>
      </c>
      <c r="C35" s="143">
        <f>+'Ref A - Income Statement'!D54</f>
        <v>301.52999999999997</v>
      </c>
      <c r="D35" s="143">
        <f>+'Ref A - Income Statement'!G54</f>
        <v>301.52999999999997</v>
      </c>
      <c r="E35" s="144">
        <f t="shared" si="2"/>
        <v>0</v>
      </c>
      <c r="F35" s="139">
        <f>+C35-'Ref A - Income Statement'!D54</f>
        <v>0</v>
      </c>
      <c r="G35" s="139">
        <f>+D35-'Ref A - Income Statement'!G54</f>
        <v>0</v>
      </c>
      <c r="H35" s="14" t="s">
        <v>1738</v>
      </c>
      <c r="L35" t="s">
        <v>1758</v>
      </c>
    </row>
    <row r="36" spans="2:15" x14ac:dyDescent="0.25">
      <c r="B36" s="142" t="s">
        <v>888</v>
      </c>
      <c r="C36" s="143">
        <f>+'Ref A - Income Statement'!D55</f>
        <v>-30672</v>
      </c>
      <c r="D36" s="143">
        <f>+'Ref A - Income Statement'!G55</f>
        <v>-32315.482525797361</v>
      </c>
      <c r="E36" s="144">
        <f t="shared" si="2"/>
        <v>-1643.4825257973607</v>
      </c>
      <c r="F36" s="139">
        <f>+C36-'Ref A - Income Statement'!D55</f>
        <v>0</v>
      </c>
      <c r="G36" s="139">
        <f>+D36-'Ref A - Income Statement'!G55</f>
        <v>0</v>
      </c>
      <c r="H36" s="161" t="s">
        <v>1735</v>
      </c>
      <c r="K36">
        <v>2013</v>
      </c>
      <c r="L36">
        <v>233.50399999999999</v>
      </c>
      <c r="N36" s="140">
        <f>+'6 - Billing Analysis (BA)'!L18</f>
        <v>32.43</v>
      </c>
      <c r="O36" s="140">
        <f>+N36</f>
        <v>32.43</v>
      </c>
    </row>
    <row r="37" spans="2:15" x14ac:dyDescent="0.25">
      <c r="C37" s="149">
        <f>+SUM(C4:C36)</f>
        <v>2203583.2200000011</v>
      </c>
      <c r="D37" s="149">
        <f t="shared" ref="D37:E37" si="5">+SUM(D4:D36)</f>
        <v>2593775.0573070729</v>
      </c>
      <c r="E37" s="149">
        <f t="shared" si="5"/>
        <v>390191.83730707283</v>
      </c>
      <c r="F37" s="139">
        <f>+C37-'Ref A - Income Statement'!D56</f>
        <v>0</v>
      </c>
      <c r="G37" s="139">
        <f>+D37-'Ref A - Income Statement'!G56</f>
        <v>0</v>
      </c>
      <c r="H37" s="32"/>
      <c r="K37">
        <v>2014</v>
      </c>
      <c r="L37">
        <v>238.34299999999999</v>
      </c>
      <c r="M37" s="160">
        <f>+L37/L36-1</f>
        <v>2.0723413731670526E-2</v>
      </c>
      <c r="N37" s="140">
        <f>+N36</f>
        <v>32.43</v>
      </c>
      <c r="O37" s="140">
        <f>+O36*(1+$L$47)</f>
        <v>33.298373011972018</v>
      </c>
    </row>
    <row r="38" spans="2:15" x14ac:dyDescent="0.25">
      <c r="C38" s="149"/>
      <c r="D38" s="149"/>
      <c r="E38" s="139"/>
      <c r="H38" s="32"/>
      <c r="K38">
        <v>2015</v>
      </c>
      <c r="L38">
        <v>238.63800000000001</v>
      </c>
      <c r="M38" s="160">
        <f t="shared" ref="M38:M46" si="6">+L38/L37-1</f>
        <v>1.2377120368545214E-3</v>
      </c>
      <c r="N38" s="140">
        <f t="shared" ref="N38:N45" si="7">+N37</f>
        <v>32.43</v>
      </c>
      <c r="O38" s="140">
        <f t="shared" ref="O38:O46" si="8">+O37*(1+$L$47)</f>
        <v>34.189998311576517</v>
      </c>
    </row>
    <row r="39" spans="2:15" x14ac:dyDescent="0.25">
      <c r="B39" s="142" t="s">
        <v>29</v>
      </c>
      <c r="C39" s="148">
        <f>+'Ref A - Income Statement'!D60</f>
        <v>1582405.07</v>
      </c>
      <c r="D39" s="148">
        <f>+'Ref A - Income Statement'!G60</f>
        <v>1676640.0039562776</v>
      </c>
      <c r="E39" s="148">
        <f>+D39-C39</f>
        <v>94234.933956277557</v>
      </c>
      <c r="F39" s="139">
        <f>+C39-'Ref A - Income Statement'!D60</f>
        <v>0</v>
      </c>
      <c r="G39" s="139">
        <f>+D39-'Ref A - Income Statement'!G60</f>
        <v>0</v>
      </c>
      <c r="H39" s="32" t="s">
        <v>1731</v>
      </c>
      <c r="K39">
        <v>2016</v>
      </c>
      <c r="L39">
        <v>241.018</v>
      </c>
      <c r="M39" s="160">
        <f t="shared" si="6"/>
        <v>9.9732649452308753E-3</v>
      </c>
      <c r="N39" s="140">
        <f t="shared" si="7"/>
        <v>32.43</v>
      </c>
      <c r="O39" s="140">
        <f t="shared" si="8"/>
        <v>35.105498521664153</v>
      </c>
    </row>
    <row r="40" spans="2:15" x14ac:dyDescent="0.25">
      <c r="C40" s="141">
        <f>+C37+C39</f>
        <v>3785988.290000001</v>
      </c>
      <c r="D40" s="141">
        <f>+D37+D39</f>
        <v>4270415.0612633508</v>
      </c>
      <c r="E40" s="141">
        <f>+D40-C40</f>
        <v>484426.7712633498</v>
      </c>
      <c r="F40" s="139">
        <f>+C40-('Ref A - Income Statement'!D56+'Ref A - Income Statement'!D60)</f>
        <v>0</v>
      </c>
      <c r="G40" s="139">
        <f>+D40-('Ref A - Income Statement'!G56+'Ref A - Income Statement'!G60)</f>
        <v>0</v>
      </c>
      <c r="H40" s="32"/>
      <c r="K40">
        <v>2017</v>
      </c>
      <c r="L40">
        <v>244.95500000000001</v>
      </c>
      <c r="M40" s="160">
        <f t="shared" si="6"/>
        <v>1.633487955256463E-2</v>
      </c>
      <c r="N40" s="140">
        <f t="shared" si="7"/>
        <v>32.43</v>
      </c>
      <c r="O40" s="140">
        <f t="shared" si="8"/>
        <v>36.045512936959767</v>
      </c>
    </row>
    <row r="41" spans="2:15" x14ac:dyDescent="0.25">
      <c r="C41" s="141"/>
      <c r="D41" s="141"/>
      <c r="E41" s="141"/>
      <c r="H41" s="32"/>
      <c r="K41">
        <v>2018</v>
      </c>
      <c r="L41">
        <v>251.989</v>
      </c>
      <c r="M41" s="160">
        <f t="shared" si="6"/>
        <v>2.8715478353166901E-2</v>
      </c>
      <c r="N41" s="140">
        <f t="shared" si="7"/>
        <v>32.43</v>
      </c>
      <c r="O41" s="140">
        <f t="shared" si="8"/>
        <v>37.01069797048256</v>
      </c>
    </row>
    <row r="42" spans="2:15" x14ac:dyDescent="0.25">
      <c r="C42" s="141"/>
      <c r="D42" s="141"/>
      <c r="E42" s="141"/>
      <c r="H42" s="32"/>
      <c r="K42">
        <v>2019</v>
      </c>
      <c r="L42">
        <v>256.14299999999997</v>
      </c>
      <c r="M42" s="160">
        <f t="shared" si="6"/>
        <v>1.6484846560762545E-2</v>
      </c>
      <c r="N42" s="140">
        <f t="shared" si="7"/>
        <v>32.43</v>
      </c>
      <c r="O42" s="140">
        <f t="shared" si="8"/>
        <v>38.001727611919954</v>
      </c>
    </row>
    <row r="43" spans="2:15" x14ac:dyDescent="0.25">
      <c r="B43" s="145" t="s">
        <v>1729</v>
      </c>
      <c r="C43" s="146">
        <f>-SUM('Ref A - Income Statement'!D16:D19)</f>
        <v>-235484.99</v>
      </c>
      <c r="D43" s="146">
        <f>-SUM('Ref A - Income Statement'!G16:G19)</f>
        <v>-235484.99</v>
      </c>
      <c r="E43" s="147">
        <f>+D43-C43</f>
        <v>0</v>
      </c>
      <c r="F43" s="141">
        <f>+C43+SUM('Ref A - Income Statement'!D16:D19)</f>
        <v>0</v>
      </c>
      <c r="G43" s="141">
        <f>+D43+SUM('Ref A - Income Statement'!E16:G19)</f>
        <v>0</v>
      </c>
      <c r="H43" s="32" t="s">
        <v>1729</v>
      </c>
      <c r="K43">
        <v>2020</v>
      </c>
      <c r="L43">
        <v>257.79700000000003</v>
      </c>
      <c r="M43" s="160">
        <f t="shared" si="6"/>
        <v>6.4573304755548566E-3</v>
      </c>
      <c r="N43" s="140">
        <f t="shared" si="7"/>
        <v>32.43</v>
      </c>
      <c r="O43" s="140">
        <f t="shared" si="8"/>
        <v>39.019293898275279</v>
      </c>
    </row>
    <row r="44" spans="2:15" x14ac:dyDescent="0.25">
      <c r="B44" s="145" t="s">
        <v>235</v>
      </c>
      <c r="C44" s="146">
        <f>-'Ref A - Income Statement'!D64</f>
        <v>-141237.17000000001</v>
      </c>
      <c r="D44" s="146">
        <f>-'Ref A - Income Statement'!G64</f>
        <v>-215300</v>
      </c>
      <c r="E44" s="147">
        <f t="shared" ref="E44" si="9">+D44-C44</f>
        <v>-74062.829999999987</v>
      </c>
      <c r="F44" s="139">
        <f>+C44+'Ref A - Income Statement'!D64</f>
        <v>0</v>
      </c>
      <c r="G44" s="139">
        <f>+D44+'Ref A - Income Statement'!G64</f>
        <v>0</v>
      </c>
      <c r="H44" s="14" t="s">
        <v>1738</v>
      </c>
      <c r="K44">
        <v>2021</v>
      </c>
      <c r="L44">
        <v>271.69600000000003</v>
      </c>
      <c r="M44" s="160">
        <f t="shared" si="6"/>
        <v>5.3914514133213354E-2</v>
      </c>
      <c r="N44" s="140">
        <f t="shared" si="7"/>
        <v>32.43</v>
      </c>
      <c r="O44" s="140">
        <f t="shared" si="8"/>
        <v>40.064107397117915</v>
      </c>
    </row>
    <row r="45" spans="2:15" x14ac:dyDescent="0.25">
      <c r="B45" s="145" t="s">
        <v>21</v>
      </c>
      <c r="C45" s="146">
        <f>-'Ref A - Income Statement'!D66</f>
        <v>1322.2799999999997</v>
      </c>
      <c r="D45" s="146">
        <f>-'Ref A - Income Statement'!G66</f>
        <v>-50</v>
      </c>
      <c r="E45" s="147">
        <f>+D45-C45</f>
        <v>-1372.2799999999997</v>
      </c>
      <c r="F45" s="139">
        <f>+C45+'Ref A - Income Statement'!D66</f>
        <v>0</v>
      </c>
      <c r="G45" s="139">
        <f>+D45+'Ref A - Income Statement'!G66</f>
        <v>0</v>
      </c>
      <c r="H45" s="14" t="s">
        <v>1738</v>
      </c>
      <c r="K45">
        <v>2022</v>
      </c>
      <c r="L45">
        <v>296.31099999999998</v>
      </c>
      <c r="M45" s="160">
        <f t="shared" si="6"/>
        <v>9.0597579647841542E-2</v>
      </c>
      <c r="N45" s="140">
        <f t="shared" si="7"/>
        <v>32.43</v>
      </c>
      <c r="O45" s="140">
        <f t="shared" si="8"/>
        <v>41.136897702773346</v>
      </c>
    </row>
    <row r="46" spans="2:15" x14ac:dyDescent="0.25">
      <c r="C46" s="137"/>
      <c r="D46" s="137"/>
      <c r="E46" s="139"/>
      <c r="H46" s="32"/>
      <c r="K46">
        <v>2023</v>
      </c>
      <c r="L46">
        <v>304.12700000000001</v>
      </c>
      <c r="M46" s="160">
        <f t="shared" si="6"/>
        <v>2.637769100708387E-2</v>
      </c>
      <c r="N46" s="140">
        <f>+'6 - Billing Analysis (BA)'!L267</f>
        <v>38.040000000000006</v>
      </c>
      <c r="O46" s="140">
        <f t="shared" si="8"/>
        <v>42.238413945799621</v>
      </c>
    </row>
    <row r="47" spans="2:15" x14ac:dyDescent="0.25">
      <c r="C47" s="149">
        <f>+SUM(C40:C45)</f>
        <v>3410588.4100000006</v>
      </c>
      <c r="D47" s="149">
        <f>+SUM(D40:D45)</f>
        <v>3819580.0712633505</v>
      </c>
      <c r="E47" s="139">
        <f>+D47-C47</f>
        <v>408991.66126334993</v>
      </c>
      <c r="F47" s="153">
        <f>+'Ref A - Income Statement'!D56+'Ref A - Income Statement'!D60-SUM('Ref A - Income Statement'!D16:D19)-('Ref A - Income Statement'!D64+'Ref A - Income Statement'!D66)-C47</f>
        <v>0</v>
      </c>
      <c r="G47" s="153">
        <f>+'Ref A - Income Statement'!G56+'Ref A - Income Statement'!G60-SUM('Ref A - Income Statement'!E16:G19)-('Ref A - Income Statement'!G64+'Ref A - Income Statement'!G66)-D47</f>
        <v>0</v>
      </c>
      <c r="H47" s="32"/>
      <c r="L47">
        <f>+(L46/L36)^(1/10)-1</f>
        <v>2.6776842799013822E-2</v>
      </c>
      <c r="N47">
        <f>+(N46/N36)^(1/10)-1</f>
        <v>1.6083399323547187E-2</v>
      </c>
    </row>
    <row r="48" spans="2:15" x14ac:dyDescent="0.25">
      <c r="C48" s="149"/>
      <c r="D48" s="149"/>
      <c r="E48" s="139"/>
      <c r="H48" s="32"/>
      <c r="L48">
        <f>+L46/L36-1</f>
        <v>0.3024487803206799</v>
      </c>
      <c r="N48" s="140">
        <f>+N46/N36-1</f>
        <v>0.17298797409805755</v>
      </c>
      <c r="O48" s="140">
        <f>+O46-O36</f>
        <v>9.8084139457996216</v>
      </c>
    </row>
    <row r="49" spans="2:8" x14ac:dyDescent="0.25">
      <c r="B49" t="s">
        <v>917</v>
      </c>
      <c r="C49" s="137">
        <f>+C51-C47</f>
        <v>344313.49999999953</v>
      </c>
      <c r="D49" s="137">
        <f t="shared" ref="D49" si="10">+D40/0.88-D40</f>
        <v>582329.3265359113</v>
      </c>
      <c r="E49" s="137">
        <f>+D49-C49</f>
        <v>238015.82653591176</v>
      </c>
      <c r="H49" s="32" t="s">
        <v>1731</v>
      </c>
    </row>
    <row r="50" spans="2:8" x14ac:dyDescent="0.25">
      <c r="C50" s="137"/>
      <c r="D50" s="137"/>
      <c r="E50" s="139"/>
      <c r="H50" s="32"/>
    </row>
    <row r="51" spans="2:8" x14ac:dyDescent="0.25">
      <c r="B51" t="s">
        <v>1728</v>
      </c>
      <c r="C51" s="137">
        <f>+SUM('Ref A - Income Statement'!D13:D15)</f>
        <v>3754901.91</v>
      </c>
      <c r="D51" s="137">
        <f>+D47+D49</f>
        <v>4401909.3977992618</v>
      </c>
      <c r="E51" s="137">
        <f>+E47+E49</f>
        <v>647007.4877992617</v>
      </c>
      <c r="F51" s="32"/>
      <c r="G51" s="32"/>
      <c r="H51" s="32" t="s">
        <v>1727</v>
      </c>
    </row>
    <row r="52" spans="2:8" x14ac:dyDescent="0.25">
      <c r="D52" s="141"/>
    </row>
    <row r="53" spans="2:8" x14ac:dyDescent="0.25">
      <c r="C53" s="141">
        <f>+C51-C43</f>
        <v>3990386.9000000004</v>
      </c>
      <c r="D53" s="141">
        <f>+D51-D43</f>
        <v>4637394.3877992621</v>
      </c>
    </row>
  </sheetData>
  <autoFilter ref="K2:M12" xr:uid="{05FE9817-D672-47F3-8D9F-AA7124175A96}"/>
  <sortState xmlns:xlrd2="http://schemas.microsoft.com/office/spreadsheetml/2017/richdata2" ref="K3:O13">
    <sortCondition ref="K3:K13"/>
  </sortState>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8"/>
    <pageSetUpPr fitToPage="1"/>
  </sheetPr>
  <dimension ref="A1:Q555"/>
  <sheetViews>
    <sheetView topLeftCell="A499" zoomScale="85" zoomScaleNormal="85" zoomScaleSheetLayoutView="85" zoomScalePageLayoutView="55" workbookViewId="0">
      <selection activeCell="N556" sqref="N555:N556"/>
    </sheetView>
  </sheetViews>
  <sheetFormatPr defaultColWidth="8.7265625" defaultRowHeight="15" customHeight="1" outlineLevelCol="1" x14ac:dyDescent="0.3"/>
  <cols>
    <col min="1" max="1" width="4.453125" style="123" customWidth="1"/>
    <col min="2" max="2" width="8.1796875" style="123" customWidth="1"/>
    <col min="3" max="3" width="38.1796875" style="123" customWidth="1"/>
    <col min="4" max="4" width="15.7265625" style="123" hidden="1" customWidth="1" outlineLevel="1"/>
    <col min="5" max="5" width="11.26953125" style="123" bestFit="1" customWidth="1" collapsed="1"/>
    <col min="6" max="6" width="14.26953125" style="123" bestFit="1" customWidth="1"/>
    <col min="7" max="7" width="21.453125" style="123" hidden="1" customWidth="1" outlineLevel="1"/>
    <col min="8" max="8" width="9.54296875" style="123" bestFit="1" customWidth="1" collapsed="1"/>
    <col min="9" max="9" width="19" style="123" hidden="1" customWidth="1" outlineLevel="1"/>
    <col min="10" max="10" width="13.7265625" style="123" bestFit="1" customWidth="1" collapsed="1"/>
    <col min="11" max="11" width="15.54296875" style="123" customWidth="1"/>
    <col min="12" max="13" width="14" style="123" bestFit="1" customWidth="1"/>
    <col min="14" max="14" width="22.1796875" style="123" bestFit="1" customWidth="1"/>
    <col min="15" max="15" width="11.81640625" style="123" bestFit="1" customWidth="1"/>
    <col min="16" max="16" width="19.54296875" style="123" customWidth="1"/>
    <col min="17" max="17" width="15.453125" style="123" customWidth="1"/>
    <col min="18" max="16384" width="8.7265625" style="123"/>
  </cols>
  <sheetData>
    <row r="1" spans="1:17" ht="15" customHeight="1" x14ac:dyDescent="0.3">
      <c r="A1" s="122"/>
      <c r="B1" s="122"/>
    </row>
    <row r="2" spans="1:17" ht="15" customHeight="1" x14ac:dyDescent="0.3">
      <c r="A2" s="122"/>
      <c r="B2" s="35" t="s">
        <v>1045</v>
      </c>
    </row>
    <row r="3" spans="1:17" ht="15" customHeight="1" x14ac:dyDescent="0.3">
      <c r="B3" s="36" t="s">
        <v>1715</v>
      </c>
      <c r="C3" s="124"/>
      <c r="D3" s="125"/>
      <c r="E3" s="125"/>
      <c r="F3" s="125"/>
      <c r="G3" s="125"/>
      <c r="H3" s="125"/>
      <c r="I3" s="126"/>
      <c r="J3" s="126"/>
      <c r="L3" s="127"/>
      <c r="O3" s="125"/>
      <c r="P3" s="125"/>
      <c r="Q3" s="125"/>
    </row>
    <row r="4" spans="1:17" ht="15" customHeight="1" x14ac:dyDescent="0.3">
      <c r="B4" s="36"/>
      <c r="C4" s="124"/>
      <c r="D4" s="125"/>
      <c r="E4" s="125"/>
      <c r="F4" s="125"/>
      <c r="G4" s="125"/>
      <c r="H4" s="125"/>
      <c r="I4" s="126"/>
      <c r="J4" s="126"/>
      <c r="L4" s="127"/>
      <c r="O4" s="125"/>
      <c r="P4" s="125"/>
      <c r="Q4" s="125"/>
    </row>
    <row r="5" spans="1:17" ht="15" customHeight="1" x14ac:dyDescent="0.3">
      <c r="B5" s="36"/>
      <c r="C5" s="124"/>
      <c r="D5" s="125"/>
      <c r="E5" s="125"/>
      <c r="F5" s="125"/>
      <c r="G5" s="125"/>
      <c r="H5" s="125"/>
      <c r="I5" s="126"/>
      <c r="J5" s="126"/>
      <c r="L5" s="127"/>
      <c r="O5" s="125"/>
      <c r="P5" s="125"/>
      <c r="Q5" s="125"/>
    </row>
    <row r="6" spans="1:17" ht="15" customHeight="1" x14ac:dyDescent="0.3">
      <c r="A6" s="122"/>
      <c r="E6" s="127"/>
      <c r="I6" s="126"/>
      <c r="J6" s="126"/>
      <c r="L6" s="127"/>
      <c r="O6" s="127"/>
      <c r="P6" s="127"/>
      <c r="Q6" s="127"/>
    </row>
    <row r="7" spans="1:17" ht="51.75" customHeight="1" thickBot="1" x14ac:dyDescent="0.35">
      <c r="B7" s="133" t="s">
        <v>1046</v>
      </c>
      <c r="C7" s="133" t="s">
        <v>1047</v>
      </c>
      <c r="D7" s="133" t="s">
        <v>1048</v>
      </c>
      <c r="E7" s="134" t="s">
        <v>1049</v>
      </c>
      <c r="F7" s="135" t="s">
        <v>1050</v>
      </c>
      <c r="G7" s="134" t="s">
        <v>1051</v>
      </c>
      <c r="H7" s="134" t="s">
        <v>1052</v>
      </c>
      <c r="I7" s="134" t="s">
        <v>1053</v>
      </c>
      <c r="J7" s="135" t="s">
        <v>1054</v>
      </c>
      <c r="K7" s="135" t="s">
        <v>1055</v>
      </c>
      <c r="L7" s="135" t="s">
        <v>1056</v>
      </c>
      <c r="M7" s="135" t="s">
        <v>1057</v>
      </c>
      <c r="N7" s="134" t="s">
        <v>1058</v>
      </c>
      <c r="O7" s="134" t="s">
        <v>1059</v>
      </c>
      <c r="P7" s="127"/>
      <c r="Q7" s="127"/>
    </row>
    <row r="8" spans="1:17" ht="15" customHeight="1" x14ac:dyDescent="0.3">
      <c r="B8" s="128" t="s">
        <v>1060</v>
      </c>
      <c r="C8" s="128" t="s">
        <v>1061</v>
      </c>
      <c r="D8" s="129">
        <v>22647</v>
      </c>
      <c r="E8" s="129">
        <v>22647</v>
      </c>
      <c r="F8" s="130">
        <v>9544</v>
      </c>
      <c r="G8" s="128" t="s">
        <v>1062</v>
      </c>
      <c r="H8" s="102">
        <v>0</v>
      </c>
      <c r="I8" s="129">
        <v>22647</v>
      </c>
      <c r="J8" s="101">
        <v>0</v>
      </c>
      <c r="K8" s="101">
        <v>0</v>
      </c>
      <c r="L8" s="101">
        <v>0</v>
      </c>
      <c r="M8" s="101">
        <v>9544</v>
      </c>
      <c r="N8" s="128" t="s">
        <v>1063</v>
      </c>
      <c r="O8" s="92" t="s">
        <v>1064</v>
      </c>
      <c r="P8" s="127"/>
      <c r="Q8" s="127"/>
    </row>
    <row r="9" spans="1:17" ht="15" customHeight="1" x14ac:dyDescent="0.3">
      <c r="B9" s="128" t="s">
        <v>1065</v>
      </c>
      <c r="C9" s="128" t="s">
        <v>267</v>
      </c>
      <c r="D9" s="129">
        <v>43890</v>
      </c>
      <c r="E9" s="129">
        <v>43890</v>
      </c>
      <c r="F9" s="130">
        <v>198258.82</v>
      </c>
      <c r="G9" s="128" t="s">
        <v>1066</v>
      </c>
      <c r="H9" s="102">
        <v>50</v>
      </c>
      <c r="I9" s="129">
        <v>44926</v>
      </c>
      <c r="J9" s="101">
        <v>330.45</v>
      </c>
      <c r="K9" s="101">
        <v>3965.18</v>
      </c>
      <c r="L9" s="101">
        <v>11234.67</v>
      </c>
      <c r="M9" s="101">
        <v>187024.15</v>
      </c>
      <c r="N9" s="128" t="s">
        <v>1184</v>
      </c>
      <c r="O9" s="92" t="s">
        <v>1191</v>
      </c>
      <c r="P9" s="125"/>
      <c r="Q9" s="125"/>
    </row>
    <row r="10" spans="1:17" ht="15" customHeight="1" x14ac:dyDescent="0.3">
      <c r="A10" s="122"/>
      <c r="B10" s="128" t="s">
        <v>1067</v>
      </c>
      <c r="C10" s="128" t="s">
        <v>71</v>
      </c>
      <c r="D10" s="129">
        <v>21916</v>
      </c>
      <c r="E10" s="129">
        <v>21916</v>
      </c>
      <c r="F10" s="130">
        <v>1939928.22</v>
      </c>
      <c r="G10" s="128" t="s">
        <v>1068</v>
      </c>
      <c r="H10" s="102">
        <v>57</v>
      </c>
      <c r="I10" s="129">
        <v>42735</v>
      </c>
      <c r="J10" s="101">
        <v>0</v>
      </c>
      <c r="K10" s="101">
        <v>0</v>
      </c>
      <c r="L10" s="101">
        <v>1939928.22</v>
      </c>
      <c r="M10" s="101">
        <v>0</v>
      </c>
      <c r="N10" s="128" t="s">
        <v>1185</v>
      </c>
      <c r="O10" s="92" t="s">
        <v>1191</v>
      </c>
      <c r="P10" s="127"/>
      <c r="Q10" s="127"/>
    </row>
    <row r="11" spans="1:17" ht="15" customHeight="1" x14ac:dyDescent="0.3">
      <c r="B11" s="128" t="s">
        <v>1069</v>
      </c>
      <c r="C11" s="128" t="s">
        <v>73</v>
      </c>
      <c r="D11" s="129">
        <v>25204</v>
      </c>
      <c r="E11" s="129">
        <v>25204</v>
      </c>
      <c r="F11" s="130">
        <v>6850.15</v>
      </c>
      <c r="G11" s="128" t="s">
        <v>1066</v>
      </c>
      <c r="H11" s="102">
        <v>40</v>
      </c>
      <c r="I11" s="129">
        <v>41820</v>
      </c>
      <c r="J11" s="101">
        <v>0</v>
      </c>
      <c r="K11" s="101">
        <v>0</v>
      </c>
      <c r="L11" s="101">
        <v>6850.15</v>
      </c>
      <c r="M11" s="101">
        <v>0</v>
      </c>
      <c r="N11" s="128" t="s">
        <v>1185</v>
      </c>
      <c r="O11" s="92" t="s">
        <v>1191</v>
      </c>
      <c r="P11" s="127"/>
      <c r="Q11" s="127"/>
    </row>
    <row r="12" spans="1:17" ht="15" customHeight="1" x14ac:dyDescent="0.3">
      <c r="B12" s="128" t="s">
        <v>1070</v>
      </c>
      <c r="C12" s="128" t="s">
        <v>74</v>
      </c>
      <c r="D12" s="129">
        <v>25569</v>
      </c>
      <c r="E12" s="129">
        <v>25569</v>
      </c>
      <c r="F12" s="130">
        <v>1357827.48</v>
      </c>
      <c r="G12" s="128" t="s">
        <v>1068</v>
      </c>
      <c r="H12" s="102">
        <v>57</v>
      </c>
      <c r="I12" s="129">
        <v>44926</v>
      </c>
      <c r="J12" s="101">
        <v>2306.98</v>
      </c>
      <c r="K12" s="101">
        <v>27683.32</v>
      </c>
      <c r="L12" s="101">
        <v>1247018.3400000001</v>
      </c>
      <c r="M12" s="101">
        <v>110809.14</v>
      </c>
      <c r="N12" s="128" t="s">
        <v>1184</v>
      </c>
      <c r="O12" s="92" t="s">
        <v>1191</v>
      </c>
      <c r="P12" s="127"/>
      <c r="Q12" s="127"/>
    </row>
    <row r="13" spans="1:17" ht="15" customHeight="1" x14ac:dyDescent="0.3">
      <c r="B13" s="128" t="s">
        <v>1071</v>
      </c>
      <c r="C13" s="128" t="s">
        <v>75</v>
      </c>
      <c r="D13" s="129">
        <v>27395</v>
      </c>
      <c r="E13" s="129">
        <v>27395</v>
      </c>
      <c r="F13" s="130">
        <v>1562405.88</v>
      </c>
      <c r="G13" s="128" t="s">
        <v>1066</v>
      </c>
      <c r="H13" s="102">
        <v>50</v>
      </c>
      <c r="I13" s="129">
        <v>44926</v>
      </c>
      <c r="J13" s="101">
        <v>2604.0100000000002</v>
      </c>
      <c r="K13" s="101">
        <v>31248.12</v>
      </c>
      <c r="L13" s="101">
        <v>1484284.88</v>
      </c>
      <c r="M13" s="101">
        <v>78121</v>
      </c>
      <c r="N13" s="128" t="s">
        <v>1184</v>
      </c>
      <c r="O13" s="92" t="s">
        <v>1191</v>
      </c>
      <c r="P13" s="127"/>
      <c r="Q13" s="127"/>
    </row>
    <row r="14" spans="1:17" ht="15" customHeight="1" x14ac:dyDescent="0.3">
      <c r="B14" s="128" t="s">
        <v>1072</v>
      </c>
      <c r="C14" s="128" t="s">
        <v>72</v>
      </c>
      <c r="D14" s="129">
        <v>29221</v>
      </c>
      <c r="E14" s="129">
        <v>29221</v>
      </c>
      <c r="F14" s="130">
        <v>391839.53</v>
      </c>
      <c r="G14" s="128" t="s">
        <v>1068</v>
      </c>
      <c r="H14" s="102">
        <v>45</v>
      </c>
      <c r="I14" s="129">
        <v>44926</v>
      </c>
      <c r="J14" s="101">
        <v>864.49</v>
      </c>
      <c r="K14" s="101">
        <v>10373.44</v>
      </c>
      <c r="L14" s="101">
        <v>371064.24</v>
      </c>
      <c r="M14" s="101">
        <v>20775.29</v>
      </c>
      <c r="N14" s="128" t="s">
        <v>1184</v>
      </c>
      <c r="O14" s="92" t="s">
        <v>1191</v>
      </c>
      <c r="P14" s="127"/>
      <c r="Q14" s="127"/>
    </row>
    <row r="15" spans="1:17" ht="15" customHeight="1" x14ac:dyDescent="0.3">
      <c r="B15" s="128" t="s">
        <v>1073</v>
      </c>
      <c r="C15" s="128" t="s">
        <v>72</v>
      </c>
      <c r="D15" s="129">
        <v>29587</v>
      </c>
      <c r="E15" s="129">
        <v>29587</v>
      </c>
      <c r="F15" s="130">
        <v>109474.36</v>
      </c>
      <c r="G15" s="128" t="s">
        <v>1066</v>
      </c>
      <c r="H15" s="102">
        <v>35</v>
      </c>
      <c r="I15" s="129">
        <v>42369</v>
      </c>
      <c r="J15" s="101">
        <v>0</v>
      </c>
      <c r="K15" s="101">
        <v>0</v>
      </c>
      <c r="L15" s="101">
        <v>109474.36</v>
      </c>
      <c r="M15" s="101">
        <v>0</v>
      </c>
      <c r="N15" s="128" t="s">
        <v>1184</v>
      </c>
      <c r="O15" s="92" t="s">
        <v>1191</v>
      </c>
      <c r="P15" s="127"/>
      <c r="Q15" s="127"/>
    </row>
    <row r="16" spans="1:17" ht="15" customHeight="1" x14ac:dyDescent="0.3">
      <c r="B16" s="128" t="s">
        <v>1074</v>
      </c>
      <c r="C16" s="128" t="s">
        <v>72</v>
      </c>
      <c r="D16" s="129">
        <v>29952</v>
      </c>
      <c r="E16" s="129">
        <v>29952</v>
      </c>
      <c r="F16" s="130">
        <v>253731.17</v>
      </c>
      <c r="G16" s="128" t="s">
        <v>1066</v>
      </c>
      <c r="H16" s="102">
        <v>35</v>
      </c>
      <c r="I16" s="129">
        <v>42735</v>
      </c>
      <c r="J16" s="101">
        <v>0</v>
      </c>
      <c r="K16" s="101">
        <v>0</v>
      </c>
      <c r="L16" s="101">
        <v>253731.17</v>
      </c>
      <c r="M16" s="101">
        <v>0</v>
      </c>
      <c r="N16" s="128" t="s">
        <v>1184</v>
      </c>
      <c r="O16" s="92" t="s">
        <v>1191</v>
      </c>
      <c r="P16" s="127"/>
      <c r="Q16" s="127"/>
    </row>
    <row r="17" spans="2:17" ht="15" customHeight="1" x14ac:dyDescent="0.3">
      <c r="B17" s="128" t="s">
        <v>1075</v>
      </c>
      <c r="C17" s="128" t="s">
        <v>72</v>
      </c>
      <c r="D17" s="129">
        <v>30317</v>
      </c>
      <c r="E17" s="129">
        <v>30317</v>
      </c>
      <c r="F17" s="130">
        <v>273419.21000000002</v>
      </c>
      <c r="G17" s="128" t="s">
        <v>1066</v>
      </c>
      <c r="H17" s="102">
        <v>35</v>
      </c>
      <c r="I17" s="129">
        <v>43100</v>
      </c>
      <c r="J17" s="101">
        <v>0</v>
      </c>
      <c r="K17" s="101">
        <v>0</v>
      </c>
      <c r="L17" s="101">
        <v>273419.21000000002</v>
      </c>
      <c r="M17" s="101">
        <v>0</v>
      </c>
      <c r="N17" s="128" t="s">
        <v>1184</v>
      </c>
      <c r="O17" s="92" t="s">
        <v>1191</v>
      </c>
      <c r="P17" s="127"/>
      <c r="Q17" s="127"/>
    </row>
    <row r="18" spans="2:17" ht="15" customHeight="1" x14ac:dyDescent="0.3">
      <c r="B18" s="128" t="s">
        <v>1076</v>
      </c>
      <c r="C18" s="128" t="s">
        <v>72</v>
      </c>
      <c r="D18" s="129">
        <v>31048</v>
      </c>
      <c r="E18" s="129">
        <v>31048</v>
      </c>
      <c r="F18" s="130">
        <v>249465.24</v>
      </c>
      <c r="G18" s="128" t="s">
        <v>1068</v>
      </c>
      <c r="H18" s="102">
        <v>42</v>
      </c>
      <c r="I18" s="129">
        <v>44926</v>
      </c>
      <c r="J18" s="101">
        <v>639.73</v>
      </c>
      <c r="K18" s="101">
        <v>7677.2</v>
      </c>
      <c r="L18" s="101">
        <v>218735.39</v>
      </c>
      <c r="M18" s="101">
        <v>30729.85</v>
      </c>
      <c r="N18" s="128" t="s">
        <v>1184</v>
      </c>
      <c r="O18" s="92" t="s">
        <v>1191</v>
      </c>
      <c r="P18" s="127"/>
      <c r="Q18" s="127"/>
    </row>
    <row r="19" spans="2:17" ht="15" customHeight="1" x14ac:dyDescent="0.3">
      <c r="B19" s="128" t="s">
        <v>1077</v>
      </c>
      <c r="C19" s="128" t="s">
        <v>72</v>
      </c>
      <c r="D19" s="129">
        <v>31472</v>
      </c>
      <c r="E19" s="129">
        <v>31472</v>
      </c>
      <c r="F19" s="130">
        <v>170411.15</v>
      </c>
      <c r="G19" s="128" t="s">
        <v>1068</v>
      </c>
      <c r="H19" s="102">
        <v>42</v>
      </c>
      <c r="I19" s="129">
        <v>44926</v>
      </c>
      <c r="J19" s="101">
        <v>426.83</v>
      </c>
      <c r="K19" s="101">
        <v>5121.96</v>
      </c>
      <c r="L19" s="101">
        <v>143959.39000000001</v>
      </c>
      <c r="M19" s="101">
        <v>26451.759999999998</v>
      </c>
      <c r="N19" s="128" t="s">
        <v>1184</v>
      </c>
      <c r="O19" s="92" t="s">
        <v>1191</v>
      </c>
      <c r="P19" s="127"/>
      <c r="Q19" s="127"/>
    </row>
    <row r="20" spans="2:17" ht="15" customHeight="1" x14ac:dyDescent="0.3">
      <c r="B20" s="128" t="s">
        <v>1078</v>
      </c>
      <c r="C20" s="128" t="s">
        <v>72</v>
      </c>
      <c r="D20" s="129">
        <v>31778</v>
      </c>
      <c r="E20" s="129">
        <v>31778</v>
      </c>
      <c r="F20" s="130">
        <v>47983.49</v>
      </c>
      <c r="G20" s="128" t="s">
        <v>1068</v>
      </c>
      <c r="H20" s="102">
        <v>42</v>
      </c>
      <c r="I20" s="129">
        <v>44926</v>
      </c>
      <c r="J20" s="101">
        <v>115.49</v>
      </c>
      <c r="K20" s="101">
        <v>1386.32</v>
      </c>
      <c r="L20" s="101">
        <v>39658</v>
      </c>
      <c r="M20" s="101">
        <v>8325.49</v>
      </c>
      <c r="N20" s="128" t="s">
        <v>1184</v>
      </c>
      <c r="O20" s="92" t="s">
        <v>1191</v>
      </c>
      <c r="P20" s="127"/>
      <c r="Q20" s="127"/>
    </row>
    <row r="21" spans="2:17" ht="15" customHeight="1" x14ac:dyDescent="0.3">
      <c r="B21" s="128" t="s">
        <v>1079</v>
      </c>
      <c r="C21" s="128" t="s">
        <v>268</v>
      </c>
      <c r="D21" s="129">
        <v>32203</v>
      </c>
      <c r="E21" s="129">
        <v>32143</v>
      </c>
      <c r="F21" s="130">
        <v>9481869.2200000007</v>
      </c>
      <c r="G21" s="128" t="s">
        <v>1066</v>
      </c>
      <c r="H21" s="102">
        <v>50</v>
      </c>
      <c r="I21" s="129">
        <v>44926</v>
      </c>
      <c r="J21" s="101">
        <v>15803.06</v>
      </c>
      <c r="K21" s="101">
        <v>189637.38</v>
      </c>
      <c r="L21" s="101">
        <v>6538028.6699999999</v>
      </c>
      <c r="M21" s="101">
        <v>2943840.55</v>
      </c>
      <c r="N21" s="128" t="s">
        <v>1184</v>
      </c>
      <c r="O21" s="92" t="s">
        <v>1191</v>
      </c>
      <c r="P21" s="127"/>
      <c r="Q21" s="127"/>
    </row>
    <row r="22" spans="2:17" ht="15" customHeight="1" x14ac:dyDescent="0.3">
      <c r="B22" s="128" t="s">
        <v>1080</v>
      </c>
      <c r="C22" s="128" t="s">
        <v>72</v>
      </c>
      <c r="D22" s="129">
        <v>32509</v>
      </c>
      <c r="E22" s="129">
        <v>32509</v>
      </c>
      <c r="F22" s="130">
        <v>114007.19</v>
      </c>
      <c r="G22" s="128" t="s">
        <v>1066</v>
      </c>
      <c r="H22" s="102">
        <v>35</v>
      </c>
      <c r="I22" s="129">
        <v>44926</v>
      </c>
      <c r="J22" s="101">
        <v>271.39999999999998</v>
      </c>
      <c r="K22" s="101">
        <v>3257.35</v>
      </c>
      <c r="L22" s="101">
        <v>89573.37</v>
      </c>
      <c r="M22" s="101">
        <v>24433.82</v>
      </c>
      <c r="N22" s="128" t="s">
        <v>1184</v>
      </c>
      <c r="O22" s="92" t="s">
        <v>1191</v>
      </c>
      <c r="P22" s="127"/>
      <c r="Q22" s="127"/>
    </row>
    <row r="23" spans="2:17" ht="15" customHeight="1" x14ac:dyDescent="0.3">
      <c r="B23" s="128" t="s">
        <v>1081</v>
      </c>
      <c r="C23" s="128" t="s">
        <v>76</v>
      </c>
      <c r="D23" s="129">
        <v>32874</v>
      </c>
      <c r="E23" s="129">
        <v>32874</v>
      </c>
      <c r="F23" s="130">
        <v>79400</v>
      </c>
      <c r="G23" s="128" t="s">
        <v>1066</v>
      </c>
      <c r="H23" s="102">
        <v>50</v>
      </c>
      <c r="I23" s="129">
        <v>44926</v>
      </c>
      <c r="J23" s="101">
        <v>132.37</v>
      </c>
      <c r="K23" s="101">
        <v>1588</v>
      </c>
      <c r="L23" s="101">
        <v>51611</v>
      </c>
      <c r="M23" s="101">
        <v>27789</v>
      </c>
      <c r="N23" s="128" t="s">
        <v>1186</v>
      </c>
      <c r="O23" s="92" t="s">
        <v>1191</v>
      </c>
      <c r="P23" s="127"/>
      <c r="Q23" s="127"/>
    </row>
    <row r="24" spans="2:17" ht="15" customHeight="1" x14ac:dyDescent="0.3">
      <c r="B24" s="128" t="s">
        <v>1082</v>
      </c>
      <c r="C24" s="128" t="s">
        <v>77</v>
      </c>
      <c r="D24" s="129">
        <v>32874</v>
      </c>
      <c r="E24" s="129">
        <v>32874</v>
      </c>
      <c r="F24" s="130">
        <v>31576.57</v>
      </c>
      <c r="G24" s="128" t="s">
        <v>1066</v>
      </c>
      <c r="H24" s="102">
        <v>35</v>
      </c>
      <c r="I24" s="129">
        <v>44926</v>
      </c>
      <c r="J24" s="101">
        <v>75.209999999999994</v>
      </c>
      <c r="K24" s="101">
        <v>902.19</v>
      </c>
      <c r="L24" s="101">
        <v>24491.23</v>
      </c>
      <c r="M24" s="101">
        <v>7085.34</v>
      </c>
      <c r="N24" s="128" t="s">
        <v>1184</v>
      </c>
      <c r="O24" s="92" t="s">
        <v>1191</v>
      </c>
      <c r="P24" s="127"/>
      <c r="Q24" s="127"/>
    </row>
    <row r="25" spans="2:17" ht="15" customHeight="1" x14ac:dyDescent="0.3">
      <c r="B25" s="128" t="s">
        <v>1083</v>
      </c>
      <c r="C25" s="128" t="s">
        <v>72</v>
      </c>
      <c r="D25" s="129">
        <v>32874</v>
      </c>
      <c r="E25" s="129">
        <v>32874</v>
      </c>
      <c r="F25" s="130">
        <v>9892.49</v>
      </c>
      <c r="G25" s="128" t="s">
        <v>1066</v>
      </c>
      <c r="H25" s="102">
        <v>35</v>
      </c>
      <c r="I25" s="129">
        <v>44926</v>
      </c>
      <c r="J25" s="101">
        <v>23.59</v>
      </c>
      <c r="K25" s="101">
        <v>282.64</v>
      </c>
      <c r="L25" s="101">
        <v>7675.22</v>
      </c>
      <c r="M25" s="101">
        <v>2217.27</v>
      </c>
      <c r="N25" s="128" t="s">
        <v>1184</v>
      </c>
      <c r="O25" s="92" t="s">
        <v>1191</v>
      </c>
      <c r="P25" s="127"/>
      <c r="Q25" s="127"/>
    </row>
    <row r="26" spans="2:17" ht="15" customHeight="1" x14ac:dyDescent="0.3">
      <c r="B26" s="128" t="s">
        <v>1084</v>
      </c>
      <c r="C26" s="128" t="s">
        <v>78</v>
      </c>
      <c r="D26" s="129">
        <v>33239</v>
      </c>
      <c r="E26" s="129">
        <v>33239</v>
      </c>
      <c r="F26" s="130">
        <v>380147.39</v>
      </c>
      <c r="G26" s="128" t="s">
        <v>1066</v>
      </c>
      <c r="H26" s="102">
        <v>35</v>
      </c>
      <c r="I26" s="129">
        <v>44926</v>
      </c>
      <c r="J26" s="101">
        <v>905.14</v>
      </c>
      <c r="K26" s="101">
        <v>10861.35</v>
      </c>
      <c r="L26" s="101">
        <v>287279.65999999997</v>
      </c>
      <c r="M26" s="101">
        <v>92867.73</v>
      </c>
      <c r="N26" s="128" t="s">
        <v>1184</v>
      </c>
      <c r="O26" s="92" t="s">
        <v>1191</v>
      </c>
      <c r="P26" s="127"/>
      <c r="Q26" s="127"/>
    </row>
    <row r="27" spans="2:17" ht="15" customHeight="1" x14ac:dyDescent="0.3">
      <c r="B27" s="128" t="s">
        <v>1085</v>
      </c>
      <c r="C27" s="128" t="s">
        <v>72</v>
      </c>
      <c r="D27" s="129">
        <v>33239</v>
      </c>
      <c r="E27" s="129">
        <v>33239</v>
      </c>
      <c r="F27" s="130">
        <v>16211.58</v>
      </c>
      <c r="G27" s="128" t="s">
        <v>1066</v>
      </c>
      <c r="H27" s="102">
        <v>35</v>
      </c>
      <c r="I27" s="129">
        <v>44926</v>
      </c>
      <c r="J27" s="101">
        <v>38.590000000000003</v>
      </c>
      <c r="K27" s="101">
        <v>463.19</v>
      </c>
      <c r="L27" s="101">
        <v>12717.79</v>
      </c>
      <c r="M27" s="101">
        <v>3493.79</v>
      </c>
      <c r="N27" s="128" t="s">
        <v>1184</v>
      </c>
      <c r="O27" s="92" t="s">
        <v>1191</v>
      </c>
      <c r="P27" s="127"/>
      <c r="Q27" s="127"/>
    </row>
    <row r="28" spans="2:17" ht="15" customHeight="1" x14ac:dyDescent="0.3">
      <c r="B28" s="128" t="s">
        <v>1086</v>
      </c>
      <c r="C28" s="128" t="s">
        <v>72</v>
      </c>
      <c r="D28" s="129">
        <v>33604</v>
      </c>
      <c r="E28" s="129">
        <v>33604</v>
      </c>
      <c r="F28" s="130">
        <v>722523.07</v>
      </c>
      <c r="G28" s="128" t="s">
        <v>1066</v>
      </c>
      <c r="H28" s="102">
        <v>35</v>
      </c>
      <c r="I28" s="129">
        <v>44926</v>
      </c>
      <c r="J28" s="101">
        <v>1720.33</v>
      </c>
      <c r="K28" s="101">
        <v>20643.52</v>
      </c>
      <c r="L28" s="101">
        <v>588772.27</v>
      </c>
      <c r="M28" s="101">
        <v>133750.79999999999</v>
      </c>
      <c r="N28" s="128" t="s">
        <v>1184</v>
      </c>
      <c r="O28" s="92" t="s">
        <v>1191</v>
      </c>
      <c r="P28" s="127"/>
      <c r="Q28" s="127"/>
    </row>
    <row r="29" spans="2:17" ht="15" customHeight="1" x14ac:dyDescent="0.3">
      <c r="B29" s="128" t="s">
        <v>1087</v>
      </c>
      <c r="C29" s="128" t="s">
        <v>78</v>
      </c>
      <c r="D29" s="129">
        <v>33970</v>
      </c>
      <c r="E29" s="129">
        <v>33970</v>
      </c>
      <c r="F29" s="130">
        <v>379833.87</v>
      </c>
      <c r="G29" s="128" t="s">
        <v>1066</v>
      </c>
      <c r="H29" s="102">
        <v>35</v>
      </c>
      <c r="I29" s="129">
        <v>44926</v>
      </c>
      <c r="J29" s="101">
        <v>904.33</v>
      </c>
      <c r="K29" s="101">
        <v>10852.4</v>
      </c>
      <c r="L29" s="101">
        <v>300026.05</v>
      </c>
      <c r="M29" s="101">
        <v>79807.820000000007</v>
      </c>
      <c r="N29" s="128" t="s">
        <v>1184</v>
      </c>
      <c r="O29" s="92" t="s">
        <v>1191</v>
      </c>
      <c r="P29" s="127"/>
      <c r="Q29" s="127"/>
    </row>
    <row r="30" spans="2:17" ht="15" customHeight="1" x14ac:dyDescent="0.3">
      <c r="B30" s="128" t="s">
        <v>1088</v>
      </c>
      <c r="C30" s="128" t="s">
        <v>78</v>
      </c>
      <c r="D30" s="129">
        <v>34335</v>
      </c>
      <c r="E30" s="129">
        <v>34335</v>
      </c>
      <c r="F30" s="130">
        <v>155732.73000000001</v>
      </c>
      <c r="G30" s="128" t="s">
        <v>1066</v>
      </c>
      <c r="H30" s="102">
        <v>35</v>
      </c>
      <c r="I30" s="129">
        <v>44926</v>
      </c>
      <c r="J30" s="101">
        <v>370.82</v>
      </c>
      <c r="K30" s="101">
        <v>4449.51</v>
      </c>
      <c r="L30" s="101">
        <v>106786.91</v>
      </c>
      <c r="M30" s="101">
        <v>48945.82</v>
      </c>
      <c r="N30" s="128" t="s">
        <v>1184</v>
      </c>
      <c r="O30" s="92" t="s">
        <v>1191</v>
      </c>
      <c r="P30" s="127"/>
      <c r="Q30" s="127"/>
    </row>
    <row r="31" spans="2:17" ht="15" customHeight="1" x14ac:dyDescent="0.3">
      <c r="B31" s="128" t="s">
        <v>1089</v>
      </c>
      <c r="C31" s="128" t="s">
        <v>79</v>
      </c>
      <c r="D31" s="129">
        <v>34700</v>
      </c>
      <c r="E31" s="129">
        <v>34700</v>
      </c>
      <c r="F31" s="130">
        <v>20543</v>
      </c>
      <c r="G31" s="128" t="s">
        <v>1066</v>
      </c>
      <c r="H31" s="102">
        <v>35</v>
      </c>
      <c r="I31" s="129">
        <v>44926</v>
      </c>
      <c r="J31" s="101">
        <v>48.93</v>
      </c>
      <c r="K31" s="101">
        <v>586.94000000000005</v>
      </c>
      <c r="L31" s="101">
        <v>19154.84</v>
      </c>
      <c r="M31" s="101">
        <v>1388.16</v>
      </c>
      <c r="N31" s="128" t="s">
        <v>1184</v>
      </c>
      <c r="O31" s="92" t="s">
        <v>1191</v>
      </c>
      <c r="P31" s="127"/>
      <c r="Q31" s="127"/>
    </row>
    <row r="32" spans="2:17" ht="15" customHeight="1" x14ac:dyDescent="0.3">
      <c r="B32" s="128" t="s">
        <v>1090</v>
      </c>
      <c r="C32" s="128" t="s">
        <v>75</v>
      </c>
      <c r="D32" s="129">
        <v>35796</v>
      </c>
      <c r="E32" s="129">
        <v>35796</v>
      </c>
      <c r="F32" s="130">
        <v>294439.5</v>
      </c>
      <c r="G32" s="128" t="s">
        <v>1066</v>
      </c>
      <c r="H32" s="102">
        <v>35</v>
      </c>
      <c r="I32" s="129">
        <v>44926</v>
      </c>
      <c r="J32" s="101">
        <v>701.01</v>
      </c>
      <c r="K32" s="101">
        <v>8412.56</v>
      </c>
      <c r="L32" s="101">
        <v>181290.61</v>
      </c>
      <c r="M32" s="101">
        <v>113148.89</v>
      </c>
      <c r="N32" s="128" t="s">
        <v>1184</v>
      </c>
      <c r="O32" s="92" t="s">
        <v>1191</v>
      </c>
      <c r="P32" s="127"/>
      <c r="Q32" s="127"/>
    </row>
    <row r="33" spans="1:17" ht="15" customHeight="1" x14ac:dyDescent="0.3">
      <c r="B33" s="128" t="s">
        <v>1091</v>
      </c>
      <c r="C33" s="128" t="s">
        <v>80</v>
      </c>
      <c r="D33" s="129">
        <v>36161</v>
      </c>
      <c r="E33" s="129">
        <v>36161</v>
      </c>
      <c r="F33" s="130">
        <v>12564</v>
      </c>
      <c r="G33" s="128" t="s">
        <v>1066</v>
      </c>
      <c r="H33" s="102">
        <v>35</v>
      </c>
      <c r="I33" s="129">
        <v>44926</v>
      </c>
      <c r="J33" s="101">
        <v>29.96</v>
      </c>
      <c r="K33" s="101">
        <v>358.97</v>
      </c>
      <c r="L33" s="101">
        <v>7484.53</v>
      </c>
      <c r="M33" s="101">
        <v>5079.47</v>
      </c>
      <c r="N33" s="128" t="s">
        <v>1184</v>
      </c>
      <c r="O33" s="92" t="s">
        <v>1191</v>
      </c>
      <c r="P33" s="127"/>
      <c r="Q33" s="127"/>
    </row>
    <row r="34" spans="1:17" ht="15" customHeight="1" x14ac:dyDescent="0.3">
      <c r="B34" s="128" t="s">
        <v>1092</v>
      </c>
      <c r="C34" s="128" t="s">
        <v>81</v>
      </c>
      <c r="D34" s="129">
        <v>36161</v>
      </c>
      <c r="E34" s="129">
        <v>36161</v>
      </c>
      <c r="F34" s="130">
        <v>4807404.99</v>
      </c>
      <c r="G34" s="128" t="s">
        <v>1066</v>
      </c>
      <c r="H34" s="102">
        <v>50</v>
      </c>
      <c r="I34" s="129">
        <v>44926</v>
      </c>
      <c r="J34" s="101">
        <v>8012.36</v>
      </c>
      <c r="K34" s="101">
        <v>96148.1</v>
      </c>
      <c r="L34" s="101">
        <v>2259480.35</v>
      </c>
      <c r="M34" s="101">
        <v>2547924.64</v>
      </c>
      <c r="N34" s="128" t="s">
        <v>1185</v>
      </c>
      <c r="O34" s="92" t="s">
        <v>1191</v>
      </c>
      <c r="P34" s="127"/>
      <c r="Q34" s="127"/>
    </row>
    <row r="35" spans="1:17" ht="15" customHeight="1" x14ac:dyDescent="0.3">
      <c r="B35" s="128" t="s">
        <v>1093</v>
      </c>
      <c r="C35" s="128" t="s">
        <v>269</v>
      </c>
      <c r="D35" s="129">
        <v>36161</v>
      </c>
      <c r="E35" s="129">
        <v>36161</v>
      </c>
      <c r="F35" s="130">
        <v>204709.35</v>
      </c>
      <c r="G35" s="128" t="s">
        <v>1066</v>
      </c>
      <c r="H35" s="102">
        <v>35</v>
      </c>
      <c r="I35" s="129">
        <v>44926</v>
      </c>
      <c r="J35" s="101">
        <v>487.44</v>
      </c>
      <c r="K35" s="101">
        <v>5848.84</v>
      </c>
      <c r="L35" s="101">
        <v>121948.26</v>
      </c>
      <c r="M35" s="101">
        <v>82761.09</v>
      </c>
      <c r="N35" s="128" t="s">
        <v>1184</v>
      </c>
      <c r="O35" s="92" t="s">
        <v>1191</v>
      </c>
      <c r="P35" s="127"/>
      <c r="Q35" s="127"/>
    </row>
    <row r="36" spans="1:17" ht="15" customHeight="1" x14ac:dyDescent="0.3">
      <c r="B36" s="128" t="s">
        <v>1094</v>
      </c>
      <c r="C36" s="128" t="s">
        <v>82</v>
      </c>
      <c r="D36" s="129">
        <v>36161</v>
      </c>
      <c r="E36" s="129">
        <v>36161</v>
      </c>
      <c r="F36" s="130">
        <v>84582.61</v>
      </c>
      <c r="G36" s="128" t="s">
        <v>1066</v>
      </c>
      <c r="H36" s="102">
        <v>35</v>
      </c>
      <c r="I36" s="129">
        <v>44926</v>
      </c>
      <c r="J36" s="101">
        <v>201.36</v>
      </c>
      <c r="K36" s="101">
        <v>2416.65</v>
      </c>
      <c r="L36" s="101">
        <v>50387.14</v>
      </c>
      <c r="M36" s="101">
        <v>34195.47</v>
      </c>
      <c r="N36" s="128" t="s">
        <v>1184</v>
      </c>
      <c r="O36" s="92" t="s">
        <v>1191</v>
      </c>
      <c r="P36" s="125"/>
      <c r="Q36" s="125"/>
    </row>
    <row r="37" spans="1:17" ht="15" customHeight="1" x14ac:dyDescent="0.3">
      <c r="A37" s="122"/>
      <c r="B37" s="128" t="s">
        <v>1095</v>
      </c>
      <c r="C37" s="128" t="s">
        <v>83</v>
      </c>
      <c r="D37" s="129">
        <v>36161</v>
      </c>
      <c r="E37" s="129">
        <v>36161</v>
      </c>
      <c r="F37" s="130">
        <v>81896</v>
      </c>
      <c r="G37" s="128" t="s">
        <v>1066</v>
      </c>
      <c r="H37" s="102">
        <v>35</v>
      </c>
      <c r="I37" s="129">
        <v>44926</v>
      </c>
      <c r="J37" s="101">
        <v>195</v>
      </c>
      <c r="K37" s="101">
        <v>2339.89</v>
      </c>
      <c r="L37" s="101">
        <v>48786.67</v>
      </c>
      <c r="M37" s="101">
        <v>33109.33</v>
      </c>
      <c r="N37" s="128" t="s">
        <v>1184</v>
      </c>
      <c r="O37" s="92" t="s">
        <v>1191</v>
      </c>
      <c r="P37" s="127"/>
      <c r="Q37" s="127"/>
    </row>
    <row r="38" spans="1:17" ht="15" customHeight="1" x14ac:dyDescent="0.3">
      <c r="B38" s="128" t="s">
        <v>1096</v>
      </c>
      <c r="C38" s="128" t="s">
        <v>84</v>
      </c>
      <c r="D38" s="129">
        <v>36526</v>
      </c>
      <c r="E38" s="129">
        <v>36526</v>
      </c>
      <c r="F38" s="130">
        <v>29857</v>
      </c>
      <c r="G38" s="128" t="s">
        <v>1066</v>
      </c>
      <c r="H38" s="102">
        <v>35</v>
      </c>
      <c r="I38" s="129">
        <v>41820</v>
      </c>
      <c r="J38" s="101">
        <v>0</v>
      </c>
      <c r="K38" s="101">
        <v>0</v>
      </c>
      <c r="L38" s="101">
        <v>29857</v>
      </c>
      <c r="M38" s="101">
        <v>0</v>
      </c>
      <c r="N38" s="128" t="s">
        <v>1185</v>
      </c>
      <c r="O38" s="92" t="s">
        <v>1191</v>
      </c>
      <c r="P38" s="127"/>
      <c r="Q38" s="127"/>
    </row>
    <row r="39" spans="1:17" ht="15" customHeight="1" x14ac:dyDescent="0.3">
      <c r="B39" s="128" t="s">
        <v>1097</v>
      </c>
      <c r="C39" s="128" t="s">
        <v>85</v>
      </c>
      <c r="D39" s="129">
        <v>36526</v>
      </c>
      <c r="E39" s="129">
        <v>36526</v>
      </c>
      <c r="F39" s="130">
        <v>965604.08</v>
      </c>
      <c r="G39" s="128" t="s">
        <v>1066</v>
      </c>
      <c r="H39" s="102">
        <v>35</v>
      </c>
      <c r="I39" s="129">
        <v>44926</v>
      </c>
      <c r="J39" s="101">
        <v>2299.0300000000002</v>
      </c>
      <c r="K39" s="101">
        <v>27588.69</v>
      </c>
      <c r="L39" s="101">
        <v>555912.12</v>
      </c>
      <c r="M39" s="101">
        <v>409691.96</v>
      </c>
      <c r="N39" s="128" t="s">
        <v>1184</v>
      </c>
      <c r="O39" s="92" t="s">
        <v>1191</v>
      </c>
      <c r="P39" s="127"/>
      <c r="Q39" s="127"/>
    </row>
    <row r="40" spans="1:17" ht="15" customHeight="1" x14ac:dyDescent="0.3">
      <c r="B40" s="128" t="s">
        <v>1098</v>
      </c>
      <c r="C40" s="128" t="s">
        <v>86</v>
      </c>
      <c r="D40" s="129">
        <v>36892</v>
      </c>
      <c r="E40" s="129">
        <v>36892</v>
      </c>
      <c r="F40" s="130">
        <v>67762.59</v>
      </c>
      <c r="G40" s="128" t="s">
        <v>1066</v>
      </c>
      <c r="H40" s="102">
        <v>35</v>
      </c>
      <c r="I40" s="129">
        <v>44926</v>
      </c>
      <c r="J40" s="101">
        <v>161.33000000000001</v>
      </c>
      <c r="K40" s="101">
        <v>1936.07</v>
      </c>
      <c r="L40" s="101">
        <v>37656.589999999997</v>
      </c>
      <c r="M40" s="101">
        <v>30106</v>
      </c>
      <c r="N40" s="128" t="s">
        <v>1184</v>
      </c>
      <c r="O40" s="92" t="s">
        <v>1191</v>
      </c>
      <c r="P40" s="127"/>
      <c r="Q40" s="127"/>
    </row>
    <row r="41" spans="1:17" ht="15" customHeight="1" x14ac:dyDescent="0.3">
      <c r="B41" s="128" t="s">
        <v>1099</v>
      </c>
      <c r="C41" s="128" t="s">
        <v>87</v>
      </c>
      <c r="D41" s="129">
        <v>37257</v>
      </c>
      <c r="E41" s="129">
        <v>37257</v>
      </c>
      <c r="F41" s="130">
        <v>4746.6099999999997</v>
      </c>
      <c r="G41" s="128" t="s">
        <v>1066</v>
      </c>
      <c r="H41" s="102">
        <v>35</v>
      </c>
      <c r="I41" s="129">
        <v>44926</v>
      </c>
      <c r="J41" s="101">
        <v>11.32</v>
      </c>
      <c r="K41" s="101">
        <v>135.62</v>
      </c>
      <c r="L41" s="101">
        <v>2542.86</v>
      </c>
      <c r="M41" s="101">
        <v>2203.75</v>
      </c>
      <c r="N41" s="128" t="s">
        <v>1184</v>
      </c>
      <c r="O41" s="92" t="s">
        <v>1191</v>
      </c>
      <c r="P41" s="127"/>
      <c r="Q41" s="127"/>
    </row>
    <row r="42" spans="1:17" ht="15" customHeight="1" x14ac:dyDescent="0.3">
      <c r="B42" s="128" t="s">
        <v>1100</v>
      </c>
      <c r="C42" s="128" t="s">
        <v>88</v>
      </c>
      <c r="D42" s="129">
        <v>37257</v>
      </c>
      <c r="E42" s="129">
        <v>37257</v>
      </c>
      <c r="F42" s="130">
        <v>300045.84999999998</v>
      </c>
      <c r="G42" s="128" t="s">
        <v>1066</v>
      </c>
      <c r="H42" s="102">
        <v>35</v>
      </c>
      <c r="I42" s="129">
        <v>44926</v>
      </c>
      <c r="J42" s="101">
        <v>714.45</v>
      </c>
      <c r="K42" s="101">
        <v>8572.74</v>
      </c>
      <c r="L42" s="101">
        <v>163547.34</v>
      </c>
      <c r="M42" s="101">
        <v>136498.51</v>
      </c>
      <c r="N42" s="128" t="s">
        <v>1184</v>
      </c>
      <c r="O42" s="92" t="s">
        <v>1191</v>
      </c>
      <c r="P42" s="127"/>
      <c r="Q42" s="127"/>
    </row>
    <row r="43" spans="1:17" ht="15" customHeight="1" x14ac:dyDescent="0.3">
      <c r="B43" s="128" t="s">
        <v>1101</v>
      </c>
      <c r="C43" s="128" t="s">
        <v>93</v>
      </c>
      <c r="D43" s="129">
        <v>37987</v>
      </c>
      <c r="E43" s="129">
        <v>37987</v>
      </c>
      <c r="F43" s="130">
        <v>368489.86</v>
      </c>
      <c r="G43" s="128" t="s">
        <v>1066</v>
      </c>
      <c r="H43" s="102">
        <v>35</v>
      </c>
      <c r="I43" s="129">
        <v>44926</v>
      </c>
      <c r="J43" s="101">
        <v>877.32</v>
      </c>
      <c r="K43" s="101">
        <v>10528.28</v>
      </c>
      <c r="L43" s="101">
        <v>225042</v>
      </c>
      <c r="M43" s="101">
        <v>143447.85999999999</v>
      </c>
      <c r="N43" s="128" t="s">
        <v>1184</v>
      </c>
      <c r="O43" s="92" t="s">
        <v>1191</v>
      </c>
      <c r="P43" s="127"/>
      <c r="Q43" s="127"/>
    </row>
    <row r="44" spans="1:17" ht="15" customHeight="1" x14ac:dyDescent="0.3">
      <c r="B44" s="128" t="s">
        <v>1102</v>
      </c>
      <c r="C44" s="128" t="s">
        <v>94</v>
      </c>
      <c r="D44" s="129">
        <v>38718</v>
      </c>
      <c r="E44" s="129">
        <v>38718</v>
      </c>
      <c r="F44" s="130">
        <v>46303</v>
      </c>
      <c r="G44" s="128" t="s">
        <v>1066</v>
      </c>
      <c r="H44" s="102">
        <v>35</v>
      </c>
      <c r="I44" s="129">
        <v>44926</v>
      </c>
      <c r="J44" s="101">
        <v>110.19</v>
      </c>
      <c r="K44" s="101">
        <v>1322.94</v>
      </c>
      <c r="L44" s="101">
        <v>23647.56</v>
      </c>
      <c r="M44" s="101">
        <v>22655.439999999999</v>
      </c>
      <c r="N44" s="128" t="s">
        <v>1184</v>
      </c>
      <c r="O44" s="92" t="s">
        <v>1191</v>
      </c>
      <c r="P44" s="127"/>
      <c r="Q44" s="127"/>
    </row>
    <row r="45" spans="1:17" ht="15" customHeight="1" x14ac:dyDescent="0.3">
      <c r="B45" s="128" t="s">
        <v>1103</v>
      </c>
      <c r="C45" s="128" t="s">
        <v>95</v>
      </c>
      <c r="D45" s="129">
        <v>38718</v>
      </c>
      <c r="E45" s="129">
        <v>38718</v>
      </c>
      <c r="F45" s="130">
        <v>50745</v>
      </c>
      <c r="G45" s="128" t="s">
        <v>1066</v>
      </c>
      <c r="H45" s="102">
        <v>35</v>
      </c>
      <c r="I45" s="129">
        <v>44926</v>
      </c>
      <c r="J45" s="101">
        <v>120.84</v>
      </c>
      <c r="K45" s="101">
        <v>1449.86</v>
      </c>
      <c r="L45" s="101">
        <v>25916.240000000002</v>
      </c>
      <c r="M45" s="101">
        <v>24828.76</v>
      </c>
      <c r="N45" s="128" t="s">
        <v>1184</v>
      </c>
      <c r="O45" s="92" t="s">
        <v>1191</v>
      </c>
      <c r="P45" s="125"/>
      <c r="Q45" s="125"/>
    </row>
    <row r="46" spans="1:17" ht="15" customHeight="1" x14ac:dyDescent="0.3">
      <c r="A46" s="122"/>
      <c r="B46" s="128" t="s">
        <v>1104</v>
      </c>
      <c r="C46" s="128" t="s">
        <v>96</v>
      </c>
      <c r="D46" s="129">
        <v>38718</v>
      </c>
      <c r="E46" s="129">
        <v>38718</v>
      </c>
      <c r="F46" s="130">
        <v>246932.67</v>
      </c>
      <c r="G46" s="128" t="s">
        <v>1066</v>
      </c>
      <c r="H46" s="102">
        <v>10</v>
      </c>
      <c r="I46" s="129">
        <v>42369</v>
      </c>
      <c r="J46" s="101">
        <v>0</v>
      </c>
      <c r="K46" s="101">
        <v>0</v>
      </c>
      <c r="L46" s="101">
        <v>246932.67</v>
      </c>
      <c r="M46" s="101">
        <v>0</v>
      </c>
      <c r="N46" s="128" t="s">
        <v>1186</v>
      </c>
      <c r="O46" s="92" t="s">
        <v>1191</v>
      </c>
      <c r="P46" s="127"/>
      <c r="Q46" s="127"/>
    </row>
    <row r="47" spans="1:17" ht="15" customHeight="1" x14ac:dyDescent="0.3">
      <c r="B47" s="128" t="s">
        <v>1105</v>
      </c>
      <c r="C47" s="128" t="s">
        <v>270</v>
      </c>
      <c r="D47" s="129">
        <v>36161</v>
      </c>
      <c r="E47" s="129">
        <v>36161</v>
      </c>
      <c r="F47" s="130">
        <v>7795</v>
      </c>
      <c r="G47" s="128" t="s">
        <v>1066</v>
      </c>
      <c r="H47" s="102">
        <v>20</v>
      </c>
      <c r="I47" s="129">
        <v>43465</v>
      </c>
      <c r="J47" s="101">
        <v>0</v>
      </c>
      <c r="K47" s="101">
        <v>0</v>
      </c>
      <c r="L47" s="101">
        <v>7795</v>
      </c>
      <c r="M47" s="101">
        <v>0</v>
      </c>
      <c r="N47" s="128" t="s">
        <v>1187</v>
      </c>
      <c r="O47" s="92" t="s">
        <v>1191</v>
      </c>
      <c r="P47" s="127"/>
      <c r="Q47" s="127"/>
    </row>
    <row r="48" spans="1:17" ht="15" customHeight="1" x14ac:dyDescent="0.3">
      <c r="B48" s="128" t="s">
        <v>1106</v>
      </c>
      <c r="C48" s="128" t="s">
        <v>99</v>
      </c>
      <c r="D48" s="129">
        <v>39644</v>
      </c>
      <c r="E48" s="129">
        <v>39644</v>
      </c>
      <c r="F48" s="130">
        <v>11186.48</v>
      </c>
      <c r="G48" s="128" t="s">
        <v>1066</v>
      </c>
      <c r="H48" s="102">
        <v>10</v>
      </c>
      <c r="I48" s="129">
        <v>43281</v>
      </c>
      <c r="J48" s="101">
        <v>0</v>
      </c>
      <c r="K48" s="101">
        <v>0</v>
      </c>
      <c r="L48" s="101">
        <v>11186.48</v>
      </c>
      <c r="M48" s="101">
        <v>0</v>
      </c>
      <c r="N48" s="128" t="s">
        <v>1186</v>
      </c>
      <c r="O48" s="92" t="s">
        <v>1191</v>
      </c>
      <c r="P48" s="127"/>
      <c r="Q48" s="127"/>
    </row>
    <row r="49" spans="2:17" ht="15" customHeight="1" x14ac:dyDescent="0.3">
      <c r="B49" s="128" t="s">
        <v>1107</v>
      </c>
      <c r="C49" s="128" t="s">
        <v>97</v>
      </c>
      <c r="D49" s="129">
        <v>39448</v>
      </c>
      <c r="E49" s="129">
        <v>39448</v>
      </c>
      <c r="F49" s="130">
        <v>89126.68</v>
      </c>
      <c r="G49" s="128" t="s">
        <v>1066</v>
      </c>
      <c r="H49" s="102">
        <v>10</v>
      </c>
      <c r="I49" s="129">
        <v>43100</v>
      </c>
      <c r="J49" s="101">
        <v>0</v>
      </c>
      <c r="K49" s="101">
        <v>0</v>
      </c>
      <c r="L49" s="101">
        <v>89126.68</v>
      </c>
      <c r="M49" s="101">
        <v>0</v>
      </c>
      <c r="N49" s="128" t="s">
        <v>1186</v>
      </c>
      <c r="O49" s="92" t="s">
        <v>1191</v>
      </c>
      <c r="P49" s="127"/>
      <c r="Q49" s="127"/>
    </row>
    <row r="50" spans="2:17" ht="15" customHeight="1" x14ac:dyDescent="0.3">
      <c r="B50" s="128" t="s">
        <v>1108</v>
      </c>
      <c r="C50" s="128" t="s">
        <v>98</v>
      </c>
      <c r="D50" s="129">
        <v>39448</v>
      </c>
      <c r="E50" s="129">
        <v>39448</v>
      </c>
      <c r="F50" s="130">
        <v>29996.9</v>
      </c>
      <c r="G50" s="128" t="s">
        <v>1066</v>
      </c>
      <c r="H50" s="102">
        <v>10</v>
      </c>
      <c r="I50" s="129">
        <v>43100</v>
      </c>
      <c r="J50" s="101">
        <v>0</v>
      </c>
      <c r="K50" s="101">
        <v>0</v>
      </c>
      <c r="L50" s="101">
        <v>29996.9</v>
      </c>
      <c r="M50" s="101">
        <v>0</v>
      </c>
      <c r="N50" s="128" t="s">
        <v>1186</v>
      </c>
      <c r="O50" s="92" t="s">
        <v>1191</v>
      </c>
      <c r="P50" s="127"/>
      <c r="Q50" s="127"/>
    </row>
    <row r="51" spans="2:17" ht="15" customHeight="1" x14ac:dyDescent="0.3">
      <c r="B51" s="128" t="s">
        <v>1109</v>
      </c>
      <c r="C51" s="128" t="s">
        <v>98</v>
      </c>
      <c r="D51" s="129">
        <v>39448</v>
      </c>
      <c r="E51" s="129">
        <v>39448</v>
      </c>
      <c r="F51" s="130">
        <v>29996.9</v>
      </c>
      <c r="G51" s="128" t="s">
        <v>1066</v>
      </c>
      <c r="H51" s="102">
        <v>10</v>
      </c>
      <c r="I51" s="129">
        <v>43100</v>
      </c>
      <c r="J51" s="101">
        <v>0</v>
      </c>
      <c r="K51" s="101">
        <v>0</v>
      </c>
      <c r="L51" s="101">
        <v>29996.9</v>
      </c>
      <c r="M51" s="101">
        <v>0</v>
      </c>
      <c r="N51" s="128" t="s">
        <v>1186</v>
      </c>
      <c r="O51" s="92" t="s">
        <v>1191</v>
      </c>
      <c r="P51" s="127"/>
      <c r="Q51" s="127"/>
    </row>
    <row r="52" spans="2:17" ht="15" customHeight="1" x14ac:dyDescent="0.3">
      <c r="B52" s="128" t="s">
        <v>1110</v>
      </c>
      <c r="C52" s="128" t="s">
        <v>143</v>
      </c>
      <c r="D52" s="129">
        <v>39883</v>
      </c>
      <c r="E52" s="129">
        <v>39883</v>
      </c>
      <c r="F52" s="130">
        <v>2069.52</v>
      </c>
      <c r="G52" s="128" t="s">
        <v>1066</v>
      </c>
      <c r="H52" s="102">
        <v>10</v>
      </c>
      <c r="I52" s="129">
        <v>43524</v>
      </c>
      <c r="J52" s="101">
        <v>0</v>
      </c>
      <c r="K52" s="101">
        <v>0</v>
      </c>
      <c r="L52" s="101">
        <v>2069.52</v>
      </c>
      <c r="M52" s="101">
        <v>0</v>
      </c>
      <c r="N52" s="128" t="s">
        <v>1186</v>
      </c>
      <c r="O52" s="92" t="s">
        <v>1191</v>
      </c>
      <c r="P52" s="127"/>
      <c r="Q52" s="127"/>
    </row>
    <row r="53" spans="2:17" ht="15" customHeight="1" x14ac:dyDescent="0.3">
      <c r="B53" s="128" t="s">
        <v>1111</v>
      </c>
      <c r="C53" s="128" t="s">
        <v>156</v>
      </c>
      <c r="D53" s="129">
        <v>39904</v>
      </c>
      <c r="E53" s="129">
        <v>39904</v>
      </c>
      <c r="F53" s="130">
        <v>3573.03</v>
      </c>
      <c r="G53" s="128" t="s">
        <v>1066</v>
      </c>
      <c r="H53" s="102">
        <v>35</v>
      </c>
      <c r="I53" s="129">
        <v>44926</v>
      </c>
      <c r="J53" s="101">
        <v>8.48</v>
      </c>
      <c r="K53" s="101">
        <v>102.09</v>
      </c>
      <c r="L53" s="101">
        <v>1403.74</v>
      </c>
      <c r="M53" s="101">
        <v>2169.29</v>
      </c>
      <c r="N53" s="128" t="s">
        <v>1188</v>
      </c>
      <c r="O53" s="92" t="s">
        <v>1191</v>
      </c>
      <c r="P53" s="127"/>
      <c r="Q53" s="127"/>
    </row>
    <row r="54" spans="2:17" ht="15" customHeight="1" x14ac:dyDescent="0.3">
      <c r="B54" s="128" t="s">
        <v>1112</v>
      </c>
      <c r="C54" s="128" t="s">
        <v>166</v>
      </c>
      <c r="D54" s="129">
        <v>40299</v>
      </c>
      <c r="E54" s="129">
        <v>40299</v>
      </c>
      <c r="F54" s="130">
        <v>35252.230000000003</v>
      </c>
      <c r="G54" s="128" t="s">
        <v>1066</v>
      </c>
      <c r="H54" s="102">
        <v>24</v>
      </c>
      <c r="I54" s="129">
        <v>44926</v>
      </c>
      <c r="J54" s="101">
        <v>122.44</v>
      </c>
      <c r="K54" s="101">
        <v>1468.84</v>
      </c>
      <c r="L54" s="101">
        <v>18605.310000000001</v>
      </c>
      <c r="M54" s="101">
        <v>16646.919999999998</v>
      </c>
      <c r="N54" s="128" t="s">
        <v>1184</v>
      </c>
      <c r="O54" s="92" t="s">
        <v>1191</v>
      </c>
      <c r="P54" s="127"/>
      <c r="Q54" s="127"/>
    </row>
    <row r="55" spans="2:17" ht="15" customHeight="1" x14ac:dyDescent="0.3">
      <c r="B55" s="128" t="s">
        <v>1113</v>
      </c>
      <c r="C55" s="128" t="s">
        <v>271</v>
      </c>
      <c r="D55" s="129">
        <v>40544</v>
      </c>
      <c r="E55" s="129">
        <v>40544</v>
      </c>
      <c r="F55" s="130">
        <v>7017</v>
      </c>
      <c r="G55" s="128" t="s">
        <v>1066</v>
      </c>
      <c r="H55" s="102">
        <v>35</v>
      </c>
      <c r="I55" s="129">
        <v>44926</v>
      </c>
      <c r="J55" s="101">
        <v>16.68</v>
      </c>
      <c r="K55" s="101">
        <v>200.49</v>
      </c>
      <c r="L55" s="101">
        <v>2405.88</v>
      </c>
      <c r="M55" s="101">
        <v>4611.12</v>
      </c>
      <c r="N55" s="128" t="s">
        <v>1184</v>
      </c>
      <c r="O55" s="92" t="s">
        <v>1191</v>
      </c>
      <c r="P55" s="127"/>
      <c r="Q55" s="127"/>
    </row>
    <row r="56" spans="2:17" ht="15" customHeight="1" x14ac:dyDescent="0.3">
      <c r="B56" s="128" t="s">
        <v>1114</v>
      </c>
      <c r="C56" s="128" t="s">
        <v>272</v>
      </c>
      <c r="D56" s="129">
        <v>40755</v>
      </c>
      <c r="E56" s="129">
        <v>40755</v>
      </c>
      <c r="F56" s="130">
        <v>8361.9699999999993</v>
      </c>
      <c r="G56" s="128" t="s">
        <v>1066</v>
      </c>
      <c r="H56" s="102">
        <v>15</v>
      </c>
      <c r="I56" s="129">
        <v>44926</v>
      </c>
      <c r="J56" s="101">
        <v>46.4</v>
      </c>
      <c r="K56" s="101">
        <v>557.46</v>
      </c>
      <c r="L56" s="101">
        <v>6364.36</v>
      </c>
      <c r="M56" s="101">
        <v>1997.61</v>
      </c>
      <c r="N56" s="128" t="s">
        <v>1184</v>
      </c>
      <c r="O56" s="92" t="s">
        <v>1191</v>
      </c>
      <c r="P56" s="127"/>
      <c r="Q56" s="127"/>
    </row>
    <row r="57" spans="2:17" ht="15" customHeight="1" x14ac:dyDescent="0.3">
      <c r="B57" s="128" t="s">
        <v>1115</v>
      </c>
      <c r="C57" s="128" t="s">
        <v>184</v>
      </c>
      <c r="D57" s="129">
        <v>40816</v>
      </c>
      <c r="E57" s="129">
        <v>40816</v>
      </c>
      <c r="F57" s="130">
        <v>87231.1</v>
      </c>
      <c r="G57" s="128" t="s">
        <v>1066</v>
      </c>
      <c r="H57" s="102">
        <v>35</v>
      </c>
      <c r="I57" s="129">
        <v>44926</v>
      </c>
      <c r="J57" s="101">
        <v>207.73</v>
      </c>
      <c r="K57" s="101">
        <v>2492.3200000000002</v>
      </c>
      <c r="L57" s="101">
        <v>28038.57</v>
      </c>
      <c r="M57" s="101">
        <v>59192.53</v>
      </c>
      <c r="N57" s="128" t="s">
        <v>1184</v>
      </c>
      <c r="O57" s="92" t="s">
        <v>1191</v>
      </c>
      <c r="P57" s="127"/>
      <c r="Q57" s="127"/>
    </row>
    <row r="58" spans="2:17" ht="15" customHeight="1" x14ac:dyDescent="0.3">
      <c r="B58" s="128" t="s">
        <v>1116</v>
      </c>
      <c r="C58" s="128" t="s">
        <v>185</v>
      </c>
      <c r="D58" s="129">
        <v>40847</v>
      </c>
      <c r="E58" s="129">
        <v>40847</v>
      </c>
      <c r="F58" s="130">
        <v>16898.900000000001</v>
      </c>
      <c r="G58" s="128" t="s">
        <v>1066</v>
      </c>
      <c r="H58" s="102">
        <v>15</v>
      </c>
      <c r="I58" s="129">
        <v>44926</v>
      </c>
      <c r="J58" s="101">
        <v>93.91</v>
      </c>
      <c r="K58" s="101">
        <v>1126.5899999999999</v>
      </c>
      <c r="L58" s="101">
        <v>12580.26</v>
      </c>
      <c r="M58" s="101">
        <v>4318.6400000000003</v>
      </c>
      <c r="N58" s="128" t="s">
        <v>1186</v>
      </c>
      <c r="O58" s="92" t="s">
        <v>1191</v>
      </c>
      <c r="P58" s="127"/>
      <c r="Q58" s="127"/>
    </row>
    <row r="59" spans="2:17" ht="15" customHeight="1" x14ac:dyDescent="0.3">
      <c r="B59" s="128" t="s">
        <v>1117</v>
      </c>
      <c r="C59" s="128" t="s">
        <v>186</v>
      </c>
      <c r="D59" s="129">
        <v>40847</v>
      </c>
      <c r="E59" s="129">
        <v>40847</v>
      </c>
      <c r="F59" s="130">
        <v>74909.59</v>
      </c>
      <c r="G59" s="128" t="s">
        <v>1066</v>
      </c>
      <c r="H59" s="102">
        <v>50</v>
      </c>
      <c r="I59" s="129">
        <v>44926</v>
      </c>
      <c r="J59" s="101">
        <v>124.84</v>
      </c>
      <c r="K59" s="101">
        <v>1498.19</v>
      </c>
      <c r="L59" s="101">
        <v>16729.79</v>
      </c>
      <c r="M59" s="101">
        <v>58179.8</v>
      </c>
      <c r="N59" s="128" t="s">
        <v>1184</v>
      </c>
      <c r="O59" s="92" t="s">
        <v>1191</v>
      </c>
      <c r="P59" s="127"/>
      <c r="Q59" s="127"/>
    </row>
    <row r="60" spans="2:17" ht="15" customHeight="1" x14ac:dyDescent="0.3">
      <c r="B60" s="128" t="s">
        <v>1118</v>
      </c>
      <c r="C60" s="128" t="s">
        <v>273</v>
      </c>
      <c r="D60" s="129">
        <v>40908</v>
      </c>
      <c r="E60" s="129">
        <v>40908</v>
      </c>
      <c r="F60" s="130">
        <v>13768.34</v>
      </c>
      <c r="G60" s="128" t="s">
        <v>1066</v>
      </c>
      <c r="H60" s="102">
        <v>15</v>
      </c>
      <c r="I60" s="129">
        <v>44926</v>
      </c>
      <c r="J60" s="101">
        <v>76.5</v>
      </c>
      <c r="K60" s="101">
        <v>917.89</v>
      </c>
      <c r="L60" s="101">
        <v>10708.71</v>
      </c>
      <c r="M60" s="101">
        <v>3059.63</v>
      </c>
      <c r="N60" s="128" t="s">
        <v>1186</v>
      </c>
      <c r="O60" s="92" t="s">
        <v>1191</v>
      </c>
      <c r="P60" s="127"/>
      <c r="Q60" s="127"/>
    </row>
    <row r="61" spans="2:17" ht="15" customHeight="1" x14ac:dyDescent="0.3">
      <c r="B61" s="128" t="s">
        <v>1119</v>
      </c>
      <c r="C61" s="128" t="s">
        <v>203</v>
      </c>
      <c r="D61" s="129">
        <v>40999</v>
      </c>
      <c r="E61" s="129">
        <v>40999</v>
      </c>
      <c r="F61" s="130">
        <v>141212.98000000001</v>
      </c>
      <c r="G61" s="128" t="s">
        <v>1066</v>
      </c>
      <c r="H61" s="102">
        <v>50</v>
      </c>
      <c r="I61" s="129">
        <v>44926</v>
      </c>
      <c r="J61" s="101">
        <v>235.3</v>
      </c>
      <c r="K61" s="101">
        <v>2824.26</v>
      </c>
      <c r="L61" s="101">
        <v>30360.78</v>
      </c>
      <c r="M61" s="101">
        <v>110852.2</v>
      </c>
      <c r="N61" s="128" t="s">
        <v>1184</v>
      </c>
      <c r="O61" s="92" t="s">
        <v>1191</v>
      </c>
      <c r="P61" s="127"/>
      <c r="Q61" s="127"/>
    </row>
    <row r="62" spans="2:17" ht="15" customHeight="1" x14ac:dyDescent="0.3">
      <c r="B62" s="128" t="s">
        <v>1120</v>
      </c>
      <c r="C62" s="128" t="s">
        <v>274</v>
      </c>
      <c r="D62" s="129">
        <v>41121</v>
      </c>
      <c r="E62" s="129">
        <v>41121</v>
      </c>
      <c r="F62" s="130">
        <v>4912.8</v>
      </c>
      <c r="G62" s="128" t="s">
        <v>1066</v>
      </c>
      <c r="H62" s="102">
        <v>10</v>
      </c>
      <c r="I62" s="129">
        <v>44773</v>
      </c>
      <c r="J62" s="101">
        <v>0</v>
      </c>
      <c r="K62" s="101">
        <v>286.58</v>
      </c>
      <c r="L62" s="101">
        <v>4912.8</v>
      </c>
      <c r="M62" s="101">
        <v>0</v>
      </c>
      <c r="N62" s="128" t="s">
        <v>1184</v>
      </c>
      <c r="O62" s="92" t="s">
        <v>1191</v>
      </c>
      <c r="P62" s="127"/>
      <c r="Q62" s="127"/>
    </row>
    <row r="63" spans="2:17" ht="15" customHeight="1" x14ac:dyDescent="0.3">
      <c r="B63" s="128" t="s">
        <v>1121</v>
      </c>
      <c r="C63" s="128" t="s">
        <v>275</v>
      </c>
      <c r="D63" s="129">
        <v>41395</v>
      </c>
      <c r="E63" s="129">
        <v>41395</v>
      </c>
      <c r="F63" s="130">
        <v>327513.78000000003</v>
      </c>
      <c r="G63" s="128" t="s">
        <v>1066</v>
      </c>
      <c r="H63" s="102">
        <v>40</v>
      </c>
      <c r="I63" s="129">
        <v>44926</v>
      </c>
      <c r="J63" s="101">
        <v>682.32</v>
      </c>
      <c r="K63" s="101">
        <v>8187.84</v>
      </c>
      <c r="L63" s="101">
        <v>79149.119999999995</v>
      </c>
      <c r="M63" s="101">
        <v>248364.66</v>
      </c>
      <c r="N63" s="128" t="s">
        <v>1185</v>
      </c>
      <c r="O63" s="92" t="s">
        <v>1191</v>
      </c>
      <c r="P63" s="127"/>
      <c r="Q63" s="127"/>
    </row>
    <row r="64" spans="2:17" ht="15" customHeight="1" x14ac:dyDescent="0.3">
      <c r="B64" s="128" t="s">
        <v>1122</v>
      </c>
      <c r="C64" s="128" t="s">
        <v>276</v>
      </c>
      <c r="D64" s="129">
        <v>41425</v>
      </c>
      <c r="E64" s="129">
        <v>41425</v>
      </c>
      <c r="F64" s="130">
        <v>1132</v>
      </c>
      <c r="G64" s="128" t="s">
        <v>1066</v>
      </c>
      <c r="H64" s="102">
        <v>15</v>
      </c>
      <c r="I64" s="129">
        <v>44926</v>
      </c>
      <c r="J64" s="101">
        <v>6.28</v>
      </c>
      <c r="K64" s="101">
        <v>75.47</v>
      </c>
      <c r="L64" s="101">
        <v>723.25</v>
      </c>
      <c r="M64" s="101">
        <v>408.75</v>
      </c>
      <c r="N64" s="128" t="s">
        <v>1186</v>
      </c>
      <c r="O64" s="92" t="s">
        <v>1191</v>
      </c>
      <c r="P64" s="127"/>
      <c r="Q64" s="127"/>
    </row>
    <row r="65" spans="2:17" ht="15" customHeight="1" x14ac:dyDescent="0.3">
      <c r="B65" s="128" t="s">
        <v>1123</v>
      </c>
      <c r="C65" s="128" t="s">
        <v>277</v>
      </c>
      <c r="D65" s="129">
        <v>41425</v>
      </c>
      <c r="E65" s="129">
        <v>41425</v>
      </c>
      <c r="F65" s="130">
        <v>1454.32</v>
      </c>
      <c r="G65" s="128" t="s">
        <v>1066</v>
      </c>
      <c r="H65" s="102">
        <v>20</v>
      </c>
      <c r="I65" s="129">
        <v>44926</v>
      </c>
      <c r="J65" s="101">
        <v>6.06</v>
      </c>
      <c r="K65" s="101">
        <v>72.72</v>
      </c>
      <c r="L65" s="101">
        <v>696.9</v>
      </c>
      <c r="M65" s="101">
        <v>757.42</v>
      </c>
      <c r="N65" s="128" t="s">
        <v>1189</v>
      </c>
      <c r="O65" s="92" t="s">
        <v>1191</v>
      </c>
      <c r="P65" s="127"/>
      <c r="Q65" s="127"/>
    </row>
    <row r="66" spans="2:17" ht="15" customHeight="1" x14ac:dyDescent="0.3">
      <c r="B66" s="128" t="s">
        <v>1124</v>
      </c>
      <c r="C66" s="128" t="s">
        <v>278</v>
      </c>
      <c r="D66" s="129">
        <v>41425</v>
      </c>
      <c r="E66" s="129">
        <v>41425</v>
      </c>
      <c r="F66" s="130">
        <v>2181.48</v>
      </c>
      <c r="G66" s="128" t="s">
        <v>1066</v>
      </c>
      <c r="H66" s="102">
        <v>20</v>
      </c>
      <c r="I66" s="129">
        <v>44926</v>
      </c>
      <c r="J66" s="101">
        <v>9.08</v>
      </c>
      <c r="K66" s="101">
        <v>109.07</v>
      </c>
      <c r="L66" s="101">
        <v>1045.26</v>
      </c>
      <c r="M66" s="101">
        <v>1136.22</v>
      </c>
      <c r="N66" s="128" t="s">
        <v>1189</v>
      </c>
      <c r="O66" s="92" t="s">
        <v>1191</v>
      </c>
      <c r="P66" s="127"/>
      <c r="Q66" s="127"/>
    </row>
    <row r="67" spans="2:17" ht="15" customHeight="1" x14ac:dyDescent="0.3">
      <c r="B67" s="128" t="s">
        <v>1125</v>
      </c>
      <c r="C67" s="128" t="s">
        <v>279</v>
      </c>
      <c r="D67" s="129">
        <v>41425</v>
      </c>
      <c r="E67" s="129">
        <v>41425</v>
      </c>
      <c r="F67" s="130">
        <v>1454.32</v>
      </c>
      <c r="G67" s="128" t="s">
        <v>1066</v>
      </c>
      <c r="H67" s="102">
        <v>20</v>
      </c>
      <c r="I67" s="129">
        <v>44926</v>
      </c>
      <c r="J67" s="101">
        <v>6.06</v>
      </c>
      <c r="K67" s="101">
        <v>72.72</v>
      </c>
      <c r="L67" s="101">
        <v>696.9</v>
      </c>
      <c r="M67" s="101">
        <v>757.42</v>
      </c>
      <c r="N67" s="128" t="s">
        <v>1189</v>
      </c>
      <c r="O67" s="92" t="s">
        <v>1191</v>
      </c>
      <c r="P67" s="127"/>
      <c r="Q67" s="127"/>
    </row>
    <row r="68" spans="2:17" ht="15" customHeight="1" x14ac:dyDescent="0.3">
      <c r="B68" s="128" t="s">
        <v>1126</v>
      </c>
      <c r="C68" s="128" t="s">
        <v>280</v>
      </c>
      <c r="D68" s="129">
        <v>41425</v>
      </c>
      <c r="E68" s="129">
        <v>41425</v>
      </c>
      <c r="F68" s="130">
        <v>1889.62</v>
      </c>
      <c r="G68" s="128" t="s">
        <v>1066</v>
      </c>
      <c r="H68" s="102">
        <v>35</v>
      </c>
      <c r="I68" s="129">
        <v>44926</v>
      </c>
      <c r="J68" s="101">
        <v>4.49</v>
      </c>
      <c r="K68" s="101">
        <v>53.99</v>
      </c>
      <c r="L68" s="101">
        <v>517.42999999999995</v>
      </c>
      <c r="M68" s="101">
        <v>1372.19</v>
      </c>
      <c r="N68" s="128" t="s">
        <v>1188</v>
      </c>
      <c r="O68" s="92" t="s">
        <v>1191</v>
      </c>
      <c r="P68" s="127"/>
      <c r="Q68" s="127"/>
    </row>
    <row r="69" spans="2:17" ht="15" customHeight="1" x14ac:dyDescent="0.3">
      <c r="B69" s="128" t="s">
        <v>1127</v>
      </c>
      <c r="C69" s="128" t="s">
        <v>281</v>
      </c>
      <c r="D69" s="129">
        <v>41547</v>
      </c>
      <c r="E69" s="129">
        <v>41547</v>
      </c>
      <c r="F69" s="130">
        <v>9130.84</v>
      </c>
      <c r="G69" s="128" t="s">
        <v>1066</v>
      </c>
      <c r="H69" s="102">
        <v>10</v>
      </c>
      <c r="I69" s="129">
        <v>44926</v>
      </c>
      <c r="J69" s="101">
        <v>76.09</v>
      </c>
      <c r="K69" s="101">
        <v>913.08</v>
      </c>
      <c r="L69" s="101">
        <v>8445.99</v>
      </c>
      <c r="M69" s="101">
        <v>684.85</v>
      </c>
      <c r="N69" s="128" t="s">
        <v>1190</v>
      </c>
      <c r="O69" s="92" t="s">
        <v>1191</v>
      </c>
      <c r="P69" s="127"/>
      <c r="Q69" s="127"/>
    </row>
    <row r="70" spans="2:17" ht="15" customHeight="1" x14ac:dyDescent="0.3">
      <c r="B70" s="128" t="s">
        <v>1128</v>
      </c>
      <c r="C70" s="128" t="s">
        <v>282</v>
      </c>
      <c r="D70" s="129">
        <v>41578</v>
      </c>
      <c r="E70" s="129">
        <v>41578</v>
      </c>
      <c r="F70" s="130">
        <v>2186.6</v>
      </c>
      <c r="G70" s="128" t="s">
        <v>1066</v>
      </c>
      <c r="H70" s="102">
        <v>5</v>
      </c>
      <c r="I70" s="129">
        <v>43404</v>
      </c>
      <c r="J70" s="101">
        <v>0</v>
      </c>
      <c r="K70" s="101">
        <v>0</v>
      </c>
      <c r="L70" s="101">
        <v>2186.6</v>
      </c>
      <c r="M70" s="101">
        <v>0</v>
      </c>
      <c r="N70" s="128" t="s">
        <v>1190</v>
      </c>
      <c r="O70" s="92" t="s">
        <v>1191</v>
      </c>
      <c r="P70" s="127"/>
      <c r="Q70" s="127"/>
    </row>
    <row r="71" spans="2:17" ht="15" customHeight="1" x14ac:dyDescent="0.3">
      <c r="B71" s="128" t="s">
        <v>1129</v>
      </c>
      <c r="C71" s="128" t="s">
        <v>283</v>
      </c>
      <c r="D71" s="129">
        <v>41578</v>
      </c>
      <c r="E71" s="129">
        <v>41578</v>
      </c>
      <c r="F71" s="130">
        <v>1975</v>
      </c>
      <c r="G71" s="128" t="s">
        <v>1066</v>
      </c>
      <c r="H71" s="102">
        <v>5</v>
      </c>
      <c r="I71" s="129">
        <v>43404</v>
      </c>
      <c r="J71" s="101">
        <v>0</v>
      </c>
      <c r="K71" s="101">
        <v>0</v>
      </c>
      <c r="L71" s="101">
        <v>1975</v>
      </c>
      <c r="M71" s="101">
        <v>0</v>
      </c>
      <c r="N71" s="128" t="s">
        <v>1190</v>
      </c>
      <c r="O71" s="92" t="s">
        <v>1191</v>
      </c>
      <c r="P71" s="127"/>
      <c r="Q71" s="127"/>
    </row>
    <row r="72" spans="2:17" ht="15" customHeight="1" x14ac:dyDescent="0.3">
      <c r="B72" s="128" t="s">
        <v>1130</v>
      </c>
      <c r="C72" s="128" t="s">
        <v>284</v>
      </c>
      <c r="D72" s="129">
        <v>41639</v>
      </c>
      <c r="E72" s="129">
        <v>41639</v>
      </c>
      <c r="F72" s="130">
        <v>46702.6</v>
      </c>
      <c r="G72" s="128" t="s">
        <v>1066</v>
      </c>
      <c r="H72" s="102">
        <v>20</v>
      </c>
      <c r="I72" s="129">
        <v>44926</v>
      </c>
      <c r="J72" s="101">
        <v>194.64</v>
      </c>
      <c r="K72" s="101">
        <v>2335.13</v>
      </c>
      <c r="L72" s="101">
        <v>21016.17</v>
      </c>
      <c r="M72" s="101">
        <v>25686.43</v>
      </c>
      <c r="N72" s="128" t="s">
        <v>1190</v>
      </c>
      <c r="O72" s="92" t="s">
        <v>1191</v>
      </c>
      <c r="P72" s="127"/>
      <c r="Q72" s="127"/>
    </row>
    <row r="73" spans="2:17" ht="15" customHeight="1" x14ac:dyDescent="0.3">
      <c r="B73" s="128" t="s">
        <v>1131</v>
      </c>
      <c r="C73" s="128" t="s">
        <v>285</v>
      </c>
      <c r="D73" s="129">
        <v>41670</v>
      </c>
      <c r="E73" s="129">
        <v>41670</v>
      </c>
      <c r="F73" s="130">
        <v>6275</v>
      </c>
      <c r="G73" s="128" t="s">
        <v>1066</v>
      </c>
      <c r="H73" s="102">
        <v>5</v>
      </c>
      <c r="I73" s="129">
        <v>43496</v>
      </c>
      <c r="J73" s="101">
        <v>0</v>
      </c>
      <c r="K73" s="101">
        <v>0</v>
      </c>
      <c r="L73" s="101">
        <v>6275</v>
      </c>
      <c r="M73" s="101">
        <v>0</v>
      </c>
      <c r="N73" s="128" t="s">
        <v>1190</v>
      </c>
      <c r="O73" s="92" t="s">
        <v>1191</v>
      </c>
      <c r="P73" s="127"/>
      <c r="Q73" s="127"/>
    </row>
    <row r="74" spans="2:17" ht="15" customHeight="1" x14ac:dyDescent="0.3">
      <c r="B74" s="128" t="s">
        <v>1132</v>
      </c>
      <c r="C74" s="128" t="s">
        <v>286</v>
      </c>
      <c r="D74" s="129">
        <v>41759</v>
      </c>
      <c r="E74" s="129">
        <v>41759</v>
      </c>
      <c r="F74" s="130">
        <v>7400</v>
      </c>
      <c r="G74" s="128" t="s">
        <v>1066</v>
      </c>
      <c r="H74" s="102">
        <v>5</v>
      </c>
      <c r="I74" s="129">
        <v>43585</v>
      </c>
      <c r="J74" s="101">
        <v>0</v>
      </c>
      <c r="K74" s="101">
        <v>0</v>
      </c>
      <c r="L74" s="101">
        <v>7400</v>
      </c>
      <c r="M74" s="101">
        <v>0</v>
      </c>
      <c r="N74" s="128" t="s">
        <v>1190</v>
      </c>
      <c r="O74" s="92" t="s">
        <v>1191</v>
      </c>
      <c r="P74" s="127"/>
      <c r="Q74" s="127"/>
    </row>
    <row r="75" spans="2:17" ht="15" customHeight="1" x14ac:dyDescent="0.3">
      <c r="B75" s="128" t="s">
        <v>1133</v>
      </c>
      <c r="C75" s="128" t="s">
        <v>287</v>
      </c>
      <c r="D75" s="129">
        <v>41821</v>
      </c>
      <c r="E75" s="129">
        <v>41821</v>
      </c>
      <c r="F75" s="130">
        <v>13307.5</v>
      </c>
      <c r="G75" s="128" t="s">
        <v>1066</v>
      </c>
      <c r="H75" s="102">
        <v>5</v>
      </c>
      <c r="I75" s="129">
        <v>43646</v>
      </c>
      <c r="J75" s="101">
        <v>0</v>
      </c>
      <c r="K75" s="101">
        <v>0</v>
      </c>
      <c r="L75" s="101">
        <v>13307.5</v>
      </c>
      <c r="M75" s="101">
        <v>0</v>
      </c>
      <c r="N75" s="128" t="s">
        <v>1184</v>
      </c>
      <c r="O75" s="92" t="s">
        <v>1191</v>
      </c>
      <c r="P75" s="127"/>
      <c r="Q75" s="127"/>
    </row>
    <row r="76" spans="2:17" ht="15" customHeight="1" x14ac:dyDescent="0.3">
      <c r="B76" s="128" t="s">
        <v>1134</v>
      </c>
      <c r="C76" s="128" t="s">
        <v>288</v>
      </c>
      <c r="D76" s="129">
        <v>41882</v>
      </c>
      <c r="E76" s="129">
        <v>41882</v>
      </c>
      <c r="F76" s="130">
        <v>8467.56</v>
      </c>
      <c r="G76" s="128" t="s">
        <v>1066</v>
      </c>
      <c r="H76" s="102">
        <v>10</v>
      </c>
      <c r="I76" s="129">
        <v>44926</v>
      </c>
      <c r="J76" s="101">
        <v>70.599999999999994</v>
      </c>
      <c r="K76" s="101">
        <v>846.76</v>
      </c>
      <c r="L76" s="101">
        <v>7056.33</v>
      </c>
      <c r="M76" s="101">
        <v>1411.23</v>
      </c>
      <c r="N76" s="128" t="s">
        <v>1190</v>
      </c>
      <c r="O76" s="92" t="s">
        <v>1191</v>
      </c>
      <c r="P76" s="127"/>
      <c r="Q76" s="127"/>
    </row>
    <row r="77" spans="2:17" ht="15" customHeight="1" x14ac:dyDescent="0.3">
      <c r="B77" s="128" t="s">
        <v>1135</v>
      </c>
      <c r="C77" s="128" t="s">
        <v>289</v>
      </c>
      <c r="D77" s="129">
        <v>41882</v>
      </c>
      <c r="E77" s="129">
        <v>41882</v>
      </c>
      <c r="F77" s="130">
        <v>9487.33</v>
      </c>
      <c r="G77" s="128" t="s">
        <v>1066</v>
      </c>
      <c r="H77" s="102">
        <v>5</v>
      </c>
      <c r="I77" s="129">
        <v>43708</v>
      </c>
      <c r="J77" s="101">
        <v>0</v>
      </c>
      <c r="K77" s="101">
        <v>0</v>
      </c>
      <c r="L77" s="101">
        <v>9487.33</v>
      </c>
      <c r="M77" s="101">
        <v>0</v>
      </c>
      <c r="N77" s="128" t="s">
        <v>1184</v>
      </c>
      <c r="O77" s="92" t="s">
        <v>1191</v>
      </c>
      <c r="P77" s="127"/>
      <c r="Q77" s="127"/>
    </row>
    <row r="78" spans="2:17" ht="15" customHeight="1" x14ac:dyDescent="0.3">
      <c r="B78" s="128" t="s">
        <v>1136</v>
      </c>
      <c r="C78" s="128" t="s">
        <v>290</v>
      </c>
      <c r="D78" s="129">
        <v>42004</v>
      </c>
      <c r="E78" s="129">
        <v>42004</v>
      </c>
      <c r="F78" s="130">
        <v>13980.28</v>
      </c>
      <c r="G78" s="128" t="s">
        <v>1066</v>
      </c>
      <c r="H78" s="102">
        <v>20</v>
      </c>
      <c r="I78" s="129">
        <v>44926</v>
      </c>
      <c r="J78" s="101">
        <v>58.26</v>
      </c>
      <c r="K78" s="101">
        <v>699.01</v>
      </c>
      <c r="L78" s="101">
        <v>5592.08</v>
      </c>
      <c r="M78" s="101">
        <v>8388.2000000000007</v>
      </c>
      <c r="N78" s="128" t="s">
        <v>1189</v>
      </c>
      <c r="O78" s="92" t="s">
        <v>1191</v>
      </c>
      <c r="P78" s="127"/>
      <c r="Q78" s="127"/>
    </row>
    <row r="79" spans="2:17" ht="15" customHeight="1" x14ac:dyDescent="0.3">
      <c r="B79" s="128" t="s">
        <v>1137</v>
      </c>
      <c r="C79" s="128" t="s">
        <v>291</v>
      </c>
      <c r="D79" s="129">
        <v>42004</v>
      </c>
      <c r="E79" s="129">
        <v>42004</v>
      </c>
      <c r="F79" s="130">
        <v>173539.03</v>
      </c>
      <c r="G79" s="128" t="s">
        <v>1066</v>
      </c>
      <c r="H79" s="102">
        <v>50</v>
      </c>
      <c r="I79" s="129">
        <v>44926</v>
      </c>
      <c r="J79" s="101">
        <v>289.25</v>
      </c>
      <c r="K79" s="101">
        <v>3470.78</v>
      </c>
      <c r="L79" s="101">
        <v>27766.240000000002</v>
      </c>
      <c r="M79" s="101">
        <v>145772.79</v>
      </c>
      <c r="N79" s="128" t="s">
        <v>1184</v>
      </c>
      <c r="O79" s="92" t="s">
        <v>1191</v>
      </c>
      <c r="P79" s="127"/>
      <c r="Q79" s="127"/>
    </row>
    <row r="80" spans="2:17" ht="15" customHeight="1" x14ac:dyDescent="0.3">
      <c r="B80" s="128" t="s">
        <v>1138</v>
      </c>
      <c r="C80" s="128" t="s">
        <v>292</v>
      </c>
      <c r="D80" s="129">
        <v>42004</v>
      </c>
      <c r="E80" s="129">
        <v>42004</v>
      </c>
      <c r="F80" s="130">
        <v>50481.73</v>
      </c>
      <c r="G80" s="128" t="s">
        <v>1066</v>
      </c>
      <c r="H80" s="102">
        <v>35</v>
      </c>
      <c r="I80" s="129">
        <v>44926</v>
      </c>
      <c r="J80" s="101">
        <v>120.25</v>
      </c>
      <c r="K80" s="101">
        <v>1442.34</v>
      </c>
      <c r="L80" s="101">
        <v>11538.72</v>
      </c>
      <c r="M80" s="101">
        <v>38943.01</v>
      </c>
      <c r="N80" s="128" t="s">
        <v>1188</v>
      </c>
      <c r="O80" s="92" t="s">
        <v>1191</v>
      </c>
      <c r="P80" s="127"/>
      <c r="Q80" s="127"/>
    </row>
    <row r="81" spans="1:17" ht="15" customHeight="1" x14ac:dyDescent="0.3">
      <c r="B81" s="128" t="s">
        <v>1139</v>
      </c>
      <c r="C81" s="128" t="s">
        <v>293</v>
      </c>
      <c r="D81" s="129">
        <v>42035</v>
      </c>
      <c r="E81" s="129">
        <v>42035</v>
      </c>
      <c r="F81" s="130">
        <v>1068.95</v>
      </c>
      <c r="G81" s="128" t="s">
        <v>1066</v>
      </c>
      <c r="H81" s="102">
        <v>5</v>
      </c>
      <c r="I81" s="129">
        <v>43861</v>
      </c>
      <c r="J81" s="101">
        <v>0</v>
      </c>
      <c r="K81" s="101">
        <v>0</v>
      </c>
      <c r="L81" s="101">
        <v>1068.95</v>
      </c>
      <c r="M81" s="101">
        <v>0</v>
      </c>
      <c r="N81" s="128" t="s">
        <v>1190</v>
      </c>
      <c r="O81" s="92" t="s">
        <v>1191</v>
      </c>
      <c r="P81" s="127"/>
      <c r="Q81" s="127"/>
    </row>
    <row r="82" spans="1:17" ht="15" customHeight="1" x14ac:dyDescent="0.3">
      <c r="B82" s="128" t="s">
        <v>1140</v>
      </c>
      <c r="C82" s="128" t="s">
        <v>294</v>
      </c>
      <c r="D82" s="129">
        <v>42155</v>
      </c>
      <c r="E82" s="129">
        <v>42155</v>
      </c>
      <c r="F82" s="130">
        <v>6828.66</v>
      </c>
      <c r="G82" s="128" t="s">
        <v>1066</v>
      </c>
      <c r="H82" s="102">
        <v>20</v>
      </c>
      <c r="I82" s="129">
        <v>44926</v>
      </c>
      <c r="J82" s="101">
        <v>28.48</v>
      </c>
      <c r="K82" s="101">
        <v>341.43</v>
      </c>
      <c r="L82" s="101">
        <v>2589.1799999999998</v>
      </c>
      <c r="M82" s="101">
        <v>4239.4799999999996</v>
      </c>
      <c r="N82" s="128" t="s">
        <v>1187</v>
      </c>
      <c r="O82" s="92" t="s">
        <v>1191</v>
      </c>
      <c r="P82" s="127"/>
      <c r="Q82" s="127"/>
    </row>
    <row r="83" spans="1:17" ht="15" customHeight="1" x14ac:dyDescent="0.3">
      <c r="B83" s="128" t="s">
        <v>1141</v>
      </c>
      <c r="C83" s="128" t="s">
        <v>295</v>
      </c>
      <c r="D83" s="129">
        <v>42185</v>
      </c>
      <c r="E83" s="129">
        <v>42185</v>
      </c>
      <c r="F83" s="130">
        <v>8236.4500000000007</v>
      </c>
      <c r="G83" s="128" t="s">
        <v>1066</v>
      </c>
      <c r="H83" s="102">
        <v>5</v>
      </c>
      <c r="I83" s="129">
        <v>44012</v>
      </c>
      <c r="J83" s="101">
        <v>0</v>
      </c>
      <c r="K83" s="101">
        <v>0</v>
      </c>
      <c r="L83" s="101">
        <v>8236.4500000000007</v>
      </c>
      <c r="M83" s="101">
        <v>0</v>
      </c>
      <c r="N83" s="128" t="s">
        <v>1190</v>
      </c>
      <c r="O83" s="92" t="s">
        <v>1191</v>
      </c>
      <c r="P83" s="127"/>
      <c r="Q83" s="127"/>
    </row>
    <row r="84" spans="1:17" ht="15" customHeight="1" x14ac:dyDescent="0.3">
      <c r="B84" s="128" t="s">
        <v>1142</v>
      </c>
      <c r="C84" s="128" t="s">
        <v>296</v>
      </c>
      <c r="D84" s="129">
        <v>42247</v>
      </c>
      <c r="E84" s="129">
        <v>42247</v>
      </c>
      <c r="F84" s="130">
        <v>13822.64</v>
      </c>
      <c r="G84" s="128" t="s">
        <v>1066</v>
      </c>
      <c r="H84" s="102">
        <v>50</v>
      </c>
      <c r="I84" s="129">
        <v>44926</v>
      </c>
      <c r="J84" s="101">
        <v>23.01</v>
      </c>
      <c r="K84" s="101">
        <v>276.45</v>
      </c>
      <c r="L84" s="101">
        <v>2027.3</v>
      </c>
      <c r="M84" s="101">
        <v>11795.34</v>
      </c>
      <c r="N84" s="128" t="s">
        <v>1184</v>
      </c>
      <c r="O84" s="92" t="s">
        <v>1191</v>
      </c>
      <c r="P84" s="127"/>
      <c r="Q84" s="127"/>
    </row>
    <row r="85" spans="1:17" ht="15" customHeight="1" x14ac:dyDescent="0.3">
      <c r="B85" s="128" t="s">
        <v>1143</v>
      </c>
      <c r="C85" s="128" t="s">
        <v>297</v>
      </c>
      <c r="D85" s="129">
        <v>42247</v>
      </c>
      <c r="E85" s="129">
        <v>42247</v>
      </c>
      <c r="F85" s="130">
        <v>3798.5</v>
      </c>
      <c r="G85" s="128" t="s">
        <v>1066</v>
      </c>
      <c r="H85" s="102">
        <v>10</v>
      </c>
      <c r="I85" s="129">
        <v>44926</v>
      </c>
      <c r="J85" s="101">
        <v>31.7</v>
      </c>
      <c r="K85" s="101">
        <v>379.85</v>
      </c>
      <c r="L85" s="101">
        <v>2785.57</v>
      </c>
      <c r="M85" s="101">
        <v>1012.93</v>
      </c>
      <c r="N85" s="128" t="s">
        <v>1190</v>
      </c>
      <c r="O85" s="92" t="s">
        <v>1191</v>
      </c>
      <c r="P85" s="127"/>
      <c r="Q85" s="127"/>
    </row>
    <row r="86" spans="1:17" ht="15" customHeight="1" x14ac:dyDescent="0.3">
      <c r="B86" s="128" t="s">
        <v>1144</v>
      </c>
      <c r="C86" s="128" t="s">
        <v>298</v>
      </c>
      <c r="D86" s="129">
        <v>42338</v>
      </c>
      <c r="E86" s="129">
        <v>42338</v>
      </c>
      <c r="F86" s="130">
        <v>6408.61</v>
      </c>
      <c r="G86" s="128" t="s">
        <v>1066</v>
      </c>
      <c r="H86" s="102">
        <v>50</v>
      </c>
      <c r="I86" s="129">
        <v>44926</v>
      </c>
      <c r="J86" s="101">
        <v>10.69</v>
      </c>
      <c r="K86" s="101">
        <v>128.16999999999999</v>
      </c>
      <c r="L86" s="101">
        <v>907.87</v>
      </c>
      <c r="M86" s="101">
        <v>5500.74</v>
      </c>
      <c r="N86" s="128" t="s">
        <v>1184</v>
      </c>
      <c r="O86" s="92" t="s">
        <v>1191</v>
      </c>
      <c r="P86" s="127"/>
      <c r="Q86" s="127"/>
    </row>
    <row r="87" spans="1:17" ht="15" customHeight="1" x14ac:dyDescent="0.3">
      <c r="B87" s="128" t="s">
        <v>1145</v>
      </c>
      <c r="C87" s="128" t="s">
        <v>299</v>
      </c>
      <c r="D87" s="129">
        <v>42369</v>
      </c>
      <c r="E87" s="129">
        <v>42369</v>
      </c>
      <c r="F87" s="130">
        <v>3257.77</v>
      </c>
      <c r="G87" s="128" t="s">
        <v>1066</v>
      </c>
      <c r="H87" s="102">
        <v>10</v>
      </c>
      <c r="I87" s="129">
        <v>44926</v>
      </c>
      <c r="J87" s="101">
        <v>27.13</v>
      </c>
      <c r="K87" s="101">
        <v>325.77999999999997</v>
      </c>
      <c r="L87" s="101">
        <v>2280.46</v>
      </c>
      <c r="M87" s="101">
        <v>977.31</v>
      </c>
      <c r="N87" s="128" t="s">
        <v>1190</v>
      </c>
      <c r="O87" s="92" t="s">
        <v>1191</v>
      </c>
      <c r="P87" s="125"/>
      <c r="Q87" s="125"/>
    </row>
    <row r="88" spans="1:17" ht="15" customHeight="1" x14ac:dyDescent="0.3">
      <c r="A88" s="122"/>
      <c r="B88" s="128" t="s">
        <v>1146</v>
      </c>
      <c r="C88" s="128" t="s">
        <v>300</v>
      </c>
      <c r="D88" s="129">
        <v>42400</v>
      </c>
      <c r="E88" s="129">
        <v>42400</v>
      </c>
      <c r="F88" s="130">
        <v>3692.38</v>
      </c>
      <c r="G88" s="128" t="s">
        <v>1066</v>
      </c>
      <c r="H88" s="102">
        <v>10</v>
      </c>
      <c r="I88" s="129">
        <v>44926</v>
      </c>
      <c r="J88" s="101">
        <v>30.77</v>
      </c>
      <c r="K88" s="101">
        <v>369.24</v>
      </c>
      <c r="L88" s="101">
        <v>2553.91</v>
      </c>
      <c r="M88" s="101">
        <v>1138.47</v>
      </c>
      <c r="N88" s="128" t="s">
        <v>1190</v>
      </c>
      <c r="O88" s="92" t="s">
        <v>1191</v>
      </c>
      <c r="P88" s="127"/>
      <c r="Q88" s="127"/>
    </row>
    <row r="89" spans="1:17" ht="15" customHeight="1" x14ac:dyDescent="0.3">
      <c r="B89" s="128" t="s">
        <v>1147</v>
      </c>
      <c r="C89" s="128" t="s">
        <v>301</v>
      </c>
      <c r="D89" s="129">
        <v>42400</v>
      </c>
      <c r="E89" s="129">
        <v>42400</v>
      </c>
      <c r="F89" s="130">
        <v>5522.89</v>
      </c>
      <c r="G89" s="128" t="s">
        <v>1066</v>
      </c>
      <c r="H89" s="102">
        <v>10</v>
      </c>
      <c r="I89" s="129">
        <v>44926</v>
      </c>
      <c r="J89" s="101">
        <v>46.07</v>
      </c>
      <c r="K89" s="101">
        <v>552.29</v>
      </c>
      <c r="L89" s="101">
        <v>3820</v>
      </c>
      <c r="M89" s="101">
        <v>1702.89</v>
      </c>
      <c r="N89" s="128" t="s">
        <v>1186</v>
      </c>
      <c r="O89" s="92" t="s">
        <v>1191</v>
      </c>
      <c r="P89" s="127"/>
      <c r="Q89" s="127"/>
    </row>
    <row r="90" spans="1:17" ht="15" customHeight="1" x14ac:dyDescent="0.3">
      <c r="B90" s="128" t="s">
        <v>1148</v>
      </c>
      <c r="C90" s="128" t="s">
        <v>302</v>
      </c>
      <c r="D90" s="129">
        <v>42400</v>
      </c>
      <c r="E90" s="129">
        <v>42400</v>
      </c>
      <c r="F90" s="130">
        <v>6171</v>
      </c>
      <c r="G90" s="128" t="s">
        <v>1066</v>
      </c>
      <c r="H90" s="102">
        <v>10</v>
      </c>
      <c r="I90" s="129">
        <v>44926</v>
      </c>
      <c r="J90" s="101">
        <v>51.37</v>
      </c>
      <c r="K90" s="101">
        <v>617.1</v>
      </c>
      <c r="L90" s="101">
        <v>4268.28</v>
      </c>
      <c r="M90" s="101">
        <v>1902.72</v>
      </c>
      <c r="N90" s="128" t="s">
        <v>1190</v>
      </c>
      <c r="O90" s="92" t="s">
        <v>1191</v>
      </c>
      <c r="P90" s="125"/>
      <c r="Q90" s="125"/>
    </row>
    <row r="91" spans="1:17" ht="15" customHeight="1" x14ac:dyDescent="0.3">
      <c r="A91" s="122"/>
      <c r="B91" s="128" t="s">
        <v>1149</v>
      </c>
      <c r="C91" s="128" t="s">
        <v>303</v>
      </c>
      <c r="D91" s="129">
        <v>42429</v>
      </c>
      <c r="E91" s="129">
        <v>42429</v>
      </c>
      <c r="F91" s="130">
        <v>1700</v>
      </c>
      <c r="G91" s="128" t="s">
        <v>1066</v>
      </c>
      <c r="H91" s="102">
        <v>10</v>
      </c>
      <c r="I91" s="129">
        <v>44926</v>
      </c>
      <c r="J91" s="101">
        <v>14.13</v>
      </c>
      <c r="K91" s="101">
        <v>170</v>
      </c>
      <c r="L91" s="101">
        <v>1161.67</v>
      </c>
      <c r="M91" s="101">
        <v>538.33000000000004</v>
      </c>
      <c r="N91" s="128" t="s">
        <v>1190</v>
      </c>
      <c r="O91" s="92" t="s">
        <v>1191</v>
      </c>
      <c r="P91" s="127"/>
      <c r="Q91" s="127"/>
    </row>
    <row r="92" spans="1:17" ht="15" customHeight="1" x14ac:dyDescent="0.3">
      <c r="B92" s="128" t="s">
        <v>1150</v>
      </c>
      <c r="C92" s="128" t="s">
        <v>304</v>
      </c>
      <c r="D92" s="129">
        <v>42460</v>
      </c>
      <c r="E92" s="129">
        <v>42460</v>
      </c>
      <c r="F92" s="130">
        <v>5319.33</v>
      </c>
      <c r="G92" s="128" t="s">
        <v>1066</v>
      </c>
      <c r="H92" s="102">
        <v>10</v>
      </c>
      <c r="I92" s="129">
        <v>44926</v>
      </c>
      <c r="J92" s="101">
        <v>44.3</v>
      </c>
      <c r="K92" s="101">
        <v>531.92999999999995</v>
      </c>
      <c r="L92" s="101">
        <v>3590.53</v>
      </c>
      <c r="M92" s="101">
        <v>1728.8</v>
      </c>
      <c r="N92" s="128" t="s">
        <v>1190</v>
      </c>
      <c r="O92" s="92" t="s">
        <v>1191</v>
      </c>
      <c r="P92" s="127"/>
      <c r="Q92" s="127"/>
    </row>
    <row r="93" spans="1:17" ht="15" customHeight="1" x14ac:dyDescent="0.3">
      <c r="B93" s="128" t="s">
        <v>1151</v>
      </c>
      <c r="C93" s="128" t="s">
        <v>305</v>
      </c>
      <c r="D93" s="129">
        <v>42490</v>
      </c>
      <c r="E93" s="129">
        <v>42490</v>
      </c>
      <c r="F93" s="130">
        <v>5751.69</v>
      </c>
      <c r="G93" s="128" t="s">
        <v>1066</v>
      </c>
      <c r="H93" s="102">
        <v>5</v>
      </c>
      <c r="I93" s="129">
        <v>44316</v>
      </c>
      <c r="J93" s="101">
        <v>0</v>
      </c>
      <c r="K93" s="101">
        <v>0</v>
      </c>
      <c r="L93" s="101">
        <v>5751.69</v>
      </c>
      <c r="M93" s="101">
        <v>0</v>
      </c>
      <c r="N93" s="128" t="s">
        <v>1190</v>
      </c>
      <c r="O93" s="92" t="s">
        <v>1191</v>
      </c>
      <c r="P93" s="127"/>
      <c r="Q93" s="127"/>
    </row>
    <row r="94" spans="1:17" ht="15" customHeight="1" x14ac:dyDescent="0.3">
      <c r="B94" s="128" t="s">
        <v>1152</v>
      </c>
      <c r="C94" s="128" t="s">
        <v>306</v>
      </c>
      <c r="D94" s="129">
        <v>42521</v>
      </c>
      <c r="E94" s="129">
        <v>42521</v>
      </c>
      <c r="F94" s="130">
        <v>44260.12</v>
      </c>
      <c r="G94" s="128" t="s">
        <v>1066</v>
      </c>
      <c r="H94" s="102">
        <v>15</v>
      </c>
      <c r="I94" s="129">
        <v>44926</v>
      </c>
      <c r="J94" s="101">
        <v>245.88</v>
      </c>
      <c r="K94" s="101">
        <v>2950.67</v>
      </c>
      <c r="L94" s="101">
        <v>19425.25</v>
      </c>
      <c r="M94" s="101">
        <v>24834.87</v>
      </c>
      <c r="N94" s="128" t="s">
        <v>1184</v>
      </c>
      <c r="O94" s="92" t="s">
        <v>1191</v>
      </c>
      <c r="P94" s="127"/>
      <c r="Q94" s="127"/>
    </row>
    <row r="95" spans="1:17" ht="15" customHeight="1" x14ac:dyDescent="0.3">
      <c r="B95" s="128" t="s">
        <v>1153</v>
      </c>
      <c r="C95" s="128" t="s">
        <v>307</v>
      </c>
      <c r="D95" s="129">
        <v>42551</v>
      </c>
      <c r="E95" s="129">
        <v>42551</v>
      </c>
      <c r="F95" s="130">
        <v>1793.74</v>
      </c>
      <c r="G95" s="128" t="s">
        <v>1066</v>
      </c>
      <c r="H95" s="102">
        <v>50</v>
      </c>
      <c r="I95" s="129">
        <v>44926</v>
      </c>
      <c r="J95" s="101">
        <v>2.98</v>
      </c>
      <c r="K95" s="101">
        <v>35.869999999999997</v>
      </c>
      <c r="L95" s="101">
        <v>233.16</v>
      </c>
      <c r="M95" s="101">
        <v>1560.58</v>
      </c>
      <c r="N95" s="128" t="s">
        <v>1184</v>
      </c>
      <c r="O95" s="92" t="s">
        <v>1191</v>
      </c>
      <c r="P95" s="127"/>
      <c r="Q95" s="127"/>
    </row>
    <row r="96" spans="1:17" ht="15" customHeight="1" x14ac:dyDescent="0.3">
      <c r="B96" s="128" t="s">
        <v>1154</v>
      </c>
      <c r="C96" s="128" t="s">
        <v>308</v>
      </c>
      <c r="D96" s="129">
        <v>42643</v>
      </c>
      <c r="E96" s="129">
        <v>42643</v>
      </c>
      <c r="F96" s="130">
        <v>17837.59</v>
      </c>
      <c r="G96" s="128" t="s">
        <v>1066</v>
      </c>
      <c r="H96" s="102">
        <v>20</v>
      </c>
      <c r="I96" s="129">
        <v>44926</v>
      </c>
      <c r="J96" s="101">
        <v>74.36</v>
      </c>
      <c r="K96" s="101">
        <v>891.88</v>
      </c>
      <c r="L96" s="101">
        <v>5574.25</v>
      </c>
      <c r="M96" s="101">
        <v>12263.34</v>
      </c>
      <c r="N96" s="128" t="s">
        <v>1186</v>
      </c>
      <c r="O96" s="92" t="s">
        <v>1191</v>
      </c>
      <c r="P96" s="127"/>
      <c r="Q96" s="127"/>
    </row>
    <row r="97" spans="2:17" ht="15" customHeight="1" x14ac:dyDescent="0.3">
      <c r="B97" s="128" t="s">
        <v>1155</v>
      </c>
      <c r="C97" s="128" t="s">
        <v>309</v>
      </c>
      <c r="D97" s="129">
        <v>42735</v>
      </c>
      <c r="E97" s="129">
        <v>42735</v>
      </c>
      <c r="F97" s="130">
        <v>68094.42</v>
      </c>
      <c r="G97" s="128" t="s">
        <v>1066</v>
      </c>
      <c r="H97" s="102">
        <v>50</v>
      </c>
      <c r="I97" s="129">
        <v>44926</v>
      </c>
      <c r="J97" s="101">
        <v>113.5</v>
      </c>
      <c r="K97" s="101">
        <v>1361.89</v>
      </c>
      <c r="L97" s="101">
        <v>8171.34</v>
      </c>
      <c r="M97" s="101">
        <v>59923.08</v>
      </c>
      <c r="N97" s="128" t="s">
        <v>1184</v>
      </c>
      <c r="O97" s="92" t="s">
        <v>1191</v>
      </c>
      <c r="P97" s="127"/>
      <c r="Q97" s="127"/>
    </row>
    <row r="98" spans="2:17" ht="15" customHeight="1" x14ac:dyDescent="0.3">
      <c r="B98" s="128" t="s">
        <v>1156</v>
      </c>
      <c r="C98" s="128" t="s">
        <v>310</v>
      </c>
      <c r="D98" s="129">
        <v>42735</v>
      </c>
      <c r="E98" s="129">
        <v>42735</v>
      </c>
      <c r="F98" s="130">
        <v>3242.82</v>
      </c>
      <c r="G98" s="128" t="s">
        <v>1066</v>
      </c>
      <c r="H98" s="102">
        <v>35</v>
      </c>
      <c r="I98" s="129">
        <v>44926</v>
      </c>
      <c r="J98" s="101">
        <v>7.73</v>
      </c>
      <c r="K98" s="101">
        <v>92.65</v>
      </c>
      <c r="L98" s="101">
        <v>555.9</v>
      </c>
      <c r="M98" s="101">
        <v>2686.92</v>
      </c>
      <c r="N98" s="128" t="s">
        <v>1188</v>
      </c>
      <c r="O98" s="92" t="s">
        <v>1191</v>
      </c>
      <c r="P98" s="127"/>
      <c r="Q98" s="127"/>
    </row>
    <row r="99" spans="2:17" ht="15" customHeight="1" x14ac:dyDescent="0.3">
      <c r="B99" s="128" t="s">
        <v>1157</v>
      </c>
      <c r="C99" s="128" t="s">
        <v>311</v>
      </c>
      <c r="D99" s="129">
        <v>42825</v>
      </c>
      <c r="E99" s="129">
        <v>42825</v>
      </c>
      <c r="F99" s="130">
        <v>20276.830000000002</v>
      </c>
      <c r="G99" s="128" t="s">
        <v>1066</v>
      </c>
      <c r="H99" s="102">
        <v>10</v>
      </c>
      <c r="I99" s="129">
        <v>44926</v>
      </c>
      <c r="J99" s="101">
        <v>169.01</v>
      </c>
      <c r="K99" s="101">
        <v>2027.68</v>
      </c>
      <c r="L99" s="101">
        <v>11659.16</v>
      </c>
      <c r="M99" s="101">
        <v>8617.67</v>
      </c>
      <c r="N99" s="128" t="s">
        <v>1190</v>
      </c>
      <c r="O99" s="92" t="s">
        <v>1191</v>
      </c>
      <c r="P99" s="127"/>
      <c r="Q99" s="127"/>
    </row>
    <row r="100" spans="2:17" ht="15" customHeight="1" x14ac:dyDescent="0.3">
      <c r="B100" s="128" t="s">
        <v>1158</v>
      </c>
      <c r="C100" s="128" t="s">
        <v>312</v>
      </c>
      <c r="D100" s="129">
        <v>43039</v>
      </c>
      <c r="E100" s="129">
        <v>43039</v>
      </c>
      <c r="F100" s="130">
        <v>23557.06</v>
      </c>
      <c r="G100" s="128" t="s">
        <v>1066</v>
      </c>
      <c r="H100" s="102">
        <v>20</v>
      </c>
      <c r="I100" s="129">
        <v>44926</v>
      </c>
      <c r="J100" s="101">
        <v>98.2</v>
      </c>
      <c r="K100" s="101">
        <v>1177.8499999999999</v>
      </c>
      <c r="L100" s="101">
        <v>6085.56</v>
      </c>
      <c r="M100" s="101">
        <v>17471.5</v>
      </c>
      <c r="N100" s="128" t="s">
        <v>1186</v>
      </c>
      <c r="O100" s="92" t="s">
        <v>1191</v>
      </c>
      <c r="P100" s="127"/>
      <c r="Q100" s="127"/>
    </row>
    <row r="101" spans="2:17" ht="15" customHeight="1" x14ac:dyDescent="0.3">
      <c r="B101" s="128" t="s">
        <v>1159</v>
      </c>
      <c r="C101" s="128" t="s">
        <v>313</v>
      </c>
      <c r="D101" s="129">
        <v>43100</v>
      </c>
      <c r="E101" s="129">
        <v>43100</v>
      </c>
      <c r="F101" s="130">
        <v>21243.02</v>
      </c>
      <c r="G101" s="128" t="s">
        <v>1066</v>
      </c>
      <c r="H101" s="102">
        <v>50</v>
      </c>
      <c r="I101" s="129">
        <v>44926</v>
      </c>
      <c r="J101" s="101">
        <v>35.35</v>
      </c>
      <c r="K101" s="101">
        <v>424.86</v>
      </c>
      <c r="L101" s="101">
        <v>2124.3000000000002</v>
      </c>
      <c r="M101" s="101">
        <v>19118.72</v>
      </c>
      <c r="N101" s="128" t="s">
        <v>1184</v>
      </c>
      <c r="O101" s="92" t="s">
        <v>1191</v>
      </c>
      <c r="P101" s="127"/>
      <c r="Q101" s="127"/>
    </row>
    <row r="102" spans="2:17" ht="15" customHeight="1" x14ac:dyDescent="0.3">
      <c r="B102" s="128" t="s">
        <v>1160</v>
      </c>
      <c r="C102" s="128" t="s">
        <v>314</v>
      </c>
      <c r="D102" s="129">
        <v>43190</v>
      </c>
      <c r="E102" s="129">
        <v>43190</v>
      </c>
      <c r="F102" s="130">
        <v>14578</v>
      </c>
      <c r="G102" s="128" t="s">
        <v>1066</v>
      </c>
      <c r="H102" s="102">
        <v>10</v>
      </c>
      <c r="I102" s="129">
        <v>44926</v>
      </c>
      <c r="J102" s="101">
        <v>121.52</v>
      </c>
      <c r="K102" s="101">
        <v>1457.8</v>
      </c>
      <c r="L102" s="101">
        <v>6924.55</v>
      </c>
      <c r="M102" s="101">
        <v>7653.45</v>
      </c>
      <c r="N102" s="128" t="s">
        <v>1190</v>
      </c>
      <c r="O102" s="92" t="s">
        <v>1191</v>
      </c>
      <c r="P102" s="127"/>
      <c r="Q102" s="127"/>
    </row>
    <row r="103" spans="2:17" ht="15" customHeight="1" x14ac:dyDescent="0.3">
      <c r="B103" s="128" t="s">
        <v>1161</v>
      </c>
      <c r="C103" s="128" t="s">
        <v>315</v>
      </c>
      <c r="D103" s="129">
        <v>43343</v>
      </c>
      <c r="E103" s="129">
        <v>43343</v>
      </c>
      <c r="F103" s="130">
        <v>3716.31</v>
      </c>
      <c r="G103" s="128" t="s">
        <v>1066</v>
      </c>
      <c r="H103" s="102">
        <v>10</v>
      </c>
      <c r="I103" s="129">
        <v>44926</v>
      </c>
      <c r="J103" s="101">
        <v>30.96</v>
      </c>
      <c r="K103" s="101">
        <v>371.63</v>
      </c>
      <c r="L103" s="101">
        <v>1610.4</v>
      </c>
      <c r="M103" s="101">
        <v>2105.91</v>
      </c>
      <c r="N103" s="128" t="s">
        <v>1186</v>
      </c>
      <c r="O103" s="92" t="s">
        <v>1191</v>
      </c>
      <c r="P103" s="127"/>
      <c r="Q103" s="127"/>
    </row>
    <row r="104" spans="2:17" ht="15" customHeight="1" x14ac:dyDescent="0.3">
      <c r="B104" s="128" t="s">
        <v>1162</v>
      </c>
      <c r="C104" s="128" t="s">
        <v>316</v>
      </c>
      <c r="D104" s="129">
        <v>43404</v>
      </c>
      <c r="E104" s="129">
        <v>43404</v>
      </c>
      <c r="F104" s="130">
        <v>9816</v>
      </c>
      <c r="G104" s="128" t="s">
        <v>1066</v>
      </c>
      <c r="H104" s="102">
        <v>10</v>
      </c>
      <c r="I104" s="129">
        <v>44926</v>
      </c>
      <c r="J104" s="101">
        <v>81.8</v>
      </c>
      <c r="K104" s="101">
        <v>981.6</v>
      </c>
      <c r="L104" s="101">
        <v>4090</v>
      </c>
      <c r="M104" s="101">
        <v>5726</v>
      </c>
      <c r="N104" s="128" t="s">
        <v>1190</v>
      </c>
      <c r="O104" s="92" t="s">
        <v>1191</v>
      </c>
      <c r="P104" s="127"/>
      <c r="Q104" s="127"/>
    </row>
    <row r="105" spans="2:17" ht="15" customHeight="1" x14ac:dyDescent="0.3">
      <c r="B105" s="128" t="s">
        <v>1163</v>
      </c>
      <c r="C105" s="128" t="s">
        <v>317</v>
      </c>
      <c r="D105" s="129">
        <v>43585</v>
      </c>
      <c r="E105" s="129">
        <v>43585</v>
      </c>
      <c r="F105" s="130">
        <v>7444.2</v>
      </c>
      <c r="G105" s="128" t="s">
        <v>1066</v>
      </c>
      <c r="H105" s="102">
        <v>10</v>
      </c>
      <c r="I105" s="129">
        <v>44926</v>
      </c>
      <c r="J105" s="101">
        <v>61.98</v>
      </c>
      <c r="K105" s="101">
        <v>744.42</v>
      </c>
      <c r="L105" s="101">
        <v>2729.54</v>
      </c>
      <c r="M105" s="101">
        <v>4714.66</v>
      </c>
      <c r="N105" s="128" t="s">
        <v>1190</v>
      </c>
      <c r="O105" s="92" t="s">
        <v>1191</v>
      </c>
      <c r="P105" s="127"/>
      <c r="Q105" s="127"/>
    </row>
    <row r="106" spans="2:17" ht="15" customHeight="1" x14ac:dyDescent="0.3">
      <c r="B106" s="128" t="s">
        <v>1164</v>
      </c>
      <c r="C106" s="128" t="s">
        <v>318</v>
      </c>
      <c r="D106" s="129">
        <v>43585</v>
      </c>
      <c r="E106" s="129">
        <v>43585</v>
      </c>
      <c r="F106" s="130">
        <v>17703.86</v>
      </c>
      <c r="G106" s="128" t="s">
        <v>1066</v>
      </c>
      <c r="H106" s="102">
        <v>10</v>
      </c>
      <c r="I106" s="129">
        <v>44926</v>
      </c>
      <c r="J106" s="101">
        <v>147.56</v>
      </c>
      <c r="K106" s="101">
        <v>1770.39</v>
      </c>
      <c r="L106" s="101">
        <v>6491.43</v>
      </c>
      <c r="M106" s="101">
        <v>11212.43</v>
      </c>
      <c r="N106" s="128" t="s">
        <v>1186</v>
      </c>
      <c r="O106" s="92" t="s">
        <v>1191</v>
      </c>
      <c r="P106" s="127"/>
      <c r="Q106" s="127"/>
    </row>
    <row r="107" spans="2:17" ht="15" customHeight="1" x14ac:dyDescent="0.3">
      <c r="B107" s="128" t="s">
        <v>1165</v>
      </c>
      <c r="C107" s="128" t="s">
        <v>319</v>
      </c>
      <c r="D107" s="129">
        <v>43616</v>
      </c>
      <c r="E107" s="129">
        <v>43616</v>
      </c>
      <c r="F107" s="130">
        <v>3765</v>
      </c>
      <c r="G107" s="128" t="s">
        <v>1066</v>
      </c>
      <c r="H107" s="102">
        <v>10</v>
      </c>
      <c r="I107" s="129">
        <v>44926</v>
      </c>
      <c r="J107" s="101">
        <v>31.32</v>
      </c>
      <c r="K107" s="101">
        <v>376.5</v>
      </c>
      <c r="L107" s="101">
        <v>1349.13</v>
      </c>
      <c r="M107" s="101">
        <v>2415.87</v>
      </c>
      <c r="N107" s="128" t="s">
        <v>1190</v>
      </c>
      <c r="O107" s="92" t="s">
        <v>1191</v>
      </c>
      <c r="P107" s="127"/>
      <c r="Q107" s="127"/>
    </row>
    <row r="108" spans="2:17" ht="15" customHeight="1" x14ac:dyDescent="0.3">
      <c r="B108" s="128" t="s">
        <v>1166</v>
      </c>
      <c r="C108" s="128" t="s">
        <v>320</v>
      </c>
      <c r="D108" s="129">
        <v>43738</v>
      </c>
      <c r="E108" s="129">
        <v>43738</v>
      </c>
      <c r="F108" s="130">
        <v>1993</v>
      </c>
      <c r="G108" s="128" t="s">
        <v>1066</v>
      </c>
      <c r="H108" s="102">
        <v>10</v>
      </c>
      <c r="I108" s="129">
        <v>44926</v>
      </c>
      <c r="J108" s="101">
        <v>16.59</v>
      </c>
      <c r="K108" s="101">
        <v>199.3</v>
      </c>
      <c r="L108" s="101">
        <v>647.73</v>
      </c>
      <c r="M108" s="101">
        <v>1345.27</v>
      </c>
      <c r="N108" s="128" t="s">
        <v>1190</v>
      </c>
      <c r="O108" s="92" t="s">
        <v>1191</v>
      </c>
      <c r="P108" s="127"/>
      <c r="Q108" s="127"/>
    </row>
    <row r="109" spans="2:17" ht="15" customHeight="1" x14ac:dyDescent="0.3">
      <c r="B109" s="128" t="s">
        <v>1167</v>
      </c>
      <c r="C109" s="128" t="s">
        <v>321</v>
      </c>
      <c r="D109" s="129">
        <v>43799</v>
      </c>
      <c r="E109" s="129">
        <v>43799</v>
      </c>
      <c r="F109" s="130">
        <v>271831.98</v>
      </c>
      <c r="G109" s="128" t="s">
        <v>1066</v>
      </c>
      <c r="H109" s="102">
        <v>10</v>
      </c>
      <c r="I109" s="129">
        <v>44926</v>
      </c>
      <c r="J109" s="101">
        <v>2265.2399999999998</v>
      </c>
      <c r="K109" s="101">
        <v>27183.200000000001</v>
      </c>
      <c r="L109" s="101">
        <v>83814.87</v>
      </c>
      <c r="M109" s="101">
        <v>188017.11</v>
      </c>
      <c r="N109" s="128" t="s">
        <v>1190</v>
      </c>
      <c r="O109" s="92" t="s">
        <v>1191</v>
      </c>
      <c r="P109" s="127"/>
      <c r="Q109" s="127"/>
    </row>
    <row r="110" spans="2:17" ht="15" customHeight="1" x14ac:dyDescent="0.3">
      <c r="B110" s="128" t="s">
        <v>1168</v>
      </c>
      <c r="C110" s="128" t="s">
        <v>322</v>
      </c>
      <c r="D110" s="129">
        <v>43830</v>
      </c>
      <c r="E110" s="129">
        <v>43830</v>
      </c>
      <c r="F110" s="130">
        <v>155352.5</v>
      </c>
      <c r="G110" s="128" t="s">
        <v>1066</v>
      </c>
      <c r="H110" s="102">
        <v>50</v>
      </c>
      <c r="I110" s="129">
        <v>44926</v>
      </c>
      <c r="J110" s="101">
        <v>258.93</v>
      </c>
      <c r="K110" s="101">
        <v>3107.05</v>
      </c>
      <c r="L110" s="101">
        <v>9321.15</v>
      </c>
      <c r="M110" s="101">
        <v>146031.35</v>
      </c>
      <c r="N110" s="128" t="s">
        <v>1184</v>
      </c>
      <c r="O110" s="92" t="s">
        <v>1191</v>
      </c>
      <c r="P110" s="127"/>
      <c r="Q110" s="127"/>
    </row>
    <row r="111" spans="2:17" ht="15" customHeight="1" x14ac:dyDescent="0.3">
      <c r="B111" s="128" t="s">
        <v>1169</v>
      </c>
      <c r="C111" s="128" t="s">
        <v>323</v>
      </c>
      <c r="D111" s="129">
        <v>43890</v>
      </c>
      <c r="E111" s="129">
        <v>43890</v>
      </c>
      <c r="F111" s="130">
        <v>2085</v>
      </c>
      <c r="G111" s="128" t="s">
        <v>1066</v>
      </c>
      <c r="H111" s="102">
        <v>5</v>
      </c>
      <c r="I111" s="129">
        <v>44926</v>
      </c>
      <c r="J111" s="101">
        <v>34.75</v>
      </c>
      <c r="K111" s="101">
        <v>417</v>
      </c>
      <c r="L111" s="101">
        <v>1181.5</v>
      </c>
      <c r="M111" s="101">
        <v>903.5</v>
      </c>
      <c r="N111" s="128" t="s">
        <v>1190</v>
      </c>
      <c r="O111" s="92" t="s">
        <v>1191</v>
      </c>
      <c r="P111" s="127"/>
      <c r="Q111" s="127"/>
    </row>
    <row r="112" spans="2:17" ht="15" customHeight="1" x14ac:dyDescent="0.3">
      <c r="B112" s="128" t="s">
        <v>1170</v>
      </c>
      <c r="C112" s="128" t="s">
        <v>324</v>
      </c>
      <c r="D112" s="129">
        <v>43890</v>
      </c>
      <c r="E112" s="129">
        <v>43890</v>
      </c>
      <c r="F112" s="130">
        <v>1835.18</v>
      </c>
      <c r="G112" s="128" t="s">
        <v>1066</v>
      </c>
      <c r="H112" s="102">
        <v>20</v>
      </c>
      <c r="I112" s="129">
        <v>44926</v>
      </c>
      <c r="J112" s="101">
        <v>7.61</v>
      </c>
      <c r="K112" s="101">
        <v>91.76</v>
      </c>
      <c r="L112" s="101">
        <v>259.99</v>
      </c>
      <c r="M112" s="101">
        <v>1575.19</v>
      </c>
      <c r="N112" s="128" t="s">
        <v>1189</v>
      </c>
      <c r="O112" s="92" t="s">
        <v>1191</v>
      </c>
      <c r="P112" s="127"/>
      <c r="Q112" s="127"/>
    </row>
    <row r="113" spans="2:17" ht="15" customHeight="1" x14ac:dyDescent="0.3">
      <c r="B113" s="128" t="s">
        <v>1171</v>
      </c>
      <c r="C113" s="128" t="s">
        <v>325</v>
      </c>
      <c r="D113" s="129">
        <v>43890</v>
      </c>
      <c r="E113" s="129">
        <v>43890</v>
      </c>
      <c r="F113" s="130">
        <v>53211.12</v>
      </c>
      <c r="G113" s="128" t="s">
        <v>1066</v>
      </c>
      <c r="H113" s="102">
        <v>20</v>
      </c>
      <c r="I113" s="129">
        <v>44926</v>
      </c>
      <c r="J113" s="101">
        <v>221.75</v>
      </c>
      <c r="K113" s="101">
        <v>2660.56</v>
      </c>
      <c r="L113" s="101">
        <v>7538.25</v>
      </c>
      <c r="M113" s="101">
        <v>45672.87</v>
      </c>
      <c r="N113" s="128" t="s">
        <v>1189</v>
      </c>
      <c r="O113" s="92" t="s">
        <v>1191</v>
      </c>
      <c r="P113" s="127"/>
      <c r="Q113" s="127"/>
    </row>
    <row r="114" spans="2:17" ht="15" customHeight="1" x14ac:dyDescent="0.3">
      <c r="B114" s="128" t="s">
        <v>1172</v>
      </c>
      <c r="C114" s="128" t="s">
        <v>326</v>
      </c>
      <c r="D114" s="129">
        <v>43890</v>
      </c>
      <c r="E114" s="129">
        <v>43890</v>
      </c>
      <c r="F114" s="130">
        <v>115718.44</v>
      </c>
      <c r="G114" s="128" t="s">
        <v>1066</v>
      </c>
      <c r="H114" s="102">
        <v>10</v>
      </c>
      <c r="I114" s="129">
        <v>44926</v>
      </c>
      <c r="J114" s="101">
        <v>964.32</v>
      </c>
      <c r="K114" s="101">
        <v>11571.84</v>
      </c>
      <c r="L114" s="101">
        <v>32786.879999999997</v>
      </c>
      <c r="M114" s="101">
        <v>82931.56</v>
      </c>
      <c r="N114" s="128" t="s">
        <v>1190</v>
      </c>
      <c r="O114" s="92" t="s">
        <v>1191</v>
      </c>
      <c r="P114" s="127"/>
      <c r="Q114" s="127"/>
    </row>
    <row r="115" spans="2:17" ht="15" customHeight="1" x14ac:dyDescent="0.3">
      <c r="B115" s="128" t="s">
        <v>1173</v>
      </c>
      <c r="C115" s="128" t="s">
        <v>327</v>
      </c>
      <c r="D115" s="129">
        <v>43890</v>
      </c>
      <c r="E115" s="129">
        <v>43890</v>
      </c>
      <c r="F115" s="130">
        <v>120698.73</v>
      </c>
      <c r="G115" s="128" t="s">
        <v>1066</v>
      </c>
      <c r="H115" s="102">
        <v>35</v>
      </c>
      <c r="I115" s="129">
        <v>44926</v>
      </c>
      <c r="J115" s="101">
        <v>287.36</v>
      </c>
      <c r="K115" s="101">
        <v>3448.54</v>
      </c>
      <c r="L115" s="101">
        <v>9770.86</v>
      </c>
      <c r="M115" s="101">
        <v>110927.87</v>
      </c>
      <c r="N115" s="128" t="s">
        <v>1188</v>
      </c>
      <c r="O115" s="92" t="s">
        <v>1191</v>
      </c>
      <c r="P115" s="127"/>
      <c r="Q115" s="127"/>
    </row>
    <row r="116" spans="2:17" ht="15" customHeight="1" x14ac:dyDescent="0.3">
      <c r="B116" s="128" t="s">
        <v>1174</v>
      </c>
      <c r="C116" s="128" t="s">
        <v>328</v>
      </c>
      <c r="D116" s="129">
        <v>43890</v>
      </c>
      <c r="E116" s="129">
        <v>43890</v>
      </c>
      <c r="F116" s="130">
        <v>99005.85</v>
      </c>
      <c r="G116" s="128" t="s">
        <v>1066</v>
      </c>
      <c r="H116" s="102">
        <v>40</v>
      </c>
      <c r="I116" s="129">
        <v>44926</v>
      </c>
      <c r="J116" s="101">
        <v>206.29</v>
      </c>
      <c r="K116" s="101">
        <v>2475.15</v>
      </c>
      <c r="L116" s="101">
        <v>7012.92</v>
      </c>
      <c r="M116" s="101">
        <v>91992.93</v>
      </c>
      <c r="N116" s="128" t="s">
        <v>1185</v>
      </c>
      <c r="O116" s="92" t="s">
        <v>1191</v>
      </c>
      <c r="P116" s="127"/>
      <c r="Q116" s="127"/>
    </row>
    <row r="117" spans="2:17" ht="15" customHeight="1" x14ac:dyDescent="0.3">
      <c r="B117" s="128" t="s">
        <v>1175</v>
      </c>
      <c r="C117" s="128" t="s">
        <v>329</v>
      </c>
      <c r="D117" s="129">
        <v>43921</v>
      </c>
      <c r="E117" s="129">
        <v>43921</v>
      </c>
      <c r="F117" s="130">
        <v>12144.94</v>
      </c>
      <c r="G117" s="128" t="s">
        <v>1066</v>
      </c>
      <c r="H117" s="102">
        <v>5</v>
      </c>
      <c r="I117" s="129">
        <v>44926</v>
      </c>
      <c r="J117" s="101">
        <v>202.37</v>
      </c>
      <c r="K117" s="101">
        <v>2428.9899999999998</v>
      </c>
      <c r="L117" s="101">
        <v>6679.72</v>
      </c>
      <c r="M117" s="101">
        <v>5465.22</v>
      </c>
      <c r="N117" s="128" t="s">
        <v>1184</v>
      </c>
      <c r="O117" s="92" t="s">
        <v>1191</v>
      </c>
      <c r="P117" s="127"/>
      <c r="Q117" s="127"/>
    </row>
    <row r="118" spans="2:17" ht="15" customHeight="1" x14ac:dyDescent="0.3">
      <c r="B118" s="128" t="s">
        <v>1176</v>
      </c>
      <c r="C118" s="128" t="s">
        <v>330</v>
      </c>
      <c r="D118" s="129">
        <v>43921</v>
      </c>
      <c r="E118" s="129">
        <v>43921</v>
      </c>
      <c r="F118" s="130">
        <v>70397.8</v>
      </c>
      <c r="G118" s="128" t="s">
        <v>1066</v>
      </c>
      <c r="H118" s="102">
        <v>50</v>
      </c>
      <c r="I118" s="129">
        <v>44926</v>
      </c>
      <c r="J118" s="101">
        <v>117.33</v>
      </c>
      <c r="K118" s="101">
        <v>1407.96</v>
      </c>
      <c r="L118" s="101">
        <v>3871.89</v>
      </c>
      <c r="M118" s="101">
        <v>66525.91</v>
      </c>
      <c r="N118" s="128" t="s">
        <v>1184</v>
      </c>
      <c r="O118" s="92" t="s">
        <v>1191</v>
      </c>
      <c r="P118" s="127"/>
      <c r="Q118" s="127"/>
    </row>
    <row r="119" spans="2:17" ht="15" customHeight="1" x14ac:dyDescent="0.3">
      <c r="B119" s="128" t="s">
        <v>1177</v>
      </c>
      <c r="C119" s="128" t="s">
        <v>331</v>
      </c>
      <c r="D119" s="129">
        <v>43921</v>
      </c>
      <c r="E119" s="129">
        <v>43921</v>
      </c>
      <c r="F119" s="130">
        <v>241762.1</v>
      </c>
      <c r="G119" s="128" t="s">
        <v>1066</v>
      </c>
      <c r="H119" s="102">
        <v>10</v>
      </c>
      <c r="I119" s="129">
        <v>44926</v>
      </c>
      <c r="J119" s="101">
        <v>2014.73</v>
      </c>
      <c r="K119" s="101">
        <v>24176.21</v>
      </c>
      <c r="L119" s="101">
        <v>66484.58</v>
      </c>
      <c r="M119" s="101">
        <v>175277.52</v>
      </c>
      <c r="N119" s="128" t="s">
        <v>1190</v>
      </c>
      <c r="O119" s="92" t="s">
        <v>1191</v>
      </c>
      <c r="P119" s="127"/>
      <c r="Q119" s="127"/>
    </row>
    <row r="120" spans="2:17" ht="15" customHeight="1" x14ac:dyDescent="0.3">
      <c r="B120" s="128" t="s">
        <v>1178</v>
      </c>
      <c r="C120" s="128" t="s">
        <v>332</v>
      </c>
      <c r="D120" s="129">
        <v>44255</v>
      </c>
      <c r="E120" s="129">
        <v>44255</v>
      </c>
      <c r="F120" s="130">
        <v>2179.71</v>
      </c>
      <c r="G120" s="128" t="s">
        <v>1066</v>
      </c>
      <c r="H120" s="102">
        <v>10</v>
      </c>
      <c r="I120" s="129">
        <v>44926</v>
      </c>
      <c r="J120" s="101">
        <v>18.21</v>
      </c>
      <c r="K120" s="101">
        <v>217.97</v>
      </c>
      <c r="L120" s="101">
        <v>399.61</v>
      </c>
      <c r="M120" s="101">
        <v>1780.1</v>
      </c>
      <c r="N120" s="128" t="s">
        <v>1190</v>
      </c>
      <c r="O120" s="92" t="s">
        <v>1191</v>
      </c>
      <c r="P120" s="127"/>
      <c r="Q120" s="127"/>
    </row>
    <row r="121" spans="2:17" ht="15" customHeight="1" x14ac:dyDescent="0.3">
      <c r="B121" s="128" t="s">
        <v>1179</v>
      </c>
      <c r="C121" s="128" t="s">
        <v>333</v>
      </c>
      <c r="D121" s="129">
        <v>44530</v>
      </c>
      <c r="E121" s="129">
        <v>44530</v>
      </c>
      <c r="F121" s="130">
        <v>21815.54</v>
      </c>
      <c r="G121" s="128" t="s">
        <v>1066</v>
      </c>
      <c r="H121" s="102">
        <v>10</v>
      </c>
      <c r="I121" s="129">
        <v>44926</v>
      </c>
      <c r="J121" s="101">
        <v>181.75</v>
      </c>
      <c r="K121" s="101">
        <v>2181.5500000000002</v>
      </c>
      <c r="L121" s="101">
        <v>2363.35</v>
      </c>
      <c r="M121" s="101">
        <v>19452.189999999999</v>
      </c>
      <c r="N121" s="128" t="s">
        <v>1186</v>
      </c>
      <c r="O121" s="92" t="s">
        <v>1191</v>
      </c>
      <c r="P121" s="127"/>
      <c r="Q121" s="127"/>
    </row>
    <row r="122" spans="2:17" ht="15" customHeight="1" x14ac:dyDescent="0.3">
      <c r="B122" s="128" t="s">
        <v>1180</v>
      </c>
      <c r="C122" s="128" t="s">
        <v>985</v>
      </c>
      <c r="D122" s="129">
        <v>44712</v>
      </c>
      <c r="E122" s="129">
        <v>44712</v>
      </c>
      <c r="F122" s="130">
        <v>16850</v>
      </c>
      <c r="G122" s="128" t="s">
        <v>1066</v>
      </c>
      <c r="H122" s="102">
        <v>5</v>
      </c>
      <c r="I122" s="129">
        <v>44926</v>
      </c>
      <c r="J122" s="101">
        <v>280.85000000000002</v>
      </c>
      <c r="K122" s="101">
        <v>1965.83</v>
      </c>
      <c r="L122" s="101">
        <v>1965.83</v>
      </c>
      <c r="M122" s="101">
        <v>14884.17</v>
      </c>
      <c r="N122" s="128" t="s">
        <v>1190</v>
      </c>
      <c r="O122" s="92" t="s">
        <v>1191</v>
      </c>
      <c r="P122" s="127"/>
      <c r="Q122" s="127"/>
    </row>
    <row r="123" spans="2:17" ht="15" customHeight="1" x14ac:dyDescent="0.3">
      <c r="B123" s="128" t="s">
        <v>1181</v>
      </c>
      <c r="C123" s="128" t="s">
        <v>986</v>
      </c>
      <c r="D123" s="129">
        <v>44742</v>
      </c>
      <c r="E123" s="129">
        <v>44742</v>
      </c>
      <c r="F123" s="130">
        <v>19500</v>
      </c>
      <c r="G123" s="128" t="s">
        <v>1066</v>
      </c>
      <c r="H123" s="102">
        <v>10</v>
      </c>
      <c r="I123" s="129">
        <v>44926</v>
      </c>
      <c r="J123" s="101">
        <v>162.5</v>
      </c>
      <c r="K123" s="101">
        <v>975</v>
      </c>
      <c r="L123" s="101">
        <v>975</v>
      </c>
      <c r="M123" s="101">
        <v>18525</v>
      </c>
      <c r="N123" s="128" t="s">
        <v>1190</v>
      </c>
      <c r="O123" s="92" t="s">
        <v>1191</v>
      </c>
      <c r="P123" s="127"/>
      <c r="Q123" s="127"/>
    </row>
    <row r="124" spans="2:17" ht="15" customHeight="1" x14ac:dyDescent="0.3">
      <c r="B124" s="128" t="s">
        <v>1182</v>
      </c>
      <c r="C124" s="128" t="s">
        <v>987</v>
      </c>
      <c r="D124" s="129">
        <v>44742</v>
      </c>
      <c r="E124" s="129">
        <v>44742</v>
      </c>
      <c r="F124" s="130">
        <v>5000</v>
      </c>
      <c r="G124" s="128" t="s">
        <v>1066</v>
      </c>
      <c r="H124" s="102">
        <v>5</v>
      </c>
      <c r="I124" s="129">
        <v>44926</v>
      </c>
      <c r="J124" s="101">
        <v>83.35</v>
      </c>
      <c r="K124" s="101">
        <v>500</v>
      </c>
      <c r="L124" s="101">
        <v>500</v>
      </c>
      <c r="M124" s="101">
        <v>4500</v>
      </c>
      <c r="N124" s="128" t="s">
        <v>1190</v>
      </c>
      <c r="O124" s="92" t="s">
        <v>1191</v>
      </c>
      <c r="P124" s="127"/>
      <c r="Q124" s="127"/>
    </row>
    <row r="125" spans="2:17" ht="15" customHeight="1" x14ac:dyDescent="0.3">
      <c r="B125" s="128" t="s">
        <v>1183</v>
      </c>
      <c r="C125" s="128" t="s">
        <v>334</v>
      </c>
      <c r="D125" s="129">
        <v>43251</v>
      </c>
      <c r="E125" s="129">
        <v>43251</v>
      </c>
      <c r="F125" s="130">
        <v>2441.9699999999998</v>
      </c>
      <c r="G125" s="128" t="s">
        <v>1066</v>
      </c>
      <c r="H125" s="102">
        <v>10</v>
      </c>
      <c r="I125" s="129">
        <v>44926</v>
      </c>
      <c r="J125" s="101">
        <v>20.350000000000001</v>
      </c>
      <c r="K125" s="101">
        <v>244.2</v>
      </c>
      <c r="L125" s="101">
        <v>1119.25</v>
      </c>
      <c r="M125" s="101">
        <v>1322.72</v>
      </c>
      <c r="N125" s="128" t="s">
        <v>1190</v>
      </c>
      <c r="O125" s="92" t="s">
        <v>1191</v>
      </c>
      <c r="P125" s="127"/>
      <c r="Q125" s="127"/>
    </row>
    <row r="126" spans="2:17" ht="15" customHeight="1" x14ac:dyDescent="0.3">
      <c r="B126" s="128" t="s">
        <v>1192</v>
      </c>
      <c r="C126" s="128" t="s">
        <v>105</v>
      </c>
      <c r="D126" s="129">
        <v>36161</v>
      </c>
      <c r="E126" s="129">
        <v>36161</v>
      </c>
      <c r="F126" s="130">
        <v>63676.74</v>
      </c>
      <c r="G126" s="128" t="s">
        <v>1066</v>
      </c>
      <c r="H126" s="102">
        <v>50</v>
      </c>
      <c r="I126" s="129">
        <v>44926</v>
      </c>
      <c r="J126" s="101">
        <v>106.1</v>
      </c>
      <c r="K126" s="101">
        <v>1273.53</v>
      </c>
      <c r="L126" s="101">
        <v>29928.05</v>
      </c>
      <c r="M126" s="101">
        <v>33748.69</v>
      </c>
      <c r="N126" s="128" t="s">
        <v>1283</v>
      </c>
      <c r="O126" s="92" t="s">
        <v>1285</v>
      </c>
      <c r="P126" s="127"/>
      <c r="Q126" s="127"/>
    </row>
    <row r="127" spans="2:17" ht="15" customHeight="1" x14ac:dyDescent="0.3">
      <c r="B127" s="128" t="s">
        <v>1193</v>
      </c>
      <c r="C127" s="128" t="s">
        <v>106</v>
      </c>
      <c r="D127" s="129">
        <v>36892</v>
      </c>
      <c r="E127" s="129">
        <v>36892</v>
      </c>
      <c r="F127" s="130">
        <v>43267.78</v>
      </c>
      <c r="G127" s="128" t="s">
        <v>1066</v>
      </c>
      <c r="H127" s="102">
        <v>50</v>
      </c>
      <c r="I127" s="129">
        <v>44926</v>
      </c>
      <c r="J127" s="101">
        <v>72.150000000000006</v>
      </c>
      <c r="K127" s="101">
        <v>865.36</v>
      </c>
      <c r="L127" s="101">
        <v>18605.189999999999</v>
      </c>
      <c r="M127" s="101">
        <v>24662.59</v>
      </c>
      <c r="N127" s="128" t="s">
        <v>1283</v>
      </c>
      <c r="O127" s="92" t="s">
        <v>1285</v>
      </c>
      <c r="P127" s="127"/>
      <c r="Q127" s="127"/>
    </row>
    <row r="128" spans="2:17" ht="15" customHeight="1" x14ac:dyDescent="0.3">
      <c r="B128" s="128" t="s">
        <v>1194</v>
      </c>
      <c r="C128" s="128" t="s">
        <v>107</v>
      </c>
      <c r="D128" s="129">
        <v>37257</v>
      </c>
      <c r="E128" s="129">
        <v>37257</v>
      </c>
      <c r="F128" s="130">
        <v>19454</v>
      </c>
      <c r="G128" s="128" t="s">
        <v>1066</v>
      </c>
      <c r="H128" s="102">
        <v>50</v>
      </c>
      <c r="I128" s="129">
        <v>44926</v>
      </c>
      <c r="J128" s="101">
        <v>32.46</v>
      </c>
      <c r="K128" s="101">
        <v>389.08</v>
      </c>
      <c r="L128" s="101">
        <v>7976.14</v>
      </c>
      <c r="M128" s="101">
        <v>11477.86</v>
      </c>
      <c r="N128" s="128" t="s">
        <v>1283</v>
      </c>
      <c r="O128" s="92" t="s">
        <v>1285</v>
      </c>
      <c r="P128" s="127"/>
      <c r="Q128" s="127"/>
    </row>
    <row r="129" spans="2:17" ht="15" customHeight="1" x14ac:dyDescent="0.3">
      <c r="B129" s="128" t="s">
        <v>1195</v>
      </c>
      <c r="C129" s="128" t="s">
        <v>108</v>
      </c>
      <c r="D129" s="129">
        <v>37257</v>
      </c>
      <c r="E129" s="129">
        <v>37257</v>
      </c>
      <c r="F129" s="130">
        <v>84416.26</v>
      </c>
      <c r="G129" s="128" t="s">
        <v>1066</v>
      </c>
      <c r="H129" s="102">
        <v>50</v>
      </c>
      <c r="I129" s="129">
        <v>44926</v>
      </c>
      <c r="J129" s="101">
        <v>140.74</v>
      </c>
      <c r="K129" s="101">
        <v>1688.33</v>
      </c>
      <c r="L129" s="101">
        <v>36476.25</v>
      </c>
      <c r="M129" s="101">
        <v>47940.01</v>
      </c>
      <c r="N129" s="128" t="s">
        <v>1283</v>
      </c>
      <c r="O129" s="92" t="s">
        <v>1285</v>
      </c>
      <c r="P129" s="127"/>
      <c r="Q129" s="127"/>
    </row>
    <row r="130" spans="2:17" ht="15" customHeight="1" x14ac:dyDescent="0.3">
      <c r="B130" s="128" t="s">
        <v>1196</v>
      </c>
      <c r="C130" s="128" t="s">
        <v>109</v>
      </c>
      <c r="D130" s="129">
        <v>37257</v>
      </c>
      <c r="E130" s="129">
        <v>37257</v>
      </c>
      <c r="F130" s="130">
        <v>10292</v>
      </c>
      <c r="G130" s="128" t="s">
        <v>1066</v>
      </c>
      <c r="H130" s="102">
        <v>50</v>
      </c>
      <c r="I130" s="129">
        <v>44926</v>
      </c>
      <c r="J130" s="101">
        <v>17.190000000000001</v>
      </c>
      <c r="K130" s="101">
        <v>205.84</v>
      </c>
      <c r="L130" s="101">
        <v>4219.72</v>
      </c>
      <c r="M130" s="101">
        <v>6072.28</v>
      </c>
      <c r="N130" s="128" t="s">
        <v>1283</v>
      </c>
      <c r="O130" s="92" t="s">
        <v>1285</v>
      </c>
      <c r="P130" s="127"/>
      <c r="Q130" s="127"/>
    </row>
    <row r="131" spans="2:17" ht="15" customHeight="1" x14ac:dyDescent="0.3">
      <c r="B131" s="128" t="s">
        <v>1197</v>
      </c>
      <c r="C131" s="128" t="s">
        <v>110</v>
      </c>
      <c r="D131" s="129">
        <v>37257</v>
      </c>
      <c r="E131" s="129">
        <v>37257</v>
      </c>
      <c r="F131" s="130">
        <v>10800</v>
      </c>
      <c r="G131" s="128" t="s">
        <v>1066</v>
      </c>
      <c r="H131" s="102">
        <v>50</v>
      </c>
      <c r="I131" s="129">
        <v>44926</v>
      </c>
      <c r="J131" s="101">
        <v>18</v>
      </c>
      <c r="K131" s="101">
        <v>216</v>
      </c>
      <c r="L131" s="101">
        <v>4428</v>
      </c>
      <c r="M131" s="101">
        <v>6372</v>
      </c>
      <c r="N131" s="128" t="s">
        <v>1283</v>
      </c>
      <c r="O131" s="92" t="s">
        <v>1285</v>
      </c>
      <c r="P131" s="127"/>
      <c r="Q131" s="127"/>
    </row>
    <row r="132" spans="2:17" ht="15" customHeight="1" x14ac:dyDescent="0.3">
      <c r="B132" s="128" t="s">
        <v>1198</v>
      </c>
      <c r="C132" s="128" t="s">
        <v>111</v>
      </c>
      <c r="D132" s="129">
        <v>37622</v>
      </c>
      <c r="E132" s="129">
        <v>37622</v>
      </c>
      <c r="F132" s="130">
        <v>8000</v>
      </c>
      <c r="G132" s="128" t="s">
        <v>1066</v>
      </c>
      <c r="H132" s="102">
        <v>50</v>
      </c>
      <c r="I132" s="129">
        <v>44926</v>
      </c>
      <c r="J132" s="101">
        <v>13.37</v>
      </c>
      <c r="K132" s="101">
        <v>160</v>
      </c>
      <c r="L132" s="101">
        <v>4280</v>
      </c>
      <c r="M132" s="101">
        <v>3720</v>
      </c>
      <c r="N132" s="128" t="s">
        <v>1283</v>
      </c>
      <c r="O132" s="92" t="s">
        <v>1285</v>
      </c>
      <c r="P132" s="127"/>
      <c r="Q132" s="127"/>
    </row>
    <row r="133" spans="2:17" ht="15" customHeight="1" x14ac:dyDescent="0.3">
      <c r="B133" s="128" t="s">
        <v>1199</v>
      </c>
      <c r="C133" s="128" t="s">
        <v>346</v>
      </c>
      <c r="D133" s="129">
        <v>37622</v>
      </c>
      <c r="E133" s="129">
        <v>37622</v>
      </c>
      <c r="F133" s="130">
        <v>5400</v>
      </c>
      <c r="G133" s="128" t="s">
        <v>1066</v>
      </c>
      <c r="H133" s="102">
        <v>30</v>
      </c>
      <c r="I133" s="129">
        <v>44926</v>
      </c>
      <c r="J133" s="101">
        <v>15</v>
      </c>
      <c r="K133" s="101">
        <v>180</v>
      </c>
      <c r="L133" s="101">
        <v>3945</v>
      </c>
      <c r="M133" s="101">
        <v>1455</v>
      </c>
      <c r="N133" s="128" t="s">
        <v>1284</v>
      </c>
      <c r="O133" s="92" t="s">
        <v>1285</v>
      </c>
      <c r="P133" s="127"/>
      <c r="Q133" s="127"/>
    </row>
    <row r="134" spans="2:17" ht="15" customHeight="1" x14ac:dyDescent="0.3">
      <c r="B134" s="128" t="s">
        <v>1200</v>
      </c>
      <c r="C134" s="128" t="s">
        <v>347</v>
      </c>
      <c r="D134" s="129">
        <v>37622</v>
      </c>
      <c r="E134" s="129">
        <v>37622</v>
      </c>
      <c r="F134" s="130">
        <v>5200</v>
      </c>
      <c r="G134" s="128" t="s">
        <v>1066</v>
      </c>
      <c r="H134" s="102">
        <v>50</v>
      </c>
      <c r="I134" s="129">
        <v>44926</v>
      </c>
      <c r="J134" s="101">
        <v>8.6300000000000008</v>
      </c>
      <c r="K134" s="101">
        <v>104</v>
      </c>
      <c r="L134" s="101">
        <v>2782.01</v>
      </c>
      <c r="M134" s="101">
        <v>2417.9899999999998</v>
      </c>
      <c r="N134" s="128" t="s">
        <v>1283</v>
      </c>
      <c r="O134" s="92" t="s">
        <v>1285</v>
      </c>
      <c r="P134" s="127"/>
      <c r="Q134" s="127"/>
    </row>
    <row r="135" spans="2:17" ht="15" customHeight="1" x14ac:dyDescent="0.3">
      <c r="B135" s="128" t="s">
        <v>1201</v>
      </c>
      <c r="C135" s="128" t="s">
        <v>90</v>
      </c>
      <c r="D135" s="129">
        <v>37622</v>
      </c>
      <c r="E135" s="129">
        <v>37622</v>
      </c>
      <c r="F135" s="130">
        <v>7762.27</v>
      </c>
      <c r="G135" s="128" t="s">
        <v>1066</v>
      </c>
      <c r="H135" s="102">
        <v>30</v>
      </c>
      <c r="I135" s="129">
        <v>44926</v>
      </c>
      <c r="J135" s="101">
        <v>21.58</v>
      </c>
      <c r="K135" s="101">
        <v>258.74</v>
      </c>
      <c r="L135" s="101">
        <v>5670.73</v>
      </c>
      <c r="M135" s="101">
        <v>2091.54</v>
      </c>
      <c r="N135" s="128" t="s">
        <v>1284</v>
      </c>
      <c r="O135" s="92" t="s">
        <v>1285</v>
      </c>
      <c r="P135" s="127"/>
      <c r="Q135" s="127"/>
    </row>
    <row r="136" spans="2:17" ht="15" customHeight="1" x14ac:dyDescent="0.3">
      <c r="B136" s="128" t="s">
        <v>1202</v>
      </c>
      <c r="C136" s="128" t="s">
        <v>112</v>
      </c>
      <c r="D136" s="129">
        <v>37622</v>
      </c>
      <c r="E136" s="129">
        <v>37622</v>
      </c>
      <c r="F136" s="130">
        <v>6858.26</v>
      </c>
      <c r="G136" s="128" t="s">
        <v>1066</v>
      </c>
      <c r="H136" s="102">
        <v>50</v>
      </c>
      <c r="I136" s="129">
        <v>44926</v>
      </c>
      <c r="J136" s="101">
        <v>11.44</v>
      </c>
      <c r="K136" s="101">
        <v>137.16999999999999</v>
      </c>
      <c r="L136" s="101">
        <v>3669.23</v>
      </c>
      <c r="M136" s="101">
        <v>3189.03</v>
      </c>
      <c r="N136" s="128" t="s">
        <v>1283</v>
      </c>
      <c r="O136" s="92" t="s">
        <v>1285</v>
      </c>
      <c r="P136" s="127"/>
      <c r="Q136" s="127"/>
    </row>
    <row r="137" spans="2:17" ht="15" customHeight="1" x14ac:dyDescent="0.3">
      <c r="B137" s="128" t="s">
        <v>1203</v>
      </c>
      <c r="C137" s="128" t="s">
        <v>113</v>
      </c>
      <c r="D137" s="129">
        <v>37622</v>
      </c>
      <c r="E137" s="129">
        <v>37622</v>
      </c>
      <c r="F137" s="130">
        <v>8000</v>
      </c>
      <c r="G137" s="128" t="s">
        <v>1066</v>
      </c>
      <c r="H137" s="102">
        <v>50</v>
      </c>
      <c r="I137" s="129">
        <v>44926</v>
      </c>
      <c r="J137" s="101">
        <v>13.37</v>
      </c>
      <c r="K137" s="101">
        <v>160</v>
      </c>
      <c r="L137" s="101">
        <v>4280</v>
      </c>
      <c r="M137" s="101">
        <v>3720</v>
      </c>
      <c r="N137" s="128" t="s">
        <v>1283</v>
      </c>
      <c r="O137" s="92" t="s">
        <v>1285</v>
      </c>
      <c r="P137" s="127"/>
      <c r="Q137" s="127"/>
    </row>
    <row r="138" spans="2:17" ht="15" customHeight="1" x14ac:dyDescent="0.3">
      <c r="B138" s="128" t="s">
        <v>1204</v>
      </c>
      <c r="C138" s="128" t="s">
        <v>91</v>
      </c>
      <c r="D138" s="129">
        <v>37622</v>
      </c>
      <c r="E138" s="129">
        <v>37622</v>
      </c>
      <c r="F138" s="130">
        <v>5600</v>
      </c>
      <c r="G138" s="128" t="s">
        <v>1066</v>
      </c>
      <c r="H138" s="102">
        <v>30</v>
      </c>
      <c r="I138" s="129">
        <v>44926</v>
      </c>
      <c r="J138" s="101">
        <v>15.51</v>
      </c>
      <c r="K138" s="101">
        <v>186.67</v>
      </c>
      <c r="L138" s="101">
        <v>4091.16</v>
      </c>
      <c r="M138" s="101">
        <v>1508.84</v>
      </c>
      <c r="N138" s="128" t="s">
        <v>1284</v>
      </c>
      <c r="O138" s="92" t="s">
        <v>1285</v>
      </c>
      <c r="P138" s="127"/>
      <c r="Q138" s="127"/>
    </row>
    <row r="139" spans="2:17" ht="15" customHeight="1" x14ac:dyDescent="0.3">
      <c r="B139" s="128" t="s">
        <v>1205</v>
      </c>
      <c r="C139" s="128" t="s">
        <v>92</v>
      </c>
      <c r="D139" s="129">
        <v>37987</v>
      </c>
      <c r="E139" s="129">
        <v>37987</v>
      </c>
      <c r="F139" s="130">
        <v>5000</v>
      </c>
      <c r="G139" s="128" t="s">
        <v>1066</v>
      </c>
      <c r="H139" s="102">
        <v>30</v>
      </c>
      <c r="I139" s="129">
        <v>44926</v>
      </c>
      <c r="J139" s="101">
        <v>13.88</v>
      </c>
      <c r="K139" s="101">
        <v>166.67</v>
      </c>
      <c r="L139" s="101">
        <v>3652.83</v>
      </c>
      <c r="M139" s="101">
        <v>1347.17</v>
      </c>
      <c r="N139" s="128" t="s">
        <v>1284</v>
      </c>
      <c r="O139" s="92" t="s">
        <v>1285</v>
      </c>
      <c r="P139" s="127"/>
      <c r="Q139" s="127"/>
    </row>
    <row r="140" spans="2:17" ht="15" customHeight="1" x14ac:dyDescent="0.3">
      <c r="B140" s="128" t="s">
        <v>1206</v>
      </c>
      <c r="C140" s="128" t="s">
        <v>114</v>
      </c>
      <c r="D140" s="129">
        <v>37987</v>
      </c>
      <c r="E140" s="129">
        <v>37987</v>
      </c>
      <c r="F140" s="130">
        <v>19000</v>
      </c>
      <c r="G140" s="128" t="s">
        <v>1066</v>
      </c>
      <c r="H140" s="102">
        <v>50</v>
      </c>
      <c r="I140" s="129">
        <v>44926</v>
      </c>
      <c r="J140" s="101">
        <v>31.63</v>
      </c>
      <c r="K140" s="101">
        <v>380</v>
      </c>
      <c r="L140" s="101">
        <v>8615.01</v>
      </c>
      <c r="M140" s="101">
        <v>10384.99</v>
      </c>
      <c r="N140" s="128" t="s">
        <v>1283</v>
      </c>
      <c r="O140" s="92" t="s">
        <v>1285</v>
      </c>
      <c r="P140" s="127"/>
      <c r="Q140" s="127"/>
    </row>
    <row r="141" spans="2:17" ht="15" customHeight="1" x14ac:dyDescent="0.3">
      <c r="B141" s="128" t="s">
        <v>1207</v>
      </c>
      <c r="C141" s="128" t="s">
        <v>115</v>
      </c>
      <c r="D141" s="129">
        <v>38718</v>
      </c>
      <c r="E141" s="129">
        <v>38718</v>
      </c>
      <c r="F141" s="130">
        <v>13989.8</v>
      </c>
      <c r="G141" s="128" t="s">
        <v>1066</v>
      </c>
      <c r="H141" s="102">
        <v>50</v>
      </c>
      <c r="I141" s="129">
        <v>44926</v>
      </c>
      <c r="J141" s="101">
        <v>23.28</v>
      </c>
      <c r="K141" s="101">
        <v>279.8</v>
      </c>
      <c r="L141" s="101">
        <v>5386.14</v>
      </c>
      <c r="M141" s="101">
        <v>8603.66</v>
      </c>
      <c r="N141" s="128" t="s">
        <v>1283</v>
      </c>
      <c r="O141" s="92" t="s">
        <v>1285</v>
      </c>
      <c r="P141" s="127"/>
      <c r="Q141" s="127"/>
    </row>
    <row r="142" spans="2:17" ht="15" customHeight="1" x14ac:dyDescent="0.3">
      <c r="B142" s="128" t="s">
        <v>1208</v>
      </c>
      <c r="C142" s="128" t="s">
        <v>116</v>
      </c>
      <c r="D142" s="129">
        <v>38718</v>
      </c>
      <c r="E142" s="129">
        <v>38718</v>
      </c>
      <c r="F142" s="130">
        <v>421217.31</v>
      </c>
      <c r="G142" s="128" t="s">
        <v>1066</v>
      </c>
      <c r="H142" s="102">
        <v>50</v>
      </c>
      <c r="I142" s="129">
        <v>44926</v>
      </c>
      <c r="J142" s="101">
        <v>702.02</v>
      </c>
      <c r="K142" s="101">
        <v>8424.35</v>
      </c>
      <c r="L142" s="101">
        <v>162168.74</v>
      </c>
      <c r="M142" s="101">
        <v>259048.57</v>
      </c>
      <c r="N142" s="128" t="s">
        <v>1283</v>
      </c>
      <c r="O142" s="92" t="s">
        <v>1285</v>
      </c>
      <c r="P142" s="127"/>
      <c r="Q142" s="127"/>
    </row>
    <row r="143" spans="2:17" ht="15" customHeight="1" x14ac:dyDescent="0.3">
      <c r="B143" s="128" t="s">
        <v>1209</v>
      </c>
      <c r="C143" s="128" t="s">
        <v>117</v>
      </c>
      <c r="D143" s="129">
        <v>38899</v>
      </c>
      <c r="E143" s="129">
        <v>38899</v>
      </c>
      <c r="F143" s="130">
        <v>662177.31000000006</v>
      </c>
      <c r="G143" s="128" t="s">
        <v>1066</v>
      </c>
      <c r="H143" s="102">
        <v>50</v>
      </c>
      <c r="I143" s="129">
        <v>44926</v>
      </c>
      <c r="J143" s="101">
        <v>1103.6199999999999</v>
      </c>
      <c r="K143" s="101">
        <v>13243.55</v>
      </c>
      <c r="L143" s="101">
        <v>254938.34</v>
      </c>
      <c r="M143" s="101">
        <v>407238.97</v>
      </c>
      <c r="N143" s="128" t="s">
        <v>1283</v>
      </c>
      <c r="O143" s="92" t="s">
        <v>1285</v>
      </c>
      <c r="P143" s="127"/>
      <c r="Q143" s="127"/>
    </row>
    <row r="144" spans="2:17" ht="15" customHeight="1" x14ac:dyDescent="0.3">
      <c r="B144" s="128" t="s">
        <v>1210</v>
      </c>
      <c r="C144" s="128" t="s">
        <v>121</v>
      </c>
      <c r="D144" s="129">
        <v>39753</v>
      </c>
      <c r="E144" s="129">
        <v>39753</v>
      </c>
      <c r="F144" s="130">
        <v>71805.81</v>
      </c>
      <c r="G144" s="128" t="s">
        <v>1066</v>
      </c>
      <c r="H144" s="102">
        <v>50</v>
      </c>
      <c r="I144" s="129">
        <v>44926</v>
      </c>
      <c r="J144" s="101">
        <v>119.64</v>
      </c>
      <c r="K144" s="101">
        <v>1436.12</v>
      </c>
      <c r="L144" s="101">
        <v>20345.03</v>
      </c>
      <c r="M144" s="101">
        <v>51460.78</v>
      </c>
      <c r="N144" s="128" t="s">
        <v>1283</v>
      </c>
      <c r="O144" s="92" t="s">
        <v>1285</v>
      </c>
      <c r="P144" s="127"/>
      <c r="Q144" s="127"/>
    </row>
    <row r="145" spans="1:17" ht="15" customHeight="1" x14ac:dyDescent="0.3">
      <c r="B145" s="128" t="s">
        <v>1211</v>
      </c>
      <c r="C145" s="128" t="s">
        <v>122</v>
      </c>
      <c r="D145" s="129">
        <v>39753</v>
      </c>
      <c r="E145" s="129">
        <v>39753</v>
      </c>
      <c r="F145" s="130">
        <v>15727.43</v>
      </c>
      <c r="G145" s="128" t="s">
        <v>1066</v>
      </c>
      <c r="H145" s="102">
        <v>50</v>
      </c>
      <c r="I145" s="129">
        <v>44926</v>
      </c>
      <c r="J145" s="101">
        <v>26.24</v>
      </c>
      <c r="K145" s="101">
        <v>314.55</v>
      </c>
      <c r="L145" s="101">
        <v>4456.13</v>
      </c>
      <c r="M145" s="101">
        <v>11271.3</v>
      </c>
      <c r="N145" s="128" t="s">
        <v>1283</v>
      </c>
      <c r="O145" s="92" t="s">
        <v>1285</v>
      </c>
      <c r="P145" s="127"/>
      <c r="Q145" s="127"/>
    </row>
    <row r="146" spans="1:17" ht="15" customHeight="1" x14ac:dyDescent="0.3">
      <c r="B146" s="128" t="s">
        <v>1212</v>
      </c>
      <c r="C146" s="128" t="s">
        <v>123</v>
      </c>
      <c r="D146" s="129">
        <v>39783</v>
      </c>
      <c r="E146" s="129">
        <v>39783</v>
      </c>
      <c r="F146" s="130">
        <v>223798.58</v>
      </c>
      <c r="G146" s="128" t="s">
        <v>1066</v>
      </c>
      <c r="H146" s="102">
        <v>50</v>
      </c>
      <c r="I146" s="129">
        <v>44926</v>
      </c>
      <c r="J146" s="101">
        <v>372.97</v>
      </c>
      <c r="K146" s="101">
        <v>4475.97</v>
      </c>
      <c r="L146" s="101">
        <v>63036.58</v>
      </c>
      <c r="M146" s="101">
        <v>160762</v>
      </c>
      <c r="N146" s="128" t="s">
        <v>1283</v>
      </c>
      <c r="O146" s="92" t="s">
        <v>1285</v>
      </c>
      <c r="P146" s="125"/>
      <c r="Q146" s="125"/>
    </row>
    <row r="147" spans="1:17" ht="15" customHeight="1" x14ac:dyDescent="0.3">
      <c r="A147" s="122"/>
      <c r="B147" s="128" t="s">
        <v>1213</v>
      </c>
      <c r="C147" s="128" t="s">
        <v>124</v>
      </c>
      <c r="D147" s="129">
        <v>39813</v>
      </c>
      <c r="E147" s="129">
        <v>39813</v>
      </c>
      <c r="F147" s="130">
        <v>313839.12</v>
      </c>
      <c r="G147" s="128" t="s">
        <v>1066</v>
      </c>
      <c r="H147" s="102">
        <v>50</v>
      </c>
      <c r="I147" s="129">
        <v>44926</v>
      </c>
      <c r="J147" s="101">
        <v>523.01</v>
      </c>
      <c r="K147" s="101">
        <v>6276.78</v>
      </c>
      <c r="L147" s="101">
        <v>87874.92</v>
      </c>
      <c r="M147" s="101">
        <v>225964.2</v>
      </c>
      <c r="N147" s="128" t="s">
        <v>1283</v>
      </c>
      <c r="O147" s="92" t="s">
        <v>1285</v>
      </c>
      <c r="P147" s="127"/>
      <c r="Q147" s="127"/>
    </row>
    <row r="148" spans="1:17" ht="15" customHeight="1" x14ac:dyDescent="0.3">
      <c r="B148" s="128" t="s">
        <v>1214</v>
      </c>
      <c r="C148" s="128" t="s">
        <v>118</v>
      </c>
      <c r="D148" s="129">
        <v>39448</v>
      </c>
      <c r="E148" s="129">
        <v>39448</v>
      </c>
      <c r="F148" s="130">
        <v>334331.96999999997</v>
      </c>
      <c r="G148" s="128" t="s">
        <v>1066</v>
      </c>
      <c r="H148" s="102">
        <v>50</v>
      </c>
      <c r="I148" s="129">
        <v>44926</v>
      </c>
      <c r="J148" s="101">
        <v>557.22</v>
      </c>
      <c r="K148" s="101">
        <v>6686.64</v>
      </c>
      <c r="L148" s="101">
        <v>100299.6</v>
      </c>
      <c r="M148" s="101">
        <v>234032.37</v>
      </c>
      <c r="N148" s="128" t="s">
        <v>1283</v>
      </c>
      <c r="O148" s="92" t="s">
        <v>1285</v>
      </c>
      <c r="P148" s="127"/>
      <c r="Q148" s="127"/>
    </row>
    <row r="149" spans="1:17" ht="15" customHeight="1" x14ac:dyDescent="0.3">
      <c r="B149" s="128" t="s">
        <v>1215</v>
      </c>
      <c r="C149" s="128" t="s">
        <v>119</v>
      </c>
      <c r="D149" s="129">
        <v>39448</v>
      </c>
      <c r="E149" s="129">
        <v>39448</v>
      </c>
      <c r="F149" s="130">
        <v>63197.17</v>
      </c>
      <c r="G149" s="128" t="s">
        <v>1066</v>
      </c>
      <c r="H149" s="102">
        <v>50</v>
      </c>
      <c r="I149" s="129">
        <v>44926</v>
      </c>
      <c r="J149" s="101">
        <v>105.31</v>
      </c>
      <c r="K149" s="101">
        <v>1263.94</v>
      </c>
      <c r="L149" s="101">
        <v>18959.099999999999</v>
      </c>
      <c r="M149" s="101">
        <v>44238.07</v>
      </c>
      <c r="N149" s="128" t="s">
        <v>1283</v>
      </c>
      <c r="O149" s="92" t="s">
        <v>1285</v>
      </c>
      <c r="P149" s="127"/>
      <c r="Q149" s="127"/>
    </row>
    <row r="150" spans="1:17" ht="15" customHeight="1" x14ac:dyDescent="0.3">
      <c r="B150" s="128" t="s">
        <v>1216</v>
      </c>
      <c r="C150" s="128" t="s">
        <v>120</v>
      </c>
      <c r="D150" s="129">
        <v>39448</v>
      </c>
      <c r="E150" s="129">
        <v>39448</v>
      </c>
      <c r="F150" s="130">
        <v>72873.52</v>
      </c>
      <c r="G150" s="128" t="s">
        <v>1066</v>
      </c>
      <c r="H150" s="102">
        <v>50</v>
      </c>
      <c r="I150" s="129">
        <v>44926</v>
      </c>
      <c r="J150" s="101">
        <v>121.41</v>
      </c>
      <c r="K150" s="101">
        <v>1457.47</v>
      </c>
      <c r="L150" s="101">
        <v>21862.05</v>
      </c>
      <c r="M150" s="101">
        <v>51011.47</v>
      </c>
      <c r="N150" s="128" t="s">
        <v>1283</v>
      </c>
      <c r="O150" s="92" t="s">
        <v>1285</v>
      </c>
      <c r="P150" s="127"/>
      <c r="Q150" s="127"/>
    </row>
    <row r="151" spans="1:17" ht="15" customHeight="1" x14ac:dyDescent="0.3">
      <c r="B151" s="128" t="s">
        <v>1217</v>
      </c>
      <c r="C151" s="128" t="s">
        <v>348</v>
      </c>
      <c r="D151" s="129">
        <v>39814</v>
      </c>
      <c r="E151" s="129">
        <v>39814</v>
      </c>
      <c r="F151" s="130">
        <v>2800</v>
      </c>
      <c r="G151" s="128" t="s">
        <v>1066</v>
      </c>
      <c r="H151" s="102">
        <v>50</v>
      </c>
      <c r="I151" s="129">
        <v>44926</v>
      </c>
      <c r="J151" s="101">
        <v>4.63</v>
      </c>
      <c r="K151" s="101">
        <v>56</v>
      </c>
      <c r="L151" s="101">
        <v>784</v>
      </c>
      <c r="M151" s="101">
        <v>2016</v>
      </c>
      <c r="N151" s="128" t="s">
        <v>1283</v>
      </c>
      <c r="O151" s="92" t="s">
        <v>1285</v>
      </c>
      <c r="P151" s="127"/>
      <c r="Q151" s="127"/>
    </row>
    <row r="152" spans="1:17" ht="15" customHeight="1" x14ac:dyDescent="0.3">
      <c r="B152" s="128" t="s">
        <v>1218</v>
      </c>
      <c r="C152" s="128" t="s">
        <v>125</v>
      </c>
      <c r="D152" s="129">
        <v>39814</v>
      </c>
      <c r="E152" s="129">
        <v>39814</v>
      </c>
      <c r="F152" s="130">
        <v>4020</v>
      </c>
      <c r="G152" s="128" t="s">
        <v>1066</v>
      </c>
      <c r="H152" s="102">
        <v>50</v>
      </c>
      <c r="I152" s="129">
        <v>44926</v>
      </c>
      <c r="J152" s="101">
        <v>6.7</v>
      </c>
      <c r="K152" s="101">
        <v>80.400000000000006</v>
      </c>
      <c r="L152" s="101">
        <v>1125.5999999999999</v>
      </c>
      <c r="M152" s="101">
        <v>2894.4</v>
      </c>
      <c r="N152" s="128" t="s">
        <v>1283</v>
      </c>
      <c r="O152" s="92" t="s">
        <v>1285</v>
      </c>
      <c r="P152" s="127"/>
      <c r="Q152" s="127"/>
    </row>
    <row r="153" spans="1:17" ht="15" customHeight="1" x14ac:dyDescent="0.3">
      <c r="B153" s="128" t="s">
        <v>1219</v>
      </c>
      <c r="C153" s="128" t="s">
        <v>126</v>
      </c>
      <c r="D153" s="129">
        <v>39814</v>
      </c>
      <c r="E153" s="129">
        <v>39814</v>
      </c>
      <c r="F153" s="130">
        <v>5032.3500000000004</v>
      </c>
      <c r="G153" s="128" t="s">
        <v>1066</v>
      </c>
      <c r="H153" s="102">
        <v>10</v>
      </c>
      <c r="I153" s="129">
        <v>43465</v>
      </c>
      <c r="J153" s="101">
        <v>0</v>
      </c>
      <c r="K153" s="101">
        <v>0</v>
      </c>
      <c r="L153" s="101">
        <v>5032.3500000000004</v>
      </c>
      <c r="M153" s="101">
        <v>0</v>
      </c>
      <c r="N153" s="128" t="s">
        <v>1283</v>
      </c>
      <c r="O153" s="92" t="s">
        <v>1285</v>
      </c>
      <c r="P153" s="127"/>
      <c r="Q153" s="127"/>
    </row>
    <row r="154" spans="1:17" ht="15" customHeight="1" x14ac:dyDescent="0.3">
      <c r="B154" s="128" t="s">
        <v>1220</v>
      </c>
      <c r="C154" s="128" t="s">
        <v>127</v>
      </c>
      <c r="D154" s="129">
        <v>39814</v>
      </c>
      <c r="E154" s="129">
        <v>39814</v>
      </c>
      <c r="F154" s="130">
        <v>12199.54</v>
      </c>
      <c r="G154" s="128" t="s">
        <v>1066</v>
      </c>
      <c r="H154" s="102">
        <v>50</v>
      </c>
      <c r="I154" s="129">
        <v>44926</v>
      </c>
      <c r="J154" s="101">
        <v>20.36</v>
      </c>
      <c r="K154" s="101">
        <v>243.99</v>
      </c>
      <c r="L154" s="101">
        <v>3415.86</v>
      </c>
      <c r="M154" s="101">
        <v>8783.68</v>
      </c>
      <c r="N154" s="128" t="s">
        <v>1283</v>
      </c>
      <c r="O154" s="92" t="s">
        <v>1285</v>
      </c>
      <c r="P154" s="127"/>
      <c r="Q154" s="127"/>
    </row>
    <row r="155" spans="1:17" ht="15" customHeight="1" x14ac:dyDescent="0.3">
      <c r="B155" s="128" t="s">
        <v>1221</v>
      </c>
      <c r="C155" s="128" t="s">
        <v>349</v>
      </c>
      <c r="D155" s="129">
        <v>39995</v>
      </c>
      <c r="E155" s="129">
        <v>39995</v>
      </c>
      <c r="F155" s="130">
        <v>141632.14000000001</v>
      </c>
      <c r="G155" s="128" t="s">
        <v>1066</v>
      </c>
      <c r="H155" s="102">
        <v>50</v>
      </c>
      <c r="I155" s="129">
        <v>44926</v>
      </c>
      <c r="J155" s="101">
        <v>236.09</v>
      </c>
      <c r="K155" s="101">
        <v>2832.64</v>
      </c>
      <c r="L155" s="101">
        <v>38240.639999999999</v>
      </c>
      <c r="M155" s="101">
        <v>103391.5</v>
      </c>
      <c r="N155" s="128" t="s">
        <v>1283</v>
      </c>
      <c r="O155" s="92" t="s">
        <v>1285</v>
      </c>
      <c r="P155" s="127"/>
      <c r="Q155" s="127"/>
    </row>
    <row r="156" spans="1:17" ht="15" customHeight="1" x14ac:dyDescent="0.3">
      <c r="B156" s="128" t="s">
        <v>1222</v>
      </c>
      <c r="C156" s="128" t="s">
        <v>170</v>
      </c>
      <c r="D156" s="129">
        <v>40235</v>
      </c>
      <c r="E156" s="129">
        <v>40235</v>
      </c>
      <c r="F156" s="130">
        <v>5849.23</v>
      </c>
      <c r="G156" s="128" t="s">
        <v>1066</v>
      </c>
      <c r="H156" s="102">
        <v>50</v>
      </c>
      <c r="I156" s="129">
        <v>44926</v>
      </c>
      <c r="J156" s="101">
        <v>9.73</v>
      </c>
      <c r="K156" s="101">
        <v>116.98</v>
      </c>
      <c r="L156" s="101">
        <v>1501.28</v>
      </c>
      <c r="M156" s="101">
        <v>4347.95</v>
      </c>
      <c r="N156" s="128" t="s">
        <v>1283</v>
      </c>
      <c r="O156" s="92" t="s">
        <v>1285</v>
      </c>
      <c r="P156" s="127"/>
      <c r="Q156" s="127"/>
    </row>
    <row r="157" spans="1:17" ht="15" customHeight="1" x14ac:dyDescent="0.3">
      <c r="B157" s="128" t="s">
        <v>1223</v>
      </c>
      <c r="C157" s="128" t="s">
        <v>171</v>
      </c>
      <c r="D157" s="129">
        <v>40359</v>
      </c>
      <c r="E157" s="129">
        <v>40359</v>
      </c>
      <c r="F157" s="130">
        <v>26374.51</v>
      </c>
      <c r="G157" s="128" t="s">
        <v>1066</v>
      </c>
      <c r="H157" s="102">
        <v>50</v>
      </c>
      <c r="I157" s="129">
        <v>44926</v>
      </c>
      <c r="J157" s="101">
        <v>43.93</v>
      </c>
      <c r="K157" s="101">
        <v>527.49</v>
      </c>
      <c r="L157" s="101">
        <v>6593.63</v>
      </c>
      <c r="M157" s="101">
        <v>19780.88</v>
      </c>
      <c r="N157" s="128" t="s">
        <v>1283</v>
      </c>
      <c r="O157" s="92" t="s">
        <v>1285</v>
      </c>
      <c r="P157" s="125"/>
      <c r="Q157" s="125"/>
    </row>
    <row r="158" spans="1:17" ht="15" customHeight="1" x14ac:dyDescent="0.3">
      <c r="A158" s="122"/>
      <c r="B158" s="128" t="s">
        <v>1224</v>
      </c>
      <c r="C158" s="128" t="s">
        <v>172</v>
      </c>
      <c r="D158" s="129">
        <v>40513</v>
      </c>
      <c r="E158" s="129">
        <v>40513</v>
      </c>
      <c r="F158" s="130">
        <v>46358.33</v>
      </c>
      <c r="G158" s="128" t="s">
        <v>1066</v>
      </c>
      <c r="H158" s="102">
        <v>50</v>
      </c>
      <c r="I158" s="129">
        <v>44926</v>
      </c>
      <c r="J158" s="101">
        <v>77.31</v>
      </c>
      <c r="K158" s="101">
        <v>927.17</v>
      </c>
      <c r="L158" s="101">
        <v>11203.3</v>
      </c>
      <c r="M158" s="101">
        <v>35155.03</v>
      </c>
      <c r="N158" s="128" t="s">
        <v>1283</v>
      </c>
      <c r="O158" s="92" t="s">
        <v>1285</v>
      </c>
      <c r="P158" s="127"/>
      <c r="Q158" s="127"/>
    </row>
    <row r="159" spans="1:17" ht="15" customHeight="1" x14ac:dyDescent="0.3">
      <c r="B159" s="128" t="s">
        <v>1225</v>
      </c>
      <c r="C159" s="128" t="s">
        <v>350</v>
      </c>
      <c r="D159" s="129">
        <v>40513</v>
      </c>
      <c r="E159" s="129">
        <v>40513</v>
      </c>
      <c r="F159" s="130">
        <v>63514.79</v>
      </c>
      <c r="G159" s="128" t="s">
        <v>1066</v>
      </c>
      <c r="H159" s="102">
        <v>50</v>
      </c>
      <c r="I159" s="129">
        <v>44926</v>
      </c>
      <c r="J159" s="101">
        <v>105.84</v>
      </c>
      <c r="K159" s="101">
        <v>1270.3</v>
      </c>
      <c r="L159" s="101">
        <v>15349.46</v>
      </c>
      <c r="M159" s="101">
        <v>48165.33</v>
      </c>
      <c r="N159" s="128" t="s">
        <v>1283</v>
      </c>
      <c r="O159" s="92" t="s">
        <v>1285</v>
      </c>
      <c r="P159" s="127"/>
      <c r="Q159" s="127"/>
    </row>
    <row r="160" spans="1:17" ht="15" customHeight="1" x14ac:dyDescent="0.3">
      <c r="B160" s="128" t="s">
        <v>1226</v>
      </c>
      <c r="C160" s="128" t="s">
        <v>190</v>
      </c>
      <c r="D160" s="129">
        <v>40543</v>
      </c>
      <c r="E160" s="129">
        <v>40543</v>
      </c>
      <c r="F160" s="130">
        <v>9713.52</v>
      </c>
      <c r="G160" s="128" t="s">
        <v>1066</v>
      </c>
      <c r="H160" s="102">
        <v>50</v>
      </c>
      <c r="I160" s="129">
        <v>44926</v>
      </c>
      <c r="J160" s="101">
        <v>16.18</v>
      </c>
      <c r="K160" s="101">
        <v>194.27</v>
      </c>
      <c r="L160" s="101">
        <v>2331.2399999999998</v>
      </c>
      <c r="M160" s="101">
        <v>7382.28</v>
      </c>
      <c r="N160" s="128" t="s">
        <v>1283</v>
      </c>
      <c r="O160" s="92" t="s">
        <v>1285</v>
      </c>
      <c r="P160" s="127"/>
      <c r="Q160" s="127"/>
    </row>
    <row r="161" spans="2:17" ht="15" customHeight="1" x14ac:dyDescent="0.3">
      <c r="B161" s="128" t="s">
        <v>1227</v>
      </c>
      <c r="C161" s="128" t="s">
        <v>351</v>
      </c>
      <c r="D161" s="129">
        <v>40633</v>
      </c>
      <c r="E161" s="129">
        <v>40633</v>
      </c>
      <c r="F161" s="130">
        <v>7519.62</v>
      </c>
      <c r="G161" s="128" t="s">
        <v>1066</v>
      </c>
      <c r="H161" s="102">
        <v>50</v>
      </c>
      <c r="I161" s="129">
        <v>44926</v>
      </c>
      <c r="J161" s="101">
        <v>12.56</v>
      </c>
      <c r="K161" s="101">
        <v>150.38999999999999</v>
      </c>
      <c r="L161" s="101">
        <v>1767.09</v>
      </c>
      <c r="M161" s="101">
        <v>5752.53</v>
      </c>
      <c r="N161" s="128" t="s">
        <v>1283</v>
      </c>
      <c r="O161" s="92" t="s">
        <v>1285</v>
      </c>
      <c r="P161" s="127"/>
      <c r="Q161" s="127"/>
    </row>
    <row r="162" spans="2:17" ht="15" customHeight="1" x14ac:dyDescent="0.3">
      <c r="B162" s="128" t="s">
        <v>1228</v>
      </c>
      <c r="C162" s="128" t="s">
        <v>352</v>
      </c>
      <c r="D162" s="129">
        <v>40786</v>
      </c>
      <c r="E162" s="129">
        <v>40786</v>
      </c>
      <c r="F162" s="130">
        <v>57279.839999999997</v>
      </c>
      <c r="G162" s="128" t="s">
        <v>1066</v>
      </c>
      <c r="H162" s="102">
        <v>50</v>
      </c>
      <c r="I162" s="129">
        <v>44926</v>
      </c>
      <c r="J162" s="101">
        <v>95.43</v>
      </c>
      <c r="K162" s="101">
        <v>1145.5999999999999</v>
      </c>
      <c r="L162" s="101">
        <v>12983.47</v>
      </c>
      <c r="M162" s="101">
        <v>44296.37</v>
      </c>
      <c r="N162" s="128" t="s">
        <v>1283</v>
      </c>
      <c r="O162" s="92" t="s">
        <v>1285</v>
      </c>
      <c r="P162" s="127"/>
      <c r="Q162" s="127"/>
    </row>
    <row r="163" spans="2:17" ht="15" customHeight="1" x14ac:dyDescent="0.3">
      <c r="B163" s="128" t="s">
        <v>1229</v>
      </c>
      <c r="C163" s="128" t="s">
        <v>353</v>
      </c>
      <c r="D163" s="129">
        <v>40786</v>
      </c>
      <c r="E163" s="129">
        <v>40786</v>
      </c>
      <c r="F163" s="130">
        <v>1424414.71</v>
      </c>
      <c r="G163" s="128" t="s">
        <v>1066</v>
      </c>
      <c r="H163" s="102">
        <v>50</v>
      </c>
      <c r="I163" s="129">
        <v>44926</v>
      </c>
      <c r="J163" s="101">
        <v>2374.0700000000002</v>
      </c>
      <c r="K163" s="101">
        <v>28488.29</v>
      </c>
      <c r="L163" s="101">
        <v>322867.31</v>
      </c>
      <c r="M163" s="101">
        <v>1101547.3999999999</v>
      </c>
      <c r="N163" s="128" t="s">
        <v>1283</v>
      </c>
      <c r="O163" s="92" t="s">
        <v>1285</v>
      </c>
      <c r="P163" s="127"/>
      <c r="Q163" s="127"/>
    </row>
    <row r="164" spans="2:17" ht="15" customHeight="1" x14ac:dyDescent="0.3">
      <c r="B164" s="128" t="s">
        <v>1230</v>
      </c>
      <c r="C164" s="128" t="s">
        <v>354</v>
      </c>
      <c r="D164" s="129">
        <v>40816</v>
      </c>
      <c r="E164" s="129">
        <v>40816</v>
      </c>
      <c r="F164" s="130">
        <v>170217.63</v>
      </c>
      <c r="G164" s="128" t="s">
        <v>1066</v>
      </c>
      <c r="H164" s="102">
        <v>50</v>
      </c>
      <c r="I164" s="129">
        <v>44926</v>
      </c>
      <c r="J164" s="101">
        <v>283.64999999999998</v>
      </c>
      <c r="K164" s="101">
        <v>3404.35</v>
      </c>
      <c r="L164" s="101">
        <v>38298.94</v>
      </c>
      <c r="M164" s="101">
        <v>131918.69</v>
      </c>
      <c r="N164" s="128" t="s">
        <v>1283</v>
      </c>
      <c r="O164" s="92" t="s">
        <v>1285</v>
      </c>
      <c r="P164" s="127"/>
      <c r="Q164" s="127"/>
    </row>
    <row r="165" spans="2:17" ht="15" customHeight="1" x14ac:dyDescent="0.3">
      <c r="B165" s="128" t="s">
        <v>1231</v>
      </c>
      <c r="C165" s="128" t="s">
        <v>355</v>
      </c>
      <c r="D165" s="129">
        <v>40816</v>
      </c>
      <c r="E165" s="129">
        <v>40816</v>
      </c>
      <c r="F165" s="130">
        <v>148644.37</v>
      </c>
      <c r="G165" s="128" t="s">
        <v>1066</v>
      </c>
      <c r="H165" s="102">
        <v>50</v>
      </c>
      <c r="I165" s="129">
        <v>44926</v>
      </c>
      <c r="J165" s="101">
        <v>247.75</v>
      </c>
      <c r="K165" s="101">
        <v>2972.89</v>
      </c>
      <c r="L165" s="101">
        <v>33445.019999999997</v>
      </c>
      <c r="M165" s="101">
        <v>115199.35</v>
      </c>
      <c r="N165" s="128" t="s">
        <v>1283</v>
      </c>
      <c r="O165" s="92" t="s">
        <v>1285</v>
      </c>
      <c r="P165" s="127"/>
      <c r="Q165" s="127"/>
    </row>
    <row r="166" spans="2:17" ht="15" customHeight="1" x14ac:dyDescent="0.3">
      <c r="B166" s="128" t="s">
        <v>1232</v>
      </c>
      <c r="C166" s="128" t="s">
        <v>356</v>
      </c>
      <c r="D166" s="129">
        <v>40847</v>
      </c>
      <c r="E166" s="129">
        <v>40847</v>
      </c>
      <c r="F166" s="130">
        <v>21513.15</v>
      </c>
      <c r="G166" s="128" t="s">
        <v>1066</v>
      </c>
      <c r="H166" s="102">
        <v>50</v>
      </c>
      <c r="I166" s="129">
        <v>44926</v>
      </c>
      <c r="J166" s="101">
        <v>35.799999999999997</v>
      </c>
      <c r="K166" s="101">
        <v>430.26</v>
      </c>
      <c r="L166" s="101">
        <v>4804.57</v>
      </c>
      <c r="M166" s="101">
        <v>16708.580000000002</v>
      </c>
      <c r="N166" s="128" t="s">
        <v>1283</v>
      </c>
      <c r="O166" s="92" t="s">
        <v>1285</v>
      </c>
      <c r="P166" s="127"/>
      <c r="Q166" s="127"/>
    </row>
    <row r="167" spans="2:17" ht="15" customHeight="1" x14ac:dyDescent="0.3">
      <c r="B167" s="128" t="s">
        <v>1233</v>
      </c>
      <c r="C167" s="128" t="s">
        <v>191</v>
      </c>
      <c r="D167" s="129">
        <v>40847</v>
      </c>
      <c r="E167" s="129">
        <v>40847</v>
      </c>
      <c r="F167" s="130">
        <v>64657.98</v>
      </c>
      <c r="G167" s="128" t="s">
        <v>1066</v>
      </c>
      <c r="H167" s="102">
        <v>50</v>
      </c>
      <c r="I167" s="129">
        <v>44926</v>
      </c>
      <c r="J167" s="101">
        <v>107.8</v>
      </c>
      <c r="K167" s="101">
        <v>1293.1600000000001</v>
      </c>
      <c r="L167" s="101">
        <v>14440.29</v>
      </c>
      <c r="M167" s="101">
        <v>50217.69</v>
      </c>
      <c r="N167" s="128" t="s">
        <v>1283</v>
      </c>
      <c r="O167" s="92" t="s">
        <v>1285</v>
      </c>
      <c r="P167" s="127"/>
      <c r="Q167" s="127"/>
    </row>
    <row r="168" spans="2:17" ht="15" customHeight="1" x14ac:dyDescent="0.3">
      <c r="B168" s="128" t="s">
        <v>1234</v>
      </c>
      <c r="C168" s="128" t="s">
        <v>357</v>
      </c>
      <c r="D168" s="129">
        <v>40877</v>
      </c>
      <c r="E168" s="129">
        <v>40877</v>
      </c>
      <c r="F168" s="130">
        <v>6438.98</v>
      </c>
      <c r="G168" s="128" t="s">
        <v>1066</v>
      </c>
      <c r="H168" s="102">
        <v>50</v>
      </c>
      <c r="I168" s="129">
        <v>44926</v>
      </c>
      <c r="J168" s="101">
        <v>10.75</v>
      </c>
      <c r="K168" s="101">
        <v>128.78</v>
      </c>
      <c r="L168" s="101">
        <v>1427.31</v>
      </c>
      <c r="M168" s="101">
        <v>5011.67</v>
      </c>
      <c r="N168" s="128" t="s">
        <v>1283</v>
      </c>
      <c r="O168" s="92" t="s">
        <v>1285</v>
      </c>
      <c r="P168" s="127"/>
      <c r="Q168" s="127"/>
    </row>
    <row r="169" spans="2:17" ht="15" customHeight="1" x14ac:dyDescent="0.3">
      <c r="B169" s="128" t="s">
        <v>1235</v>
      </c>
      <c r="C169" s="128" t="s">
        <v>358</v>
      </c>
      <c r="D169" s="129">
        <v>40908</v>
      </c>
      <c r="E169" s="129">
        <v>40908</v>
      </c>
      <c r="F169" s="130">
        <v>9281.76</v>
      </c>
      <c r="G169" s="128" t="s">
        <v>1066</v>
      </c>
      <c r="H169" s="102">
        <v>50</v>
      </c>
      <c r="I169" s="129">
        <v>44926</v>
      </c>
      <c r="J169" s="101">
        <v>15.47</v>
      </c>
      <c r="K169" s="101">
        <v>185.64</v>
      </c>
      <c r="L169" s="101">
        <v>2042.04</v>
      </c>
      <c r="M169" s="101">
        <v>7239.72</v>
      </c>
      <c r="N169" s="128" t="s">
        <v>1283</v>
      </c>
      <c r="O169" s="92" t="s">
        <v>1285</v>
      </c>
      <c r="P169" s="127"/>
      <c r="Q169" s="127"/>
    </row>
    <row r="170" spans="2:17" ht="15" customHeight="1" x14ac:dyDescent="0.3">
      <c r="B170" s="128" t="s">
        <v>1236</v>
      </c>
      <c r="C170" s="128" t="s">
        <v>204</v>
      </c>
      <c r="D170" s="129">
        <v>40940</v>
      </c>
      <c r="E170" s="129">
        <v>40940</v>
      </c>
      <c r="F170" s="130">
        <v>7559.27</v>
      </c>
      <c r="G170" s="128" t="s">
        <v>1066</v>
      </c>
      <c r="H170" s="102">
        <v>50</v>
      </c>
      <c r="I170" s="129">
        <v>44926</v>
      </c>
      <c r="J170" s="101">
        <v>12.59</v>
      </c>
      <c r="K170" s="101">
        <v>151.19</v>
      </c>
      <c r="L170" s="101">
        <v>1650.49</v>
      </c>
      <c r="M170" s="101">
        <v>5908.78</v>
      </c>
      <c r="N170" s="128" t="s">
        <v>1283</v>
      </c>
      <c r="O170" s="92" t="s">
        <v>1285</v>
      </c>
      <c r="P170" s="127"/>
      <c r="Q170" s="127"/>
    </row>
    <row r="171" spans="2:17" ht="15" customHeight="1" x14ac:dyDescent="0.3">
      <c r="B171" s="128" t="s">
        <v>1237</v>
      </c>
      <c r="C171" s="128" t="s">
        <v>205</v>
      </c>
      <c r="D171" s="129">
        <v>40999</v>
      </c>
      <c r="E171" s="129">
        <v>40999</v>
      </c>
      <c r="F171" s="130">
        <v>314350.64</v>
      </c>
      <c r="G171" s="128" t="s">
        <v>1066</v>
      </c>
      <c r="H171" s="102">
        <v>50</v>
      </c>
      <c r="I171" s="129">
        <v>44926</v>
      </c>
      <c r="J171" s="101">
        <v>523.89</v>
      </c>
      <c r="K171" s="101">
        <v>6287.01</v>
      </c>
      <c r="L171" s="101">
        <v>67585.36</v>
      </c>
      <c r="M171" s="101">
        <v>246765.28</v>
      </c>
      <c r="N171" s="128" t="s">
        <v>1283</v>
      </c>
      <c r="O171" s="92" t="s">
        <v>1285</v>
      </c>
      <c r="P171" s="127"/>
      <c r="Q171" s="127"/>
    </row>
    <row r="172" spans="2:17" ht="15" customHeight="1" x14ac:dyDescent="0.3">
      <c r="B172" s="128" t="s">
        <v>1238</v>
      </c>
      <c r="C172" s="128" t="s">
        <v>359</v>
      </c>
      <c r="D172" s="129">
        <v>41090</v>
      </c>
      <c r="E172" s="129">
        <v>41090</v>
      </c>
      <c r="F172" s="130">
        <v>2353.94</v>
      </c>
      <c r="G172" s="128" t="s">
        <v>1066</v>
      </c>
      <c r="H172" s="102">
        <v>50</v>
      </c>
      <c r="I172" s="129">
        <v>44926</v>
      </c>
      <c r="J172" s="101">
        <v>3.96</v>
      </c>
      <c r="K172" s="101">
        <v>47.08</v>
      </c>
      <c r="L172" s="101">
        <v>494.34</v>
      </c>
      <c r="M172" s="101">
        <v>1859.6</v>
      </c>
      <c r="N172" s="128" t="s">
        <v>1283</v>
      </c>
      <c r="O172" s="92" t="s">
        <v>1285</v>
      </c>
      <c r="P172" s="127"/>
      <c r="Q172" s="127"/>
    </row>
    <row r="173" spans="2:17" ht="15" customHeight="1" x14ac:dyDescent="0.3">
      <c r="B173" s="128" t="s">
        <v>1239</v>
      </c>
      <c r="C173" s="128" t="s">
        <v>360</v>
      </c>
      <c r="D173" s="129">
        <v>41274</v>
      </c>
      <c r="E173" s="129">
        <v>41274</v>
      </c>
      <c r="F173" s="130">
        <v>48232.7</v>
      </c>
      <c r="G173" s="128" t="s">
        <v>1066</v>
      </c>
      <c r="H173" s="102">
        <v>50</v>
      </c>
      <c r="I173" s="129">
        <v>44926</v>
      </c>
      <c r="J173" s="101">
        <v>80.36</v>
      </c>
      <c r="K173" s="101">
        <v>964.65</v>
      </c>
      <c r="L173" s="101">
        <v>9646.5</v>
      </c>
      <c r="M173" s="101">
        <v>38586.199999999997</v>
      </c>
      <c r="N173" s="128" t="s">
        <v>1283</v>
      </c>
      <c r="O173" s="92" t="s">
        <v>1285</v>
      </c>
      <c r="P173" s="127"/>
      <c r="Q173" s="127"/>
    </row>
    <row r="174" spans="2:17" ht="15" customHeight="1" x14ac:dyDescent="0.3">
      <c r="B174" s="128" t="s">
        <v>1240</v>
      </c>
      <c r="C174" s="128" t="s">
        <v>206</v>
      </c>
      <c r="D174" s="129">
        <v>41274</v>
      </c>
      <c r="E174" s="129">
        <v>41274</v>
      </c>
      <c r="F174" s="130">
        <v>18782.52</v>
      </c>
      <c r="G174" s="128" t="s">
        <v>1066</v>
      </c>
      <c r="H174" s="102">
        <v>30</v>
      </c>
      <c r="I174" s="129">
        <v>44926</v>
      </c>
      <c r="J174" s="101">
        <v>52.21</v>
      </c>
      <c r="K174" s="101">
        <v>626.08000000000004</v>
      </c>
      <c r="L174" s="101">
        <v>6260.8</v>
      </c>
      <c r="M174" s="101">
        <v>12521.72</v>
      </c>
      <c r="N174" s="128" t="s">
        <v>1284</v>
      </c>
      <c r="O174" s="92" t="s">
        <v>1285</v>
      </c>
      <c r="P174" s="127"/>
      <c r="Q174" s="127"/>
    </row>
    <row r="175" spans="2:17" ht="15" customHeight="1" x14ac:dyDescent="0.3">
      <c r="B175" s="128" t="s">
        <v>1241</v>
      </c>
      <c r="C175" s="128" t="s">
        <v>361</v>
      </c>
      <c r="D175" s="129">
        <v>41274</v>
      </c>
      <c r="E175" s="129">
        <v>41274</v>
      </c>
      <c r="F175" s="130">
        <v>91262.11</v>
      </c>
      <c r="G175" s="128" t="s">
        <v>1066</v>
      </c>
      <c r="H175" s="102">
        <v>50</v>
      </c>
      <c r="I175" s="129">
        <v>44926</v>
      </c>
      <c r="J175" s="101">
        <v>152.13999999999999</v>
      </c>
      <c r="K175" s="101">
        <v>1825.24</v>
      </c>
      <c r="L175" s="101">
        <v>18252.400000000001</v>
      </c>
      <c r="M175" s="101">
        <v>73009.710000000006</v>
      </c>
      <c r="N175" s="128" t="s">
        <v>1283</v>
      </c>
      <c r="O175" s="92" t="s">
        <v>1285</v>
      </c>
      <c r="P175" s="127"/>
      <c r="Q175" s="127"/>
    </row>
    <row r="176" spans="2:17" ht="15" customHeight="1" x14ac:dyDescent="0.3">
      <c r="B176" s="128" t="s">
        <v>1242</v>
      </c>
      <c r="C176" s="128" t="s">
        <v>362</v>
      </c>
      <c r="D176" s="129">
        <v>41274</v>
      </c>
      <c r="E176" s="129">
        <v>41274</v>
      </c>
      <c r="F176" s="130">
        <v>45377.83</v>
      </c>
      <c r="G176" s="128" t="s">
        <v>1066</v>
      </c>
      <c r="H176" s="102">
        <v>50</v>
      </c>
      <c r="I176" s="129">
        <v>44926</v>
      </c>
      <c r="J176" s="101">
        <v>75.63</v>
      </c>
      <c r="K176" s="101">
        <v>907.56</v>
      </c>
      <c r="L176" s="101">
        <v>9075.6</v>
      </c>
      <c r="M176" s="101">
        <v>36302.230000000003</v>
      </c>
      <c r="N176" s="128" t="s">
        <v>1283</v>
      </c>
      <c r="O176" s="92" t="s">
        <v>1285</v>
      </c>
      <c r="P176" s="127"/>
      <c r="Q176" s="127"/>
    </row>
    <row r="177" spans="2:17" ht="15" customHeight="1" x14ac:dyDescent="0.3">
      <c r="B177" s="128" t="s">
        <v>1243</v>
      </c>
      <c r="C177" s="128" t="s">
        <v>363</v>
      </c>
      <c r="D177" s="129">
        <v>41274</v>
      </c>
      <c r="E177" s="129">
        <v>41274</v>
      </c>
      <c r="F177" s="130">
        <v>5989.26</v>
      </c>
      <c r="G177" s="128" t="s">
        <v>1066</v>
      </c>
      <c r="H177" s="102">
        <v>30</v>
      </c>
      <c r="I177" s="129">
        <v>44926</v>
      </c>
      <c r="J177" s="101">
        <v>16.600000000000001</v>
      </c>
      <c r="K177" s="101">
        <v>199.64</v>
      </c>
      <c r="L177" s="101">
        <v>1996.4</v>
      </c>
      <c r="M177" s="101">
        <v>3992.86</v>
      </c>
      <c r="N177" s="128" t="s">
        <v>1284</v>
      </c>
      <c r="O177" s="92" t="s">
        <v>1285</v>
      </c>
      <c r="P177" s="127"/>
      <c r="Q177" s="127"/>
    </row>
    <row r="178" spans="2:17" ht="15" customHeight="1" x14ac:dyDescent="0.3">
      <c r="B178" s="128" t="s">
        <v>1244</v>
      </c>
      <c r="C178" s="128" t="s">
        <v>364</v>
      </c>
      <c r="D178" s="129">
        <v>41425</v>
      </c>
      <c r="E178" s="129">
        <v>41425</v>
      </c>
      <c r="F178" s="130">
        <v>216036.87</v>
      </c>
      <c r="G178" s="128" t="s">
        <v>1066</v>
      </c>
      <c r="H178" s="102">
        <v>50</v>
      </c>
      <c r="I178" s="129">
        <v>44926</v>
      </c>
      <c r="J178" s="101">
        <v>360.08</v>
      </c>
      <c r="K178" s="101">
        <v>4320.74</v>
      </c>
      <c r="L178" s="101">
        <v>41407.089999999997</v>
      </c>
      <c r="M178" s="101">
        <v>174629.78</v>
      </c>
      <c r="N178" s="128" t="s">
        <v>1283</v>
      </c>
      <c r="O178" s="92" t="s">
        <v>1285</v>
      </c>
      <c r="P178" s="127"/>
      <c r="Q178" s="127"/>
    </row>
    <row r="179" spans="2:17" ht="15" customHeight="1" x14ac:dyDescent="0.3">
      <c r="B179" s="128" t="s">
        <v>1245</v>
      </c>
      <c r="C179" s="128" t="s">
        <v>365</v>
      </c>
      <c r="D179" s="129">
        <v>41425</v>
      </c>
      <c r="E179" s="129">
        <v>41425</v>
      </c>
      <c r="F179" s="130">
        <v>50723.82</v>
      </c>
      <c r="G179" s="128" t="s">
        <v>1066</v>
      </c>
      <c r="H179" s="102">
        <v>30</v>
      </c>
      <c r="I179" s="129">
        <v>44926</v>
      </c>
      <c r="J179" s="101">
        <v>140.88999999999999</v>
      </c>
      <c r="K179" s="101">
        <v>1690.79</v>
      </c>
      <c r="L179" s="101">
        <v>16203.41</v>
      </c>
      <c r="M179" s="101">
        <v>34520.410000000003</v>
      </c>
      <c r="N179" s="128" t="s">
        <v>1284</v>
      </c>
      <c r="O179" s="92" t="s">
        <v>1285</v>
      </c>
      <c r="P179" s="127"/>
      <c r="Q179" s="127"/>
    </row>
    <row r="180" spans="2:17" ht="15" customHeight="1" x14ac:dyDescent="0.3">
      <c r="B180" s="128" t="s">
        <v>1246</v>
      </c>
      <c r="C180" s="128" t="s">
        <v>366</v>
      </c>
      <c r="D180" s="129">
        <v>41426</v>
      </c>
      <c r="E180" s="129">
        <v>41426</v>
      </c>
      <c r="F180" s="130">
        <v>20667.39</v>
      </c>
      <c r="G180" s="128" t="s">
        <v>1066</v>
      </c>
      <c r="H180" s="102">
        <v>30</v>
      </c>
      <c r="I180" s="129">
        <v>44926</v>
      </c>
      <c r="J180" s="101">
        <v>57.4</v>
      </c>
      <c r="K180" s="101">
        <v>688.91</v>
      </c>
      <c r="L180" s="101">
        <v>6602.06</v>
      </c>
      <c r="M180" s="101">
        <v>14065.33</v>
      </c>
      <c r="N180" s="128" t="s">
        <v>1284</v>
      </c>
      <c r="O180" s="92" t="s">
        <v>1285</v>
      </c>
      <c r="P180" s="127"/>
      <c r="Q180" s="127"/>
    </row>
    <row r="181" spans="2:17" ht="15" customHeight="1" x14ac:dyDescent="0.3">
      <c r="B181" s="128" t="s">
        <v>1247</v>
      </c>
      <c r="C181" s="128" t="s">
        <v>367</v>
      </c>
      <c r="D181" s="129">
        <v>41426</v>
      </c>
      <c r="E181" s="129">
        <v>41426</v>
      </c>
      <c r="F181" s="130">
        <v>116264.28</v>
      </c>
      <c r="G181" s="128" t="s">
        <v>1066</v>
      </c>
      <c r="H181" s="102">
        <v>50</v>
      </c>
      <c r="I181" s="129">
        <v>44926</v>
      </c>
      <c r="J181" s="101">
        <v>193.82</v>
      </c>
      <c r="K181" s="101">
        <v>2325.29</v>
      </c>
      <c r="L181" s="101">
        <v>22284.03</v>
      </c>
      <c r="M181" s="101">
        <v>93980.25</v>
      </c>
      <c r="N181" s="128" t="s">
        <v>1283</v>
      </c>
      <c r="O181" s="92" t="s">
        <v>1285</v>
      </c>
      <c r="P181" s="127"/>
      <c r="Q181" s="127"/>
    </row>
    <row r="182" spans="2:17" ht="15" customHeight="1" x14ac:dyDescent="0.3">
      <c r="B182" s="128" t="s">
        <v>1248</v>
      </c>
      <c r="C182" s="128" t="s">
        <v>368</v>
      </c>
      <c r="D182" s="129">
        <v>41487</v>
      </c>
      <c r="E182" s="129">
        <v>41487</v>
      </c>
      <c r="F182" s="130">
        <v>12044.72</v>
      </c>
      <c r="G182" s="128" t="s">
        <v>1066</v>
      </c>
      <c r="H182" s="102">
        <v>30</v>
      </c>
      <c r="I182" s="129">
        <v>44926</v>
      </c>
      <c r="J182" s="101">
        <v>33.43</v>
      </c>
      <c r="K182" s="101">
        <v>401.49</v>
      </c>
      <c r="L182" s="101">
        <v>3780.7</v>
      </c>
      <c r="M182" s="101">
        <v>8264.02</v>
      </c>
      <c r="N182" s="128" t="s">
        <v>1284</v>
      </c>
      <c r="O182" s="92" t="s">
        <v>1285</v>
      </c>
      <c r="P182" s="127"/>
      <c r="Q182" s="127"/>
    </row>
    <row r="183" spans="2:17" ht="15" customHeight="1" x14ac:dyDescent="0.3">
      <c r="B183" s="128" t="s">
        <v>1249</v>
      </c>
      <c r="C183" s="128" t="s">
        <v>369</v>
      </c>
      <c r="D183" s="129">
        <v>41487</v>
      </c>
      <c r="E183" s="129">
        <v>41487</v>
      </c>
      <c r="F183" s="130">
        <v>18758.34</v>
      </c>
      <c r="G183" s="128" t="s">
        <v>1066</v>
      </c>
      <c r="H183" s="102">
        <v>50</v>
      </c>
      <c r="I183" s="129">
        <v>44926</v>
      </c>
      <c r="J183" s="101">
        <v>31.31</v>
      </c>
      <c r="K183" s="101">
        <v>375.17</v>
      </c>
      <c r="L183" s="101">
        <v>3532.85</v>
      </c>
      <c r="M183" s="101">
        <v>15225.49</v>
      </c>
      <c r="N183" s="128" t="s">
        <v>1283</v>
      </c>
      <c r="O183" s="92" t="s">
        <v>1285</v>
      </c>
      <c r="P183" s="127"/>
      <c r="Q183" s="127"/>
    </row>
    <row r="184" spans="2:17" ht="15" customHeight="1" x14ac:dyDescent="0.3">
      <c r="B184" s="128" t="s">
        <v>1250</v>
      </c>
      <c r="C184" s="128" t="s">
        <v>370</v>
      </c>
      <c r="D184" s="129">
        <v>41639</v>
      </c>
      <c r="E184" s="129">
        <v>41639</v>
      </c>
      <c r="F184" s="130">
        <v>87655.03</v>
      </c>
      <c r="G184" s="128" t="s">
        <v>1066</v>
      </c>
      <c r="H184" s="102">
        <v>30</v>
      </c>
      <c r="I184" s="129">
        <v>44926</v>
      </c>
      <c r="J184" s="101">
        <v>243.44</v>
      </c>
      <c r="K184" s="101">
        <v>2921.83</v>
      </c>
      <c r="L184" s="101">
        <v>26296.47</v>
      </c>
      <c r="M184" s="101">
        <v>61358.559999999998</v>
      </c>
      <c r="N184" s="128" t="s">
        <v>1284</v>
      </c>
      <c r="O184" s="92" t="s">
        <v>1285</v>
      </c>
      <c r="P184" s="127"/>
      <c r="Q184" s="127"/>
    </row>
    <row r="185" spans="2:17" ht="15" customHeight="1" x14ac:dyDescent="0.3">
      <c r="B185" s="128" t="s">
        <v>1251</v>
      </c>
      <c r="C185" s="128" t="s">
        <v>371</v>
      </c>
      <c r="D185" s="129">
        <v>42004</v>
      </c>
      <c r="E185" s="129">
        <v>42004</v>
      </c>
      <c r="F185" s="130">
        <v>74787.039999999994</v>
      </c>
      <c r="G185" s="128" t="s">
        <v>1066</v>
      </c>
      <c r="H185" s="102">
        <v>30</v>
      </c>
      <c r="I185" s="129">
        <v>44926</v>
      </c>
      <c r="J185" s="101">
        <v>207.76</v>
      </c>
      <c r="K185" s="101">
        <v>2492.9</v>
      </c>
      <c r="L185" s="101">
        <v>19943.2</v>
      </c>
      <c r="M185" s="101">
        <v>54843.839999999997</v>
      </c>
      <c r="N185" s="128" t="s">
        <v>1284</v>
      </c>
      <c r="O185" s="92" t="s">
        <v>1285</v>
      </c>
      <c r="P185" s="127"/>
      <c r="Q185" s="127"/>
    </row>
    <row r="186" spans="2:17" ht="15" customHeight="1" x14ac:dyDescent="0.3">
      <c r="B186" s="128" t="s">
        <v>1252</v>
      </c>
      <c r="C186" s="128" t="s">
        <v>372</v>
      </c>
      <c r="D186" s="129">
        <v>42004</v>
      </c>
      <c r="E186" s="129">
        <v>42004</v>
      </c>
      <c r="F186" s="130">
        <v>220372.45</v>
      </c>
      <c r="G186" s="128" t="s">
        <v>1066</v>
      </c>
      <c r="H186" s="102">
        <v>50</v>
      </c>
      <c r="I186" s="129">
        <v>44926</v>
      </c>
      <c r="J186" s="101">
        <v>367.26</v>
      </c>
      <c r="K186" s="101">
        <v>4407.45</v>
      </c>
      <c r="L186" s="101">
        <v>35259.599999999999</v>
      </c>
      <c r="M186" s="101">
        <v>185112.85</v>
      </c>
      <c r="N186" s="128" t="s">
        <v>1283</v>
      </c>
      <c r="O186" s="92" t="s">
        <v>1285</v>
      </c>
      <c r="P186" s="127"/>
      <c r="Q186" s="127"/>
    </row>
    <row r="187" spans="2:17" ht="15" customHeight="1" x14ac:dyDescent="0.3">
      <c r="B187" s="128" t="s">
        <v>1253</v>
      </c>
      <c r="C187" s="128" t="s">
        <v>373</v>
      </c>
      <c r="D187" s="129">
        <v>42017</v>
      </c>
      <c r="E187" s="129">
        <v>42017</v>
      </c>
      <c r="F187" s="130">
        <v>38649.06</v>
      </c>
      <c r="G187" s="128" t="s">
        <v>1066</v>
      </c>
      <c r="H187" s="102">
        <v>30</v>
      </c>
      <c r="I187" s="129">
        <v>44926</v>
      </c>
      <c r="J187" s="101">
        <v>107.34</v>
      </c>
      <c r="K187" s="101">
        <v>1288.3</v>
      </c>
      <c r="L187" s="101">
        <v>10306.4</v>
      </c>
      <c r="M187" s="101">
        <v>28342.66</v>
      </c>
      <c r="N187" s="128" t="s">
        <v>1284</v>
      </c>
      <c r="O187" s="92" t="s">
        <v>1285</v>
      </c>
      <c r="P187" s="127"/>
      <c r="Q187" s="127"/>
    </row>
    <row r="188" spans="2:17" ht="15" customHeight="1" x14ac:dyDescent="0.3">
      <c r="B188" s="128" t="s">
        <v>1254</v>
      </c>
      <c r="C188" s="128" t="s">
        <v>374</v>
      </c>
      <c r="D188" s="129">
        <v>42035</v>
      </c>
      <c r="E188" s="129">
        <v>42035</v>
      </c>
      <c r="F188" s="130">
        <v>276853.44</v>
      </c>
      <c r="G188" s="128" t="s">
        <v>1066</v>
      </c>
      <c r="H188" s="102">
        <v>50</v>
      </c>
      <c r="I188" s="129">
        <v>44926</v>
      </c>
      <c r="J188" s="101">
        <v>461.45</v>
      </c>
      <c r="K188" s="101">
        <v>5537.07</v>
      </c>
      <c r="L188" s="101">
        <v>43835.14</v>
      </c>
      <c r="M188" s="101">
        <v>233018.3</v>
      </c>
      <c r="N188" s="128" t="s">
        <v>1283</v>
      </c>
      <c r="O188" s="92" t="s">
        <v>1285</v>
      </c>
      <c r="P188" s="127"/>
      <c r="Q188" s="127"/>
    </row>
    <row r="189" spans="2:17" ht="15" customHeight="1" x14ac:dyDescent="0.3">
      <c r="B189" s="128" t="s">
        <v>1255</v>
      </c>
      <c r="C189" s="128" t="s">
        <v>375</v>
      </c>
      <c r="D189" s="129">
        <v>42247</v>
      </c>
      <c r="E189" s="129">
        <v>42247</v>
      </c>
      <c r="F189" s="130">
        <v>15887.58</v>
      </c>
      <c r="G189" s="128" t="s">
        <v>1066</v>
      </c>
      <c r="H189" s="102">
        <v>50</v>
      </c>
      <c r="I189" s="129">
        <v>44926</v>
      </c>
      <c r="J189" s="101">
        <v>26.47</v>
      </c>
      <c r="K189" s="101">
        <v>317.75</v>
      </c>
      <c r="L189" s="101">
        <v>2330.17</v>
      </c>
      <c r="M189" s="101">
        <v>13557.41</v>
      </c>
      <c r="N189" s="128" t="s">
        <v>1283</v>
      </c>
      <c r="O189" s="92" t="s">
        <v>1285</v>
      </c>
      <c r="P189" s="127"/>
      <c r="Q189" s="127"/>
    </row>
    <row r="190" spans="2:17" ht="15" customHeight="1" x14ac:dyDescent="0.3">
      <c r="B190" s="128" t="s">
        <v>1256</v>
      </c>
      <c r="C190" s="128" t="s">
        <v>376</v>
      </c>
      <c r="D190" s="129">
        <v>42247</v>
      </c>
      <c r="E190" s="129">
        <v>42247</v>
      </c>
      <c r="F190" s="130">
        <v>39122.49</v>
      </c>
      <c r="G190" s="128" t="s">
        <v>1066</v>
      </c>
      <c r="H190" s="102">
        <v>50</v>
      </c>
      <c r="I190" s="129">
        <v>44926</v>
      </c>
      <c r="J190" s="101">
        <v>65.25</v>
      </c>
      <c r="K190" s="101">
        <v>782.45</v>
      </c>
      <c r="L190" s="101">
        <v>5737.97</v>
      </c>
      <c r="M190" s="101">
        <v>33384.519999999997</v>
      </c>
      <c r="N190" s="128" t="s">
        <v>1283</v>
      </c>
      <c r="O190" s="92" t="s">
        <v>1285</v>
      </c>
      <c r="P190" s="127"/>
      <c r="Q190" s="127"/>
    </row>
    <row r="191" spans="2:17" ht="15" customHeight="1" x14ac:dyDescent="0.3">
      <c r="B191" s="128" t="s">
        <v>1257</v>
      </c>
      <c r="C191" s="128" t="s">
        <v>377</v>
      </c>
      <c r="D191" s="129">
        <v>42735</v>
      </c>
      <c r="E191" s="129">
        <v>42735</v>
      </c>
      <c r="F191" s="130">
        <v>338143.17</v>
      </c>
      <c r="G191" s="128" t="s">
        <v>1066</v>
      </c>
      <c r="H191" s="102">
        <v>50</v>
      </c>
      <c r="I191" s="129">
        <v>44926</v>
      </c>
      <c r="J191" s="101">
        <v>563.59</v>
      </c>
      <c r="K191" s="101">
        <v>6762.86</v>
      </c>
      <c r="L191" s="101">
        <v>40577.160000000003</v>
      </c>
      <c r="M191" s="101">
        <v>297566.01</v>
      </c>
      <c r="N191" s="128" t="s">
        <v>1283</v>
      </c>
      <c r="O191" s="92" t="s">
        <v>1285</v>
      </c>
      <c r="P191" s="127"/>
      <c r="Q191" s="127"/>
    </row>
    <row r="192" spans="2:17" ht="15" customHeight="1" x14ac:dyDescent="0.3">
      <c r="B192" s="128" t="s">
        <v>1258</v>
      </c>
      <c r="C192" s="128" t="s">
        <v>378</v>
      </c>
      <c r="D192" s="129">
        <v>42735</v>
      </c>
      <c r="E192" s="129">
        <v>42735</v>
      </c>
      <c r="F192" s="130">
        <v>35125.42</v>
      </c>
      <c r="G192" s="128" t="s">
        <v>1066</v>
      </c>
      <c r="H192" s="102">
        <v>30</v>
      </c>
      <c r="I192" s="129">
        <v>44926</v>
      </c>
      <c r="J192" s="101">
        <v>97.58</v>
      </c>
      <c r="K192" s="101">
        <v>1170.8499999999999</v>
      </c>
      <c r="L192" s="101">
        <v>7025.1</v>
      </c>
      <c r="M192" s="101">
        <v>28100.32</v>
      </c>
      <c r="N192" s="128" t="s">
        <v>1284</v>
      </c>
      <c r="O192" s="92" t="s">
        <v>1285</v>
      </c>
      <c r="P192" s="127"/>
      <c r="Q192" s="127"/>
    </row>
    <row r="193" spans="2:17" ht="15" customHeight="1" x14ac:dyDescent="0.3">
      <c r="B193" s="128" t="s">
        <v>1259</v>
      </c>
      <c r="C193" s="128" t="s">
        <v>379</v>
      </c>
      <c r="D193" s="129">
        <v>42735</v>
      </c>
      <c r="E193" s="129">
        <v>42735</v>
      </c>
      <c r="F193" s="130">
        <v>952016.62</v>
      </c>
      <c r="G193" s="128" t="s">
        <v>1066</v>
      </c>
      <c r="H193" s="102">
        <v>50</v>
      </c>
      <c r="I193" s="129">
        <v>44926</v>
      </c>
      <c r="J193" s="101">
        <v>1586.74</v>
      </c>
      <c r="K193" s="101">
        <v>19040.330000000002</v>
      </c>
      <c r="L193" s="101">
        <v>114241.98</v>
      </c>
      <c r="M193" s="101">
        <v>837774.64</v>
      </c>
      <c r="N193" s="128" t="s">
        <v>1283</v>
      </c>
      <c r="O193" s="92" t="s">
        <v>1285</v>
      </c>
      <c r="P193" s="127"/>
      <c r="Q193" s="127"/>
    </row>
    <row r="194" spans="2:17" ht="15" customHeight="1" x14ac:dyDescent="0.3">
      <c r="B194" s="128" t="s">
        <v>1260</v>
      </c>
      <c r="C194" s="128" t="s">
        <v>380</v>
      </c>
      <c r="D194" s="129">
        <v>42735</v>
      </c>
      <c r="E194" s="129">
        <v>42735</v>
      </c>
      <c r="F194" s="130">
        <v>82846.05</v>
      </c>
      <c r="G194" s="128" t="s">
        <v>1066</v>
      </c>
      <c r="H194" s="102">
        <v>30</v>
      </c>
      <c r="I194" s="129">
        <v>44926</v>
      </c>
      <c r="J194" s="101">
        <v>230.11</v>
      </c>
      <c r="K194" s="101">
        <v>2761.54</v>
      </c>
      <c r="L194" s="101">
        <v>16569.240000000002</v>
      </c>
      <c r="M194" s="101">
        <v>66276.81</v>
      </c>
      <c r="N194" s="128" t="s">
        <v>1284</v>
      </c>
      <c r="O194" s="92" t="s">
        <v>1285</v>
      </c>
      <c r="P194" s="127"/>
      <c r="Q194" s="127"/>
    </row>
    <row r="195" spans="2:17" ht="15" customHeight="1" x14ac:dyDescent="0.3">
      <c r="B195" s="128" t="s">
        <v>1261</v>
      </c>
      <c r="C195" s="128" t="s">
        <v>381</v>
      </c>
      <c r="D195" s="129">
        <v>42766</v>
      </c>
      <c r="E195" s="129">
        <v>42766</v>
      </c>
      <c r="F195" s="130">
        <v>6581.85</v>
      </c>
      <c r="G195" s="128" t="s">
        <v>1066</v>
      </c>
      <c r="H195" s="102">
        <v>50</v>
      </c>
      <c r="I195" s="129">
        <v>44926</v>
      </c>
      <c r="J195" s="101">
        <v>10.97</v>
      </c>
      <c r="K195" s="101">
        <v>131.63999999999999</v>
      </c>
      <c r="L195" s="101">
        <v>778.87</v>
      </c>
      <c r="M195" s="101">
        <v>5802.98</v>
      </c>
      <c r="N195" s="128" t="s">
        <v>1283</v>
      </c>
      <c r="O195" s="92" t="s">
        <v>1285</v>
      </c>
      <c r="P195" s="127"/>
      <c r="Q195" s="127"/>
    </row>
    <row r="196" spans="2:17" ht="15" customHeight="1" x14ac:dyDescent="0.3">
      <c r="B196" s="128" t="s">
        <v>1262</v>
      </c>
      <c r="C196" s="128" t="s">
        <v>382</v>
      </c>
      <c r="D196" s="129">
        <v>43100</v>
      </c>
      <c r="E196" s="129">
        <v>43100</v>
      </c>
      <c r="F196" s="130">
        <v>208962.72</v>
      </c>
      <c r="G196" s="128" t="s">
        <v>1066</v>
      </c>
      <c r="H196" s="102">
        <v>50</v>
      </c>
      <c r="I196" s="129">
        <v>44926</v>
      </c>
      <c r="J196" s="101">
        <v>348.28</v>
      </c>
      <c r="K196" s="101">
        <v>4179.25</v>
      </c>
      <c r="L196" s="101">
        <v>20896.25</v>
      </c>
      <c r="M196" s="101">
        <v>188066.47</v>
      </c>
      <c r="N196" s="128" t="s">
        <v>1283</v>
      </c>
      <c r="O196" s="92" t="s">
        <v>1285</v>
      </c>
      <c r="P196" s="127"/>
      <c r="Q196" s="127"/>
    </row>
    <row r="197" spans="2:17" ht="15" customHeight="1" x14ac:dyDescent="0.3">
      <c r="B197" s="128" t="s">
        <v>1263</v>
      </c>
      <c r="C197" s="128" t="s">
        <v>383</v>
      </c>
      <c r="D197" s="129">
        <v>43131</v>
      </c>
      <c r="E197" s="129">
        <v>43131</v>
      </c>
      <c r="F197" s="130">
        <v>1003314.17</v>
      </c>
      <c r="G197" s="128" t="s">
        <v>1066</v>
      </c>
      <c r="H197" s="102">
        <v>50</v>
      </c>
      <c r="I197" s="129">
        <v>44926</v>
      </c>
      <c r="J197" s="101">
        <v>1672.19</v>
      </c>
      <c r="K197" s="101">
        <v>20066.28</v>
      </c>
      <c r="L197" s="101">
        <v>98659.21</v>
      </c>
      <c r="M197" s="101">
        <v>904654.96</v>
      </c>
      <c r="N197" s="128" t="s">
        <v>1283</v>
      </c>
      <c r="O197" s="92" t="s">
        <v>1285</v>
      </c>
      <c r="P197" s="127"/>
      <c r="Q197" s="127"/>
    </row>
    <row r="198" spans="2:17" ht="15" customHeight="1" x14ac:dyDescent="0.3">
      <c r="B198" s="128" t="s">
        <v>1264</v>
      </c>
      <c r="C198" s="128" t="s">
        <v>384</v>
      </c>
      <c r="D198" s="129">
        <v>43890</v>
      </c>
      <c r="E198" s="129">
        <v>43890</v>
      </c>
      <c r="F198" s="130">
        <v>261926.61</v>
      </c>
      <c r="G198" s="128" t="s">
        <v>1066</v>
      </c>
      <c r="H198" s="102">
        <v>50</v>
      </c>
      <c r="I198" s="129">
        <v>44926</v>
      </c>
      <c r="J198" s="101">
        <v>436.59</v>
      </c>
      <c r="K198" s="101">
        <v>5238.53</v>
      </c>
      <c r="L198" s="101">
        <v>14842.5</v>
      </c>
      <c r="M198" s="101">
        <v>247084.11</v>
      </c>
      <c r="N198" s="128" t="s">
        <v>1283</v>
      </c>
      <c r="O198" s="92" t="s">
        <v>1285</v>
      </c>
      <c r="P198" s="127"/>
      <c r="Q198" s="127"/>
    </row>
    <row r="199" spans="2:17" ht="15" customHeight="1" x14ac:dyDescent="0.3">
      <c r="B199" s="128" t="s">
        <v>1265</v>
      </c>
      <c r="C199" s="128" t="s">
        <v>385</v>
      </c>
      <c r="D199" s="129">
        <v>43890</v>
      </c>
      <c r="E199" s="129">
        <v>43890</v>
      </c>
      <c r="F199" s="130">
        <v>2925181.53</v>
      </c>
      <c r="G199" s="128" t="s">
        <v>1066</v>
      </c>
      <c r="H199" s="102">
        <v>50</v>
      </c>
      <c r="I199" s="129">
        <v>44926</v>
      </c>
      <c r="J199" s="101">
        <v>4875.33</v>
      </c>
      <c r="K199" s="101">
        <v>58503.63</v>
      </c>
      <c r="L199" s="101">
        <v>165760.29</v>
      </c>
      <c r="M199" s="101">
        <v>2759421.24</v>
      </c>
      <c r="N199" s="128" t="s">
        <v>1283</v>
      </c>
      <c r="O199" s="92" t="s">
        <v>1285</v>
      </c>
      <c r="P199" s="127"/>
      <c r="Q199" s="127"/>
    </row>
    <row r="200" spans="2:17" ht="15" customHeight="1" x14ac:dyDescent="0.3">
      <c r="B200" s="128" t="s">
        <v>1266</v>
      </c>
      <c r="C200" s="128" t="s">
        <v>386</v>
      </c>
      <c r="D200" s="129">
        <v>43890</v>
      </c>
      <c r="E200" s="129">
        <v>43890</v>
      </c>
      <c r="F200" s="130">
        <v>262069.11</v>
      </c>
      <c r="G200" s="128" t="s">
        <v>1066</v>
      </c>
      <c r="H200" s="102">
        <v>30</v>
      </c>
      <c r="I200" s="129">
        <v>44926</v>
      </c>
      <c r="J200" s="101">
        <v>727.97</v>
      </c>
      <c r="K200" s="101">
        <v>8735.64</v>
      </c>
      <c r="L200" s="101">
        <v>24750.98</v>
      </c>
      <c r="M200" s="101">
        <v>237318.13</v>
      </c>
      <c r="N200" s="128" t="s">
        <v>1284</v>
      </c>
      <c r="O200" s="92" t="s">
        <v>1285</v>
      </c>
      <c r="P200" s="127"/>
      <c r="Q200" s="127"/>
    </row>
    <row r="201" spans="2:17" ht="15" customHeight="1" x14ac:dyDescent="0.3">
      <c r="B201" s="128" t="s">
        <v>1267</v>
      </c>
      <c r="C201" s="128" t="s">
        <v>387</v>
      </c>
      <c r="D201" s="129">
        <v>43921</v>
      </c>
      <c r="E201" s="129">
        <v>43921</v>
      </c>
      <c r="F201" s="130">
        <v>221734.17</v>
      </c>
      <c r="G201" s="128" t="s">
        <v>1066</v>
      </c>
      <c r="H201" s="102">
        <v>50</v>
      </c>
      <c r="I201" s="129">
        <v>44926</v>
      </c>
      <c r="J201" s="101">
        <v>369.52</v>
      </c>
      <c r="K201" s="101">
        <v>4434.68</v>
      </c>
      <c r="L201" s="101">
        <v>12195.37</v>
      </c>
      <c r="M201" s="101">
        <v>209538.8</v>
      </c>
      <c r="N201" s="128" t="s">
        <v>1283</v>
      </c>
      <c r="O201" s="92" t="s">
        <v>1285</v>
      </c>
      <c r="P201" s="127"/>
      <c r="Q201" s="127"/>
    </row>
    <row r="202" spans="2:17" ht="15" customHeight="1" x14ac:dyDescent="0.3">
      <c r="B202" s="128" t="s">
        <v>1268</v>
      </c>
      <c r="C202" s="128" t="s">
        <v>388</v>
      </c>
      <c r="D202" s="129">
        <v>43921</v>
      </c>
      <c r="E202" s="129">
        <v>43921</v>
      </c>
      <c r="F202" s="130">
        <v>34572.160000000003</v>
      </c>
      <c r="G202" s="128" t="s">
        <v>1066</v>
      </c>
      <c r="H202" s="102">
        <v>30</v>
      </c>
      <c r="I202" s="129">
        <v>44926</v>
      </c>
      <c r="J202" s="101">
        <v>96.08</v>
      </c>
      <c r="K202" s="101">
        <v>1152.4100000000001</v>
      </c>
      <c r="L202" s="101">
        <v>3169.12</v>
      </c>
      <c r="M202" s="101">
        <v>31403.040000000001</v>
      </c>
      <c r="N202" s="128" t="s">
        <v>1284</v>
      </c>
      <c r="O202" s="92" t="s">
        <v>1285</v>
      </c>
      <c r="P202" s="127"/>
      <c r="Q202" s="127"/>
    </row>
    <row r="203" spans="2:17" ht="15" customHeight="1" x14ac:dyDescent="0.3">
      <c r="B203" s="128" t="s">
        <v>1269</v>
      </c>
      <c r="C203" s="128" t="s">
        <v>389</v>
      </c>
      <c r="D203" s="129">
        <v>43951</v>
      </c>
      <c r="E203" s="129">
        <v>43951</v>
      </c>
      <c r="F203" s="130">
        <v>20284.22</v>
      </c>
      <c r="G203" s="128" t="s">
        <v>1066</v>
      </c>
      <c r="H203" s="102">
        <v>50</v>
      </c>
      <c r="I203" s="129">
        <v>44926</v>
      </c>
      <c r="J203" s="101">
        <v>33.770000000000003</v>
      </c>
      <c r="K203" s="101">
        <v>405.68</v>
      </c>
      <c r="L203" s="101">
        <v>1081.82</v>
      </c>
      <c r="M203" s="101">
        <v>19202.400000000001</v>
      </c>
      <c r="N203" s="128" t="s">
        <v>1283</v>
      </c>
      <c r="O203" s="92" t="s">
        <v>1285</v>
      </c>
      <c r="P203" s="127"/>
      <c r="Q203" s="127"/>
    </row>
    <row r="204" spans="2:17" ht="15" customHeight="1" x14ac:dyDescent="0.3">
      <c r="B204" s="128" t="s">
        <v>1270</v>
      </c>
      <c r="C204" s="128" t="s">
        <v>390</v>
      </c>
      <c r="D204" s="129">
        <v>43951</v>
      </c>
      <c r="E204" s="129">
        <v>43951</v>
      </c>
      <c r="F204" s="130">
        <v>6330.44</v>
      </c>
      <c r="G204" s="128" t="s">
        <v>1066</v>
      </c>
      <c r="H204" s="102">
        <v>30</v>
      </c>
      <c r="I204" s="129">
        <v>44926</v>
      </c>
      <c r="J204" s="101">
        <v>17.63</v>
      </c>
      <c r="K204" s="101">
        <v>211.01</v>
      </c>
      <c r="L204" s="101">
        <v>562.70000000000005</v>
      </c>
      <c r="M204" s="101">
        <v>5767.74</v>
      </c>
      <c r="N204" s="128" t="s">
        <v>1284</v>
      </c>
      <c r="O204" s="92" t="s">
        <v>1285</v>
      </c>
      <c r="P204" s="127"/>
      <c r="Q204" s="127"/>
    </row>
    <row r="205" spans="2:17" ht="15" customHeight="1" x14ac:dyDescent="0.3">
      <c r="B205" s="128" t="s">
        <v>1271</v>
      </c>
      <c r="C205" s="128" t="s">
        <v>391</v>
      </c>
      <c r="D205" s="129">
        <v>44255</v>
      </c>
      <c r="E205" s="129">
        <v>44255</v>
      </c>
      <c r="F205" s="130">
        <v>63706.64</v>
      </c>
      <c r="G205" s="128" t="s">
        <v>1066</v>
      </c>
      <c r="H205" s="102">
        <v>50</v>
      </c>
      <c r="I205" s="129">
        <v>44926</v>
      </c>
      <c r="J205" s="101">
        <v>106.15</v>
      </c>
      <c r="K205" s="101">
        <v>1274.1300000000001</v>
      </c>
      <c r="L205" s="101">
        <v>2335.91</v>
      </c>
      <c r="M205" s="101">
        <v>61370.73</v>
      </c>
      <c r="N205" s="128" t="s">
        <v>1283</v>
      </c>
      <c r="O205" s="92" t="s">
        <v>1285</v>
      </c>
      <c r="P205" s="127"/>
      <c r="Q205" s="127"/>
    </row>
    <row r="206" spans="2:17" ht="15" customHeight="1" x14ac:dyDescent="0.3">
      <c r="B206" s="128" t="s">
        <v>1272</v>
      </c>
      <c r="C206" s="128" t="s">
        <v>392</v>
      </c>
      <c r="D206" s="129">
        <v>44255</v>
      </c>
      <c r="E206" s="129">
        <v>44255</v>
      </c>
      <c r="F206" s="130">
        <v>572.16999999999996</v>
      </c>
      <c r="G206" s="128" t="s">
        <v>1066</v>
      </c>
      <c r="H206" s="102">
        <v>30</v>
      </c>
      <c r="I206" s="129">
        <v>44926</v>
      </c>
      <c r="J206" s="101">
        <v>1.58</v>
      </c>
      <c r="K206" s="101">
        <v>19.07</v>
      </c>
      <c r="L206" s="101">
        <v>34.96</v>
      </c>
      <c r="M206" s="101">
        <v>537.21</v>
      </c>
      <c r="N206" s="128" t="s">
        <v>1284</v>
      </c>
      <c r="O206" s="92" t="s">
        <v>1285</v>
      </c>
      <c r="P206" s="127"/>
      <c r="Q206" s="127"/>
    </row>
    <row r="207" spans="2:17" ht="15" customHeight="1" x14ac:dyDescent="0.3">
      <c r="B207" s="128" t="s">
        <v>1273</v>
      </c>
      <c r="C207" s="128" t="s">
        <v>988</v>
      </c>
      <c r="D207" s="129">
        <v>44620</v>
      </c>
      <c r="E207" s="129">
        <v>44620</v>
      </c>
      <c r="F207" s="130">
        <v>16997.689999999999</v>
      </c>
      <c r="G207" s="128" t="s">
        <v>1066</v>
      </c>
      <c r="H207" s="102">
        <v>50</v>
      </c>
      <c r="I207" s="129">
        <v>44926</v>
      </c>
      <c r="J207" s="101">
        <v>28.32</v>
      </c>
      <c r="K207" s="101">
        <v>283.29000000000002</v>
      </c>
      <c r="L207" s="101">
        <v>283.29000000000002</v>
      </c>
      <c r="M207" s="101">
        <v>16714.400000000001</v>
      </c>
      <c r="N207" s="128" t="s">
        <v>1283</v>
      </c>
      <c r="O207" s="92" t="s">
        <v>1285</v>
      </c>
      <c r="P207" s="127"/>
      <c r="Q207" s="127"/>
    </row>
    <row r="208" spans="2:17" ht="15" customHeight="1" x14ac:dyDescent="0.3">
      <c r="B208" s="128" t="s">
        <v>1274</v>
      </c>
      <c r="C208" s="128" t="s">
        <v>989</v>
      </c>
      <c r="D208" s="129">
        <v>44620</v>
      </c>
      <c r="E208" s="129">
        <v>44620</v>
      </c>
      <c r="F208" s="130">
        <v>968887.58</v>
      </c>
      <c r="G208" s="128" t="s">
        <v>1066</v>
      </c>
      <c r="H208" s="102">
        <v>50</v>
      </c>
      <c r="I208" s="129">
        <v>44926</v>
      </c>
      <c r="J208" s="101">
        <v>1614.84</v>
      </c>
      <c r="K208" s="101">
        <v>16148.13</v>
      </c>
      <c r="L208" s="101">
        <v>16148.13</v>
      </c>
      <c r="M208" s="101">
        <v>952739.45</v>
      </c>
      <c r="N208" s="128" t="s">
        <v>1283</v>
      </c>
      <c r="O208" s="92" t="s">
        <v>1285</v>
      </c>
      <c r="P208" s="127"/>
      <c r="Q208" s="127"/>
    </row>
    <row r="209" spans="2:17" ht="15" customHeight="1" x14ac:dyDescent="0.3">
      <c r="B209" s="128" t="s">
        <v>1275</v>
      </c>
      <c r="C209" s="128" t="s">
        <v>990</v>
      </c>
      <c r="D209" s="129">
        <v>44620</v>
      </c>
      <c r="E209" s="129">
        <v>44620</v>
      </c>
      <c r="F209" s="130">
        <v>12080.66</v>
      </c>
      <c r="G209" s="128" t="s">
        <v>1066</v>
      </c>
      <c r="H209" s="102">
        <v>30</v>
      </c>
      <c r="I209" s="129">
        <v>44926</v>
      </c>
      <c r="J209" s="101">
        <v>33.53</v>
      </c>
      <c r="K209" s="101">
        <v>335.57</v>
      </c>
      <c r="L209" s="101">
        <v>335.57</v>
      </c>
      <c r="M209" s="101">
        <v>11745.09</v>
      </c>
      <c r="N209" s="128" t="s">
        <v>1284</v>
      </c>
      <c r="O209" s="92" t="s">
        <v>1285</v>
      </c>
      <c r="P209" s="127"/>
      <c r="Q209" s="127"/>
    </row>
    <row r="210" spans="2:17" ht="15" customHeight="1" x14ac:dyDescent="0.3">
      <c r="B210" s="128" t="s">
        <v>1276</v>
      </c>
      <c r="C210" s="128" t="s">
        <v>991</v>
      </c>
      <c r="D210" s="129">
        <v>44926</v>
      </c>
      <c r="E210" s="129">
        <v>44926</v>
      </c>
      <c r="F210" s="130">
        <v>60648.6</v>
      </c>
      <c r="G210" s="128" t="s">
        <v>1066</v>
      </c>
      <c r="H210" s="102">
        <v>30</v>
      </c>
      <c r="I210" s="129">
        <v>44926</v>
      </c>
      <c r="J210" s="101">
        <v>0</v>
      </c>
      <c r="K210" s="101">
        <v>0</v>
      </c>
      <c r="L210" s="101">
        <v>0</v>
      </c>
      <c r="M210" s="101">
        <v>60648.6</v>
      </c>
      <c r="N210" s="128" t="s">
        <v>1284</v>
      </c>
      <c r="O210" s="92" t="s">
        <v>1285</v>
      </c>
      <c r="P210" s="127"/>
      <c r="Q210" s="127"/>
    </row>
    <row r="211" spans="2:17" ht="15" customHeight="1" x14ac:dyDescent="0.3">
      <c r="B211" s="128" t="s">
        <v>1277</v>
      </c>
      <c r="C211" s="128" t="s">
        <v>992</v>
      </c>
      <c r="D211" s="129">
        <v>44926</v>
      </c>
      <c r="E211" s="129">
        <v>44926</v>
      </c>
      <c r="F211" s="130">
        <v>126351.4</v>
      </c>
      <c r="G211" s="128" t="s">
        <v>1066</v>
      </c>
      <c r="H211" s="102">
        <v>50</v>
      </c>
      <c r="I211" s="129">
        <v>44926</v>
      </c>
      <c r="J211" s="101">
        <v>0</v>
      </c>
      <c r="K211" s="101">
        <v>0</v>
      </c>
      <c r="L211" s="101">
        <v>0</v>
      </c>
      <c r="M211" s="101">
        <v>126351.4</v>
      </c>
      <c r="N211" s="128" t="s">
        <v>1283</v>
      </c>
      <c r="O211" s="92" t="s">
        <v>1285</v>
      </c>
      <c r="P211" s="127"/>
      <c r="Q211" s="127"/>
    </row>
    <row r="212" spans="2:17" ht="15" customHeight="1" x14ac:dyDescent="0.3">
      <c r="B212" s="128" t="s">
        <v>1278</v>
      </c>
      <c r="C212" s="128" t="s">
        <v>993</v>
      </c>
      <c r="D212" s="129">
        <v>44926</v>
      </c>
      <c r="E212" s="129">
        <v>44926</v>
      </c>
      <c r="F212" s="130">
        <v>45400</v>
      </c>
      <c r="G212" s="128" t="s">
        <v>1066</v>
      </c>
      <c r="H212" s="102">
        <v>30</v>
      </c>
      <c r="I212" s="129">
        <v>44926</v>
      </c>
      <c r="J212" s="101">
        <v>0</v>
      </c>
      <c r="K212" s="101">
        <v>0</v>
      </c>
      <c r="L212" s="101">
        <v>0</v>
      </c>
      <c r="M212" s="101">
        <v>45400</v>
      </c>
      <c r="N212" s="128" t="s">
        <v>1284</v>
      </c>
      <c r="O212" s="92" t="s">
        <v>1285</v>
      </c>
      <c r="P212" s="127"/>
      <c r="Q212" s="127"/>
    </row>
    <row r="213" spans="2:17" ht="15" customHeight="1" x14ac:dyDescent="0.3">
      <c r="B213" s="128" t="s">
        <v>1279</v>
      </c>
      <c r="C213" s="128" t="s">
        <v>994</v>
      </c>
      <c r="D213" s="129">
        <v>44926</v>
      </c>
      <c r="E213" s="129">
        <v>44926</v>
      </c>
      <c r="F213" s="130">
        <v>181600</v>
      </c>
      <c r="G213" s="128" t="s">
        <v>1066</v>
      </c>
      <c r="H213" s="102">
        <v>50</v>
      </c>
      <c r="I213" s="129">
        <v>44926</v>
      </c>
      <c r="J213" s="101">
        <v>0</v>
      </c>
      <c r="K213" s="101">
        <v>0</v>
      </c>
      <c r="L213" s="101">
        <v>0</v>
      </c>
      <c r="M213" s="101">
        <v>181600</v>
      </c>
      <c r="N213" s="128" t="s">
        <v>1283</v>
      </c>
      <c r="O213" s="92" t="s">
        <v>1285</v>
      </c>
      <c r="P213" s="127"/>
      <c r="Q213" s="127"/>
    </row>
    <row r="214" spans="2:17" ht="15" customHeight="1" x14ac:dyDescent="0.3">
      <c r="B214" s="128" t="s">
        <v>1280</v>
      </c>
      <c r="C214" s="128" t="s">
        <v>995</v>
      </c>
      <c r="D214" s="129">
        <v>44926</v>
      </c>
      <c r="E214" s="129">
        <v>44926</v>
      </c>
      <c r="F214" s="130">
        <v>15594</v>
      </c>
      <c r="G214" s="128" t="s">
        <v>1066</v>
      </c>
      <c r="H214" s="102">
        <v>30</v>
      </c>
      <c r="I214" s="129">
        <v>44926</v>
      </c>
      <c r="J214" s="101">
        <v>0</v>
      </c>
      <c r="K214" s="101">
        <v>0</v>
      </c>
      <c r="L214" s="101">
        <v>0</v>
      </c>
      <c r="M214" s="101">
        <v>15594</v>
      </c>
      <c r="N214" s="128" t="s">
        <v>1284</v>
      </c>
      <c r="O214" s="92" t="s">
        <v>1285</v>
      </c>
      <c r="P214" s="127"/>
      <c r="Q214" s="127"/>
    </row>
    <row r="215" spans="2:17" ht="15" customHeight="1" x14ac:dyDescent="0.3">
      <c r="B215" s="128" t="s">
        <v>1281</v>
      </c>
      <c r="C215" s="128" t="s">
        <v>995</v>
      </c>
      <c r="D215" s="129">
        <v>44926</v>
      </c>
      <c r="E215" s="129">
        <v>44926</v>
      </c>
      <c r="F215" s="130">
        <v>36906</v>
      </c>
      <c r="G215" s="128" t="s">
        <v>1066</v>
      </c>
      <c r="H215" s="102">
        <v>50</v>
      </c>
      <c r="I215" s="129">
        <v>44926</v>
      </c>
      <c r="J215" s="101">
        <v>0</v>
      </c>
      <c r="K215" s="101">
        <v>0</v>
      </c>
      <c r="L215" s="101">
        <v>0</v>
      </c>
      <c r="M215" s="101">
        <v>36906</v>
      </c>
      <c r="N215" s="128" t="s">
        <v>1283</v>
      </c>
      <c r="O215" s="92" t="s">
        <v>1285</v>
      </c>
      <c r="P215" s="127"/>
      <c r="Q215" s="127"/>
    </row>
    <row r="216" spans="2:17" ht="15" customHeight="1" x14ac:dyDescent="0.3">
      <c r="B216" s="128" t="s">
        <v>1282</v>
      </c>
      <c r="C216" s="128" t="s">
        <v>393</v>
      </c>
      <c r="D216" s="129">
        <v>43251</v>
      </c>
      <c r="E216" s="129">
        <v>43251</v>
      </c>
      <c r="F216" s="130">
        <v>59221.71</v>
      </c>
      <c r="G216" s="128" t="s">
        <v>1066</v>
      </c>
      <c r="H216" s="102">
        <v>50</v>
      </c>
      <c r="I216" s="129">
        <v>44926</v>
      </c>
      <c r="J216" s="101">
        <v>98.73</v>
      </c>
      <c r="K216" s="101">
        <v>1184.43</v>
      </c>
      <c r="L216" s="101">
        <v>5428.64</v>
      </c>
      <c r="M216" s="101">
        <v>53793.07</v>
      </c>
      <c r="N216" s="128" t="s">
        <v>1283</v>
      </c>
      <c r="O216" s="92" t="s">
        <v>1285</v>
      </c>
      <c r="P216" s="127"/>
      <c r="Q216" s="127"/>
    </row>
    <row r="217" spans="2:17" ht="15" customHeight="1" x14ac:dyDescent="0.3">
      <c r="B217" s="128" t="s">
        <v>1286</v>
      </c>
      <c r="C217" s="128" t="s">
        <v>101</v>
      </c>
      <c r="D217" s="129">
        <v>39814</v>
      </c>
      <c r="E217" s="129">
        <v>39814</v>
      </c>
      <c r="F217" s="130">
        <v>6197.51</v>
      </c>
      <c r="G217" s="128" t="s">
        <v>1066</v>
      </c>
      <c r="H217" s="102">
        <v>7</v>
      </c>
      <c r="I217" s="129">
        <v>42369</v>
      </c>
      <c r="J217" s="101">
        <v>0</v>
      </c>
      <c r="K217" s="101">
        <v>0</v>
      </c>
      <c r="L217" s="101">
        <v>6197.51</v>
      </c>
      <c r="M217" s="101">
        <v>0</v>
      </c>
      <c r="N217" s="128" t="s">
        <v>1307</v>
      </c>
      <c r="O217" s="92" t="s">
        <v>1313</v>
      </c>
      <c r="P217" s="127"/>
      <c r="Q217" s="127"/>
    </row>
    <row r="218" spans="2:17" ht="15" customHeight="1" x14ac:dyDescent="0.3">
      <c r="B218" s="128" t="s">
        <v>1287</v>
      </c>
      <c r="C218" s="128" t="s">
        <v>102</v>
      </c>
      <c r="D218" s="129">
        <v>39814</v>
      </c>
      <c r="E218" s="129">
        <v>39814</v>
      </c>
      <c r="F218" s="130">
        <v>1208.45</v>
      </c>
      <c r="G218" s="128" t="s">
        <v>1066</v>
      </c>
      <c r="H218" s="102">
        <v>5</v>
      </c>
      <c r="I218" s="129">
        <v>41820</v>
      </c>
      <c r="J218" s="101">
        <v>0</v>
      </c>
      <c r="K218" s="101">
        <v>0</v>
      </c>
      <c r="L218" s="101">
        <v>1208.45</v>
      </c>
      <c r="M218" s="101">
        <v>0</v>
      </c>
      <c r="N218" s="128" t="s">
        <v>1308</v>
      </c>
      <c r="O218" s="92" t="s">
        <v>1313</v>
      </c>
      <c r="P218" s="127"/>
      <c r="Q218" s="127"/>
    </row>
    <row r="219" spans="2:17" ht="15" customHeight="1" x14ac:dyDescent="0.3">
      <c r="B219" s="128" t="s">
        <v>1288</v>
      </c>
      <c r="C219" s="128" t="s">
        <v>103</v>
      </c>
      <c r="D219" s="129">
        <v>39873</v>
      </c>
      <c r="E219" s="129">
        <v>39873</v>
      </c>
      <c r="F219" s="130">
        <v>1850</v>
      </c>
      <c r="G219" s="128" t="s">
        <v>1068</v>
      </c>
      <c r="H219" s="102">
        <v>25</v>
      </c>
      <c r="I219" s="129">
        <v>44926</v>
      </c>
      <c r="J219" s="101">
        <v>2.56</v>
      </c>
      <c r="K219" s="101">
        <v>31.27</v>
      </c>
      <c r="L219" s="101">
        <v>1500.73</v>
      </c>
      <c r="M219" s="101">
        <v>349.27</v>
      </c>
      <c r="N219" s="128" t="s">
        <v>1309</v>
      </c>
      <c r="O219" s="92" t="s">
        <v>1313</v>
      </c>
      <c r="P219" s="127"/>
      <c r="Q219" s="127"/>
    </row>
    <row r="220" spans="2:17" ht="15" customHeight="1" x14ac:dyDescent="0.3">
      <c r="B220" s="128" t="s">
        <v>1289</v>
      </c>
      <c r="C220" s="128" t="s">
        <v>104</v>
      </c>
      <c r="D220" s="129">
        <v>40026</v>
      </c>
      <c r="E220" s="129">
        <v>40026</v>
      </c>
      <c r="F220" s="130">
        <v>31528</v>
      </c>
      <c r="G220" s="128" t="s">
        <v>1066</v>
      </c>
      <c r="H220" s="102">
        <v>40</v>
      </c>
      <c r="I220" s="129">
        <v>44926</v>
      </c>
      <c r="J220" s="101">
        <v>65.72</v>
      </c>
      <c r="K220" s="101">
        <v>788.2</v>
      </c>
      <c r="L220" s="101">
        <v>10575.02</v>
      </c>
      <c r="M220" s="101">
        <v>20952.98</v>
      </c>
      <c r="N220" s="128" t="s">
        <v>1310</v>
      </c>
      <c r="O220" s="92" t="s">
        <v>1313</v>
      </c>
      <c r="P220" s="127"/>
      <c r="Q220" s="127"/>
    </row>
    <row r="221" spans="2:17" ht="15" customHeight="1" x14ac:dyDescent="0.3">
      <c r="B221" s="128" t="s">
        <v>1290</v>
      </c>
      <c r="C221" s="128" t="s">
        <v>335</v>
      </c>
      <c r="D221" s="129">
        <v>39814</v>
      </c>
      <c r="E221" s="129">
        <v>39814</v>
      </c>
      <c r="F221" s="130">
        <v>95071.15</v>
      </c>
      <c r="G221" s="128" t="s">
        <v>1066</v>
      </c>
      <c r="H221" s="102">
        <v>50</v>
      </c>
      <c r="I221" s="129">
        <v>44926</v>
      </c>
      <c r="J221" s="101">
        <v>158.47</v>
      </c>
      <c r="K221" s="101">
        <v>1901.42</v>
      </c>
      <c r="L221" s="101">
        <v>26619.88</v>
      </c>
      <c r="M221" s="101">
        <v>68451.27</v>
      </c>
      <c r="N221" s="128" t="s">
        <v>1307</v>
      </c>
      <c r="O221" s="92" t="s">
        <v>1313</v>
      </c>
      <c r="P221" s="127"/>
      <c r="Q221" s="127"/>
    </row>
    <row r="222" spans="2:17" ht="15" customHeight="1" x14ac:dyDescent="0.3">
      <c r="B222" s="128" t="s">
        <v>1291</v>
      </c>
      <c r="C222" s="128" t="s">
        <v>336</v>
      </c>
      <c r="D222" s="129">
        <v>40298</v>
      </c>
      <c r="E222" s="129">
        <v>40298</v>
      </c>
      <c r="F222" s="130">
        <v>136258.28</v>
      </c>
      <c r="G222" s="128" t="s">
        <v>1066</v>
      </c>
      <c r="H222" s="102">
        <v>15</v>
      </c>
      <c r="I222" s="129">
        <v>44926</v>
      </c>
      <c r="J222" s="101">
        <v>757</v>
      </c>
      <c r="K222" s="101">
        <v>9083.89</v>
      </c>
      <c r="L222" s="101">
        <v>115062.6</v>
      </c>
      <c r="M222" s="101">
        <v>21195.68</v>
      </c>
      <c r="N222" s="128" t="s">
        <v>1307</v>
      </c>
      <c r="O222" s="92" t="s">
        <v>1313</v>
      </c>
      <c r="P222" s="127"/>
      <c r="Q222" s="127"/>
    </row>
    <row r="223" spans="2:17" ht="15" customHeight="1" x14ac:dyDescent="0.3">
      <c r="B223" s="128" t="s">
        <v>1292</v>
      </c>
      <c r="C223" s="128" t="s">
        <v>168</v>
      </c>
      <c r="D223" s="129">
        <v>40451</v>
      </c>
      <c r="E223" s="129">
        <v>40451</v>
      </c>
      <c r="F223" s="130">
        <v>5900</v>
      </c>
      <c r="G223" s="128" t="s">
        <v>1066</v>
      </c>
      <c r="H223" s="102">
        <v>10</v>
      </c>
      <c r="I223" s="129">
        <v>44104</v>
      </c>
      <c r="J223" s="101">
        <v>0</v>
      </c>
      <c r="K223" s="101">
        <v>0</v>
      </c>
      <c r="L223" s="101">
        <v>5900</v>
      </c>
      <c r="M223" s="101">
        <v>0</v>
      </c>
      <c r="N223" s="128" t="s">
        <v>1311</v>
      </c>
      <c r="O223" s="92" t="s">
        <v>1313</v>
      </c>
      <c r="P223" s="127"/>
      <c r="Q223" s="127"/>
    </row>
    <row r="224" spans="2:17" ht="15" customHeight="1" x14ac:dyDescent="0.3">
      <c r="B224" s="128" t="s">
        <v>1293</v>
      </c>
      <c r="C224" s="128" t="s">
        <v>167</v>
      </c>
      <c r="D224" s="129">
        <v>40544</v>
      </c>
      <c r="E224" s="129">
        <v>40544</v>
      </c>
      <c r="F224" s="130">
        <v>15017.48</v>
      </c>
      <c r="G224" s="128" t="s">
        <v>1066</v>
      </c>
      <c r="H224" s="102">
        <v>15</v>
      </c>
      <c r="I224" s="129">
        <v>44926</v>
      </c>
      <c r="J224" s="101">
        <v>83.44</v>
      </c>
      <c r="K224" s="101">
        <v>1001.17</v>
      </c>
      <c r="L224" s="101">
        <v>12014.04</v>
      </c>
      <c r="M224" s="101">
        <v>3003.44</v>
      </c>
      <c r="N224" s="128" t="s">
        <v>1307</v>
      </c>
      <c r="O224" s="92" t="s">
        <v>1313</v>
      </c>
      <c r="P224" s="127"/>
      <c r="Q224" s="127"/>
    </row>
    <row r="225" spans="1:17" ht="15" customHeight="1" x14ac:dyDescent="0.3">
      <c r="B225" s="128" t="s">
        <v>1294</v>
      </c>
      <c r="C225" s="128" t="s">
        <v>187</v>
      </c>
      <c r="D225" s="129">
        <v>40544</v>
      </c>
      <c r="E225" s="129">
        <v>40544</v>
      </c>
      <c r="F225" s="130">
        <v>26113.25</v>
      </c>
      <c r="G225" s="128" t="s">
        <v>1066</v>
      </c>
      <c r="H225" s="102">
        <v>20</v>
      </c>
      <c r="I225" s="129">
        <v>44926</v>
      </c>
      <c r="J225" s="101">
        <v>108.75</v>
      </c>
      <c r="K225" s="101">
        <v>1305.6600000000001</v>
      </c>
      <c r="L225" s="101">
        <v>15667.92</v>
      </c>
      <c r="M225" s="101">
        <v>10445.33</v>
      </c>
      <c r="N225" s="128" t="s">
        <v>1312</v>
      </c>
      <c r="O225" s="92" t="s">
        <v>1313</v>
      </c>
      <c r="P225" s="127"/>
      <c r="Q225" s="127"/>
    </row>
    <row r="226" spans="1:17" ht="15" customHeight="1" x14ac:dyDescent="0.3">
      <c r="B226" s="128" t="s">
        <v>1295</v>
      </c>
      <c r="C226" s="128" t="s">
        <v>188</v>
      </c>
      <c r="D226" s="129">
        <v>40544</v>
      </c>
      <c r="E226" s="129">
        <v>40544</v>
      </c>
      <c r="F226" s="130">
        <v>117771.78</v>
      </c>
      <c r="G226" s="128" t="s">
        <v>1066</v>
      </c>
      <c r="H226" s="102">
        <v>50</v>
      </c>
      <c r="I226" s="129">
        <v>44926</v>
      </c>
      <c r="J226" s="101">
        <v>196.25</v>
      </c>
      <c r="K226" s="101">
        <v>2355.44</v>
      </c>
      <c r="L226" s="101">
        <v>28265.279999999999</v>
      </c>
      <c r="M226" s="101">
        <v>89506.5</v>
      </c>
      <c r="N226" s="128" t="s">
        <v>1307</v>
      </c>
      <c r="O226" s="92" t="s">
        <v>1313</v>
      </c>
      <c r="P226" s="127"/>
      <c r="Q226" s="127"/>
    </row>
    <row r="227" spans="1:17" ht="15" customHeight="1" x14ac:dyDescent="0.3">
      <c r="B227" s="128" t="s">
        <v>1296</v>
      </c>
      <c r="C227" s="128" t="s">
        <v>189</v>
      </c>
      <c r="D227" s="129">
        <v>40544</v>
      </c>
      <c r="E227" s="129">
        <v>40544</v>
      </c>
      <c r="F227" s="130">
        <v>13578.12</v>
      </c>
      <c r="G227" s="128" t="s">
        <v>1066</v>
      </c>
      <c r="H227" s="102">
        <v>50</v>
      </c>
      <c r="I227" s="129">
        <v>44926</v>
      </c>
      <c r="J227" s="101">
        <v>22.63</v>
      </c>
      <c r="K227" s="101">
        <v>271.56</v>
      </c>
      <c r="L227" s="101">
        <v>3258.72</v>
      </c>
      <c r="M227" s="101">
        <v>10319.4</v>
      </c>
      <c r="N227" s="128" t="s">
        <v>1310</v>
      </c>
      <c r="O227" s="92" t="s">
        <v>1313</v>
      </c>
      <c r="P227" s="127"/>
      <c r="Q227" s="127"/>
    </row>
    <row r="228" spans="1:17" ht="15" customHeight="1" x14ac:dyDescent="0.3">
      <c r="B228" s="128" t="s">
        <v>1297</v>
      </c>
      <c r="C228" s="128" t="s">
        <v>337</v>
      </c>
      <c r="D228" s="129">
        <v>41395</v>
      </c>
      <c r="E228" s="129">
        <v>41395</v>
      </c>
      <c r="F228" s="130">
        <v>35676.22</v>
      </c>
      <c r="G228" s="128" t="s">
        <v>1068</v>
      </c>
      <c r="H228" s="102">
        <v>25</v>
      </c>
      <c r="I228" s="129">
        <v>44926</v>
      </c>
      <c r="J228" s="101">
        <v>113.71</v>
      </c>
      <c r="K228" s="101">
        <v>1364.19</v>
      </c>
      <c r="L228" s="101">
        <v>14749.97</v>
      </c>
      <c r="M228" s="101">
        <v>20926.25</v>
      </c>
      <c r="N228" s="128" t="s">
        <v>1309</v>
      </c>
      <c r="O228" s="92" t="s">
        <v>1313</v>
      </c>
      <c r="P228" s="127"/>
      <c r="Q228" s="127"/>
    </row>
    <row r="229" spans="1:17" ht="15" customHeight="1" x14ac:dyDescent="0.3">
      <c r="B229" s="128" t="s">
        <v>1298</v>
      </c>
      <c r="C229" s="128" t="s">
        <v>338</v>
      </c>
      <c r="D229" s="129">
        <v>41395</v>
      </c>
      <c r="E229" s="129">
        <v>41395</v>
      </c>
      <c r="F229" s="130">
        <v>13388.09</v>
      </c>
      <c r="G229" s="128" t="s">
        <v>1066</v>
      </c>
      <c r="H229" s="102">
        <v>10</v>
      </c>
      <c r="I229" s="129">
        <v>44926</v>
      </c>
      <c r="J229" s="101">
        <v>111.54</v>
      </c>
      <c r="K229" s="101">
        <v>1338.81</v>
      </c>
      <c r="L229" s="101">
        <v>12941.83</v>
      </c>
      <c r="M229" s="101">
        <v>446.26</v>
      </c>
      <c r="N229" s="128" t="s">
        <v>1311</v>
      </c>
      <c r="O229" s="92" t="s">
        <v>1313</v>
      </c>
      <c r="P229" s="127"/>
      <c r="Q229" s="127"/>
    </row>
    <row r="230" spans="1:17" ht="15" customHeight="1" x14ac:dyDescent="0.3">
      <c r="B230" s="128" t="s">
        <v>1299</v>
      </c>
      <c r="C230" s="128" t="s">
        <v>339</v>
      </c>
      <c r="D230" s="129">
        <v>41639</v>
      </c>
      <c r="E230" s="129">
        <v>41639</v>
      </c>
      <c r="F230" s="130">
        <v>5890.43</v>
      </c>
      <c r="G230" s="128" t="s">
        <v>1066</v>
      </c>
      <c r="H230" s="102">
        <v>10</v>
      </c>
      <c r="I230" s="129">
        <v>44926</v>
      </c>
      <c r="J230" s="101">
        <v>49.05</v>
      </c>
      <c r="K230" s="101">
        <v>589.04</v>
      </c>
      <c r="L230" s="101">
        <v>5301.36</v>
      </c>
      <c r="M230" s="101">
        <v>589.07000000000005</v>
      </c>
      <c r="N230" s="128" t="s">
        <v>1311</v>
      </c>
      <c r="O230" s="92" t="s">
        <v>1313</v>
      </c>
      <c r="P230" s="127"/>
      <c r="Q230" s="127"/>
    </row>
    <row r="231" spans="1:17" ht="15" customHeight="1" x14ac:dyDescent="0.3">
      <c r="B231" s="128" t="s">
        <v>1300</v>
      </c>
      <c r="C231" s="128" t="s">
        <v>340</v>
      </c>
      <c r="D231" s="129">
        <v>41639</v>
      </c>
      <c r="E231" s="129">
        <v>41639</v>
      </c>
      <c r="F231" s="130">
        <v>115360.54</v>
      </c>
      <c r="G231" s="128" t="s">
        <v>1066</v>
      </c>
      <c r="H231" s="102">
        <v>15</v>
      </c>
      <c r="I231" s="129">
        <v>44926</v>
      </c>
      <c r="J231" s="101">
        <v>640.91</v>
      </c>
      <c r="K231" s="101">
        <v>7690.7</v>
      </c>
      <c r="L231" s="101">
        <v>69216.3</v>
      </c>
      <c r="M231" s="101">
        <v>46144.24</v>
      </c>
      <c r="N231" s="128" t="s">
        <v>1307</v>
      </c>
      <c r="O231" s="92" t="s">
        <v>1313</v>
      </c>
      <c r="P231" s="127"/>
      <c r="Q231" s="127"/>
    </row>
    <row r="232" spans="1:17" ht="15" customHeight="1" x14ac:dyDescent="0.3">
      <c r="B232" s="128" t="s">
        <v>1301</v>
      </c>
      <c r="C232" s="128" t="s">
        <v>341</v>
      </c>
      <c r="D232" s="129">
        <v>42369</v>
      </c>
      <c r="E232" s="129">
        <v>42369</v>
      </c>
      <c r="F232" s="130">
        <v>6100</v>
      </c>
      <c r="G232" s="128" t="s">
        <v>1066</v>
      </c>
      <c r="H232" s="102">
        <v>10</v>
      </c>
      <c r="I232" s="129">
        <v>44926</v>
      </c>
      <c r="J232" s="101">
        <v>50.87</v>
      </c>
      <c r="K232" s="101">
        <v>610</v>
      </c>
      <c r="L232" s="101">
        <v>4270</v>
      </c>
      <c r="M232" s="101">
        <v>1830</v>
      </c>
      <c r="N232" s="128" t="s">
        <v>1307</v>
      </c>
      <c r="O232" s="92" t="s">
        <v>1313</v>
      </c>
      <c r="P232" s="127"/>
      <c r="Q232" s="127"/>
    </row>
    <row r="233" spans="1:17" ht="15" customHeight="1" x14ac:dyDescent="0.3">
      <c r="B233" s="128" t="s">
        <v>1302</v>
      </c>
      <c r="C233" s="128" t="s">
        <v>342</v>
      </c>
      <c r="D233" s="129">
        <v>42643</v>
      </c>
      <c r="E233" s="129">
        <v>42643</v>
      </c>
      <c r="F233" s="130">
        <v>17074.810000000001</v>
      </c>
      <c r="G233" s="128" t="s">
        <v>1066</v>
      </c>
      <c r="H233" s="102">
        <v>10</v>
      </c>
      <c r="I233" s="129">
        <v>44926</v>
      </c>
      <c r="J233" s="101">
        <v>142.29</v>
      </c>
      <c r="K233" s="101">
        <v>1707.48</v>
      </c>
      <c r="L233" s="101">
        <v>10671.75</v>
      </c>
      <c r="M233" s="101">
        <v>6403.06</v>
      </c>
      <c r="N233" s="128" t="s">
        <v>1307</v>
      </c>
      <c r="O233" s="92" t="s">
        <v>1313</v>
      </c>
      <c r="P233" s="127"/>
      <c r="Q233" s="127"/>
    </row>
    <row r="234" spans="1:17" ht="15" customHeight="1" x14ac:dyDescent="0.3">
      <c r="B234" s="128" t="s">
        <v>1303</v>
      </c>
      <c r="C234" s="128" t="s">
        <v>343</v>
      </c>
      <c r="D234" s="129">
        <v>43404</v>
      </c>
      <c r="E234" s="129">
        <v>43404</v>
      </c>
      <c r="F234" s="130">
        <v>39472.22</v>
      </c>
      <c r="G234" s="128" t="s">
        <v>1066</v>
      </c>
      <c r="H234" s="102">
        <v>35</v>
      </c>
      <c r="I234" s="129">
        <v>44926</v>
      </c>
      <c r="J234" s="101">
        <v>94</v>
      </c>
      <c r="K234" s="101">
        <v>1127.78</v>
      </c>
      <c r="L234" s="101">
        <v>4699.08</v>
      </c>
      <c r="M234" s="101">
        <v>34773.14</v>
      </c>
      <c r="N234" s="128" t="s">
        <v>1311</v>
      </c>
      <c r="O234" s="92" t="s">
        <v>1313</v>
      </c>
      <c r="P234" s="127"/>
      <c r="Q234" s="127"/>
    </row>
    <row r="235" spans="1:17" ht="15" customHeight="1" x14ac:dyDescent="0.3">
      <c r="B235" s="128" t="s">
        <v>1304</v>
      </c>
      <c r="C235" s="128" t="s">
        <v>344</v>
      </c>
      <c r="D235" s="129">
        <v>43890</v>
      </c>
      <c r="E235" s="129">
        <v>43890</v>
      </c>
      <c r="F235" s="130">
        <v>777300.71</v>
      </c>
      <c r="G235" s="128" t="s">
        <v>1066</v>
      </c>
      <c r="H235" s="102">
        <v>10</v>
      </c>
      <c r="I235" s="129">
        <v>44926</v>
      </c>
      <c r="J235" s="101">
        <v>6477.46</v>
      </c>
      <c r="K235" s="101">
        <v>77730.070000000007</v>
      </c>
      <c r="L235" s="101">
        <v>220235.2</v>
      </c>
      <c r="M235" s="101">
        <v>557065.51</v>
      </c>
      <c r="N235" s="128" t="s">
        <v>1307</v>
      </c>
      <c r="O235" s="92" t="s">
        <v>1313</v>
      </c>
      <c r="P235" s="127"/>
      <c r="Q235" s="127"/>
    </row>
    <row r="236" spans="1:17" ht="15" customHeight="1" x14ac:dyDescent="0.3">
      <c r="B236" s="128" t="s">
        <v>1305</v>
      </c>
      <c r="C236" s="128" t="s">
        <v>996</v>
      </c>
      <c r="D236" s="129">
        <v>44773</v>
      </c>
      <c r="E236" s="129">
        <v>44773</v>
      </c>
      <c r="F236" s="130">
        <v>4830.66</v>
      </c>
      <c r="G236" s="128" t="s">
        <v>1066</v>
      </c>
      <c r="H236" s="102">
        <v>10</v>
      </c>
      <c r="I236" s="129">
        <v>44926</v>
      </c>
      <c r="J236" s="101">
        <v>40.24</v>
      </c>
      <c r="K236" s="101">
        <v>201.28</v>
      </c>
      <c r="L236" s="101">
        <v>201.28</v>
      </c>
      <c r="M236" s="101">
        <v>4629.38</v>
      </c>
      <c r="N236" s="128" t="s">
        <v>1307</v>
      </c>
      <c r="O236" s="92" t="s">
        <v>1313</v>
      </c>
      <c r="P236" s="125"/>
      <c r="Q236" s="125"/>
    </row>
    <row r="237" spans="1:17" ht="15" customHeight="1" x14ac:dyDescent="0.3">
      <c r="A237" s="122"/>
      <c r="B237" s="128" t="s">
        <v>1306</v>
      </c>
      <c r="C237" s="128" t="s">
        <v>345</v>
      </c>
      <c r="D237" s="129">
        <v>43251</v>
      </c>
      <c r="E237" s="129">
        <v>43251</v>
      </c>
      <c r="F237" s="130">
        <v>4875</v>
      </c>
      <c r="G237" s="128" t="s">
        <v>1066</v>
      </c>
      <c r="H237" s="102">
        <v>20</v>
      </c>
      <c r="I237" s="129">
        <v>44926</v>
      </c>
      <c r="J237" s="101">
        <v>20.34</v>
      </c>
      <c r="K237" s="101">
        <v>243.75</v>
      </c>
      <c r="L237" s="101">
        <v>1117.19</v>
      </c>
      <c r="M237" s="101">
        <v>3757.81</v>
      </c>
      <c r="N237" s="128" t="s">
        <v>1307</v>
      </c>
      <c r="O237" s="92" t="s">
        <v>1313</v>
      </c>
      <c r="P237" s="127"/>
      <c r="Q237" s="127"/>
    </row>
    <row r="238" spans="1:17" ht="15" customHeight="1" x14ac:dyDescent="0.3">
      <c r="B238" s="128" t="s">
        <v>1314</v>
      </c>
      <c r="C238" s="128" t="s">
        <v>128</v>
      </c>
      <c r="D238" s="129">
        <v>27030</v>
      </c>
      <c r="E238" s="129">
        <v>27030</v>
      </c>
      <c r="F238" s="130">
        <v>64070.02</v>
      </c>
      <c r="G238" s="128" t="s">
        <v>1068</v>
      </c>
      <c r="H238" s="102">
        <v>40</v>
      </c>
      <c r="I238" s="129">
        <v>41820</v>
      </c>
      <c r="J238" s="101">
        <v>0</v>
      </c>
      <c r="K238" s="101">
        <v>0</v>
      </c>
      <c r="L238" s="101">
        <v>64070.02</v>
      </c>
      <c r="M238" s="101">
        <v>0</v>
      </c>
      <c r="N238" s="128" t="s">
        <v>1316</v>
      </c>
      <c r="O238" s="92" t="s">
        <v>1318</v>
      </c>
      <c r="P238" s="127"/>
      <c r="Q238" s="127"/>
    </row>
    <row r="239" spans="1:17" ht="15" customHeight="1" x14ac:dyDescent="0.3">
      <c r="B239" s="128" t="s">
        <v>1315</v>
      </c>
      <c r="C239" s="128" t="s">
        <v>129</v>
      </c>
      <c r="D239" s="129">
        <v>27395</v>
      </c>
      <c r="E239" s="129">
        <v>27395</v>
      </c>
      <c r="F239" s="130">
        <v>85929.98</v>
      </c>
      <c r="G239" s="128" t="s">
        <v>1068</v>
      </c>
      <c r="H239" s="102">
        <v>40</v>
      </c>
      <c r="I239" s="129">
        <v>42004</v>
      </c>
      <c r="J239" s="101">
        <v>0</v>
      </c>
      <c r="K239" s="101">
        <v>0</v>
      </c>
      <c r="L239" s="101">
        <v>85929.98</v>
      </c>
      <c r="M239" s="101">
        <v>0</v>
      </c>
      <c r="N239" s="128" t="s">
        <v>1317</v>
      </c>
      <c r="O239" s="92" t="s">
        <v>1318</v>
      </c>
      <c r="P239" s="127"/>
      <c r="Q239" s="127"/>
    </row>
    <row r="240" spans="1:17" ht="15" customHeight="1" x14ac:dyDescent="0.3">
      <c r="B240" s="128" t="s">
        <v>1319</v>
      </c>
      <c r="C240" s="128" t="s">
        <v>130</v>
      </c>
      <c r="D240" s="129">
        <v>39814</v>
      </c>
      <c r="E240" s="129">
        <v>39814</v>
      </c>
      <c r="F240" s="130">
        <v>3356.5</v>
      </c>
      <c r="G240" s="128" t="s">
        <v>1066</v>
      </c>
      <c r="H240" s="102">
        <v>7</v>
      </c>
      <c r="I240" s="129">
        <v>42369</v>
      </c>
      <c r="J240" s="101">
        <v>0</v>
      </c>
      <c r="K240" s="101">
        <v>0</v>
      </c>
      <c r="L240" s="101">
        <v>3356.5</v>
      </c>
      <c r="M240" s="101">
        <v>0</v>
      </c>
      <c r="N240" s="128" t="s">
        <v>1344</v>
      </c>
      <c r="O240" s="92" t="s">
        <v>1349</v>
      </c>
      <c r="P240" s="127"/>
      <c r="Q240" s="127"/>
    </row>
    <row r="241" spans="2:17" ht="15" customHeight="1" x14ac:dyDescent="0.3">
      <c r="B241" s="128" t="s">
        <v>1320</v>
      </c>
      <c r="C241" s="128" t="s">
        <v>394</v>
      </c>
      <c r="D241" s="129">
        <v>39814</v>
      </c>
      <c r="E241" s="129">
        <v>39814</v>
      </c>
      <c r="F241" s="130">
        <v>1150</v>
      </c>
      <c r="G241" s="128" t="s">
        <v>1066</v>
      </c>
      <c r="H241" s="102">
        <v>7</v>
      </c>
      <c r="I241" s="129">
        <v>42369</v>
      </c>
      <c r="J241" s="101">
        <v>0</v>
      </c>
      <c r="K241" s="101">
        <v>0</v>
      </c>
      <c r="L241" s="101">
        <v>1150</v>
      </c>
      <c r="M241" s="101">
        <v>0</v>
      </c>
      <c r="N241" s="128" t="s">
        <v>1344</v>
      </c>
      <c r="O241" s="92" t="s">
        <v>1349</v>
      </c>
      <c r="P241" s="127"/>
      <c r="Q241" s="127"/>
    </row>
    <row r="242" spans="2:17" ht="15" customHeight="1" x14ac:dyDescent="0.3">
      <c r="B242" s="128" t="s">
        <v>1321</v>
      </c>
      <c r="C242" s="128" t="s">
        <v>395</v>
      </c>
      <c r="D242" s="129">
        <v>39933</v>
      </c>
      <c r="E242" s="129">
        <v>39933</v>
      </c>
      <c r="F242" s="130">
        <v>1253.44</v>
      </c>
      <c r="G242" s="128" t="s">
        <v>1066</v>
      </c>
      <c r="H242" s="102">
        <v>7</v>
      </c>
      <c r="I242" s="129">
        <v>42490</v>
      </c>
      <c r="J242" s="101">
        <v>0</v>
      </c>
      <c r="K242" s="101">
        <v>0</v>
      </c>
      <c r="L242" s="101">
        <v>1253.44</v>
      </c>
      <c r="M242" s="101">
        <v>0</v>
      </c>
      <c r="N242" s="128" t="s">
        <v>1345</v>
      </c>
      <c r="O242" s="92" t="s">
        <v>1349</v>
      </c>
      <c r="P242" s="127"/>
      <c r="Q242" s="127"/>
    </row>
    <row r="243" spans="2:17" ht="15" customHeight="1" x14ac:dyDescent="0.3">
      <c r="B243" s="128" t="s">
        <v>1322</v>
      </c>
      <c r="C243" s="128" t="s">
        <v>148</v>
      </c>
      <c r="D243" s="129">
        <v>39904</v>
      </c>
      <c r="E243" s="129">
        <v>39904</v>
      </c>
      <c r="F243" s="130">
        <v>3657.54</v>
      </c>
      <c r="G243" s="128" t="s">
        <v>1066</v>
      </c>
      <c r="H243" s="102">
        <v>10</v>
      </c>
      <c r="I243" s="129">
        <v>43555</v>
      </c>
      <c r="J243" s="101">
        <v>0</v>
      </c>
      <c r="K243" s="101">
        <v>0</v>
      </c>
      <c r="L243" s="101">
        <v>3657.54</v>
      </c>
      <c r="M243" s="101">
        <v>0</v>
      </c>
      <c r="N243" s="128" t="s">
        <v>1346</v>
      </c>
      <c r="O243" s="92" t="s">
        <v>1349</v>
      </c>
      <c r="P243" s="127"/>
      <c r="Q243" s="127"/>
    </row>
    <row r="244" spans="2:17" ht="15" customHeight="1" x14ac:dyDescent="0.3">
      <c r="B244" s="128" t="s">
        <v>1323</v>
      </c>
      <c r="C244" s="128" t="s">
        <v>396</v>
      </c>
      <c r="D244" s="129">
        <v>39934</v>
      </c>
      <c r="E244" s="129">
        <v>39934</v>
      </c>
      <c r="F244" s="130">
        <v>1745.34</v>
      </c>
      <c r="G244" s="128" t="s">
        <v>1066</v>
      </c>
      <c r="H244" s="102">
        <v>30</v>
      </c>
      <c r="I244" s="129">
        <v>44926</v>
      </c>
      <c r="J244" s="101">
        <v>4.83</v>
      </c>
      <c r="K244" s="101">
        <v>58.18</v>
      </c>
      <c r="L244" s="101">
        <v>795.13</v>
      </c>
      <c r="M244" s="101">
        <v>950.21</v>
      </c>
      <c r="N244" s="128" t="s">
        <v>1346</v>
      </c>
      <c r="O244" s="92" t="s">
        <v>1349</v>
      </c>
      <c r="P244" s="127"/>
      <c r="Q244" s="127"/>
    </row>
    <row r="245" spans="2:17" ht="15" customHeight="1" x14ac:dyDescent="0.3">
      <c r="B245" s="128" t="s">
        <v>1324</v>
      </c>
      <c r="C245" s="128" t="s">
        <v>397</v>
      </c>
      <c r="D245" s="129">
        <v>39964</v>
      </c>
      <c r="E245" s="129">
        <v>39964</v>
      </c>
      <c r="F245" s="130">
        <v>407.88</v>
      </c>
      <c r="G245" s="128" t="s">
        <v>1066</v>
      </c>
      <c r="H245" s="102">
        <v>7</v>
      </c>
      <c r="I245" s="129">
        <v>42521</v>
      </c>
      <c r="J245" s="101">
        <v>0</v>
      </c>
      <c r="K245" s="101">
        <v>0</v>
      </c>
      <c r="L245" s="101">
        <v>407.88</v>
      </c>
      <c r="M245" s="101">
        <v>0</v>
      </c>
      <c r="N245" s="128" t="s">
        <v>1346</v>
      </c>
      <c r="O245" s="92" t="s">
        <v>1349</v>
      </c>
      <c r="P245" s="127"/>
      <c r="Q245" s="127"/>
    </row>
    <row r="246" spans="2:17" ht="15" customHeight="1" x14ac:dyDescent="0.3">
      <c r="B246" s="128" t="s">
        <v>1325</v>
      </c>
      <c r="C246" s="128" t="s">
        <v>173</v>
      </c>
      <c r="D246" s="129">
        <v>40268</v>
      </c>
      <c r="E246" s="129">
        <v>40268</v>
      </c>
      <c r="F246" s="130">
        <v>1405.65</v>
      </c>
      <c r="G246" s="128" t="s">
        <v>1066</v>
      </c>
      <c r="H246" s="102">
        <v>7</v>
      </c>
      <c r="I246" s="129">
        <v>42825</v>
      </c>
      <c r="J246" s="101">
        <v>0</v>
      </c>
      <c r="K246" s="101">
        <v>0</v>
      </c>
      <c r="L246" s="101">
        <v>1405.65</v>
      </c>
      <c r="M246" s="101">
        <v>0</v>
      </c>
      <c r="N246" s="128" t="s">
        <v>1344</v>
      </c>
      <c r="O246" s="92" t="s">
        <v>1349</v>
      </c>
      <c r="P246" s="127"/>
      <c r="Q246" s="127"/>
    </row>
    <row r="247" spans="2:17" ht="15" customHeight="1" x14ac:dyDescent="0.3">
      <c r="B247" s="128" t="s">
        <v>1326</v>
      </c>
      <c r="C247" s="128" t="s">
        <v>398</v>
      </c>
      <c r="D247" s="129">
        <v>40482</v>
      </c>
      <c r="E247" s="129">
        <v>40482</v>
      </c>
      <c r="F247" s="130">
        <v>700</v>
      </c>
      <c r="G247" s="128" t="s">
        <v>1066</v>
      </c>
      <c r="H247" s="102">
        <v>35</v>
      </c>
      <c r="I247" s="129">
        <v>44926</v>
      </c>
      <c r="J247" s="101">
        <v>1.63</v>
      </c>
      <c r="K247" s="101">
        <v>20</v>
      </c>
      <c r="L247" s="101">
        <v>243.33</v>
      </c>
      <c r="M247" s="101">
        <v>456.67</v>
      </c>
      <c r="N247" s="128" t="s">
        <v>1347</v>
      </c>
      <c r="O247" s="92" t="s">
        <v>1349</v>
      </c>
      <c r="P247" s="127"/>
      <c r="Q247" s="127"/>
    </row>
    <row r="248" spans="2:17" ht="15" customHeight="1" x14ac:dyDescent="0.3">
      <c r="B248" s="128" t="s">
        <v>1327</v>
      </c>
      <c r="C248" s="128" t="s">
        <v>169</v>
      </c>
      <c r="D248" s="129">
        <v>40513</v>
      </c>
      <c r="E248" s="129">
        <v>40513</v>
      </c>
      <c r="F248" s="130">
        <v>2284.85</v>
      </c>
      <c r="G248" s="128" t="s">
        <v>1066</v>
      </c>
      <c r="H248" s="102">
        <v>10</v>
      </c>
      <c r="I248" s="129">
        <v>44165</v>
      </c>
      <c r="J248" s="101">
        <v>0</v>
      </c>
      <c r="K248" s="101">
        <v>0</v>
      </c>
      <c r="L248" s="101">
        <v>2284.85</v>
      </c>
      <c r="M248" s="101">
        <v>0</v>
      </c>
      <c r="N248" s="128" t="s">
        <v>1347</v>
      </c>
      <c r="O248" s="92" t="s">
        <v>1349</v>
      </c>
      <c r="P248" s="127"/>
      <c r="Q248" s="127"/>
    </row>
    <row r="249" spans="2:17" ht="15" customHeight="1" x14ac:dyDescent="0.3">
      <c r="B249" s="128" t="s">
        <v>1328</v>
      </c>
      <c r="C249" s="128" t="s">
        <v>207</v>
      </c>
      <c r="D249" s="129">
        <v>41152</v>
      </c>
      <c r="E249" s="129">
        <v>41152</v>
      </c>
      <c r="F249" s="130">
        <v>3034.5</v>
      </c>
      <c r="G249" s="128" t="s">
        <v>1066</v>
      </c>
      <c r="H249" s="102">
        <v>35</v>
      </c>
      <c r="I249" s="129">
        <v>44926</v>
      </c>
      <c r="J249" s="101">
        <v>7.17</v>
      </c>
      <c r="K249" s="101">
        <v>86.7</v>
      </c>
      <c r="L249" s="101">
        <v>895.9</v>
      </c>
      <c r="M249" s="101">
        <v>2138.6</v>
      </c>
      <c r="N249" s="128" t="s">
        <v>1346</v>
      </c>
      <c r="O249" s="92" t="s">
        <v>1349</v>
      </c>
      <c r="P249" s="127"/>
      <c r="Q249" s="127"/>
    </row>
    <row r="250" spans="2:17" ht="15" customHeight="1" x14ac:dyDescent="0.3">
      <c r="B250" s="128" t="s">
        <v>1329</v>
      </c>
      <c r="C250" s="128" t="s">
        <v>399</v>
      </c>
      <c r="D250" s="129">
        <v>41851</v>
      </c>
      <c r="E250" s="129">
        <v>41851</v>
      </c>
      <c r="F250" s="130">
        <v>1569.71</v>
      </c>
      <c r="G250" s="128" t="s">
        <v>1066</v>
      </c>
      <c r="H250" s="102">
        <v>7</v>
      </c>
      <c r="I250" s="129">
        <v>44408</v>
      </c>
      <c r="J250" s="101">
        <v>0</v>
      </c>
      <c r="K250" s="101">
        <v>0</v>
      </c>
      <c r="L250" s="101">
        <v>1569.71</v>
      </c>
      <c r="M250" s="101">
        <v>0</v>
      </c>
      <c r="N250" s="128" t="s">
        <v>1344</v>
      </c>
      <c r="O250" s="92" t="s">
        <v>1349</v>
      </c>
      <c r="P250" s="127"/>
      <c r="Q250" s="127"/>
    </row>
    <row r="251" spans="2:17" ht="15" customHeight="1" x14ac:dyDescent="0.3">
      <c r="B251" s="128" t="s">
        <v>1330</v>
      </c>
      <c r="C251" s="128" t="s">
        <v>399</v>
      </c>
      <c r="D251" s="129">
        <v>41882</v>
      </c>
      <c r="E251" s="129">
        <v>41882</v>
      </c>
      <c r="F251" s="130">
        <v>1187.1199999999999</v>
      </c>
      <c r="G251" s="128" t="s">
        <v>1066</v>
      </c>
      <c r="H251" s="102">
        <v>7</v>
      </c>
      <c r="I251" s="129">
        <v>44439</v>
      </c>
      <c r="J251" s="101">
        <v>0</v>
      </c>
      <c r="K251" s="101">
        <v>0</v>
      </c>
      <c r="L251" s="101">
        <v>1187.1199999999999</v>
      </c>
      <c r="M251" s="101">
        <v>0</v>
      </c>
      <c r="N251" s="128" t="s">
        <v>1344</v>
      </c>
      <c r="O251" s="92" t="s">
        <v>1349</v>
      </c>
      <c r="P251" s="127"/>
      <c r="Q251" s="127"/>
    </row>
    <row r="252" spans="2:17" ht="15" customHeight="1" x14ac:dyDescent="0.3">
      <c r="B252" s="128" t="s">
        <v>1331</v>
      </c>
      <c r="C252" s="128" t="s">
        <v>400</v>
      </c>
      <c r="D252" s="129">
        <v>41883</v>
      </c>
      <c r="E252" s="129">
        <v>41883</v>
      </c>
      <c r="F252" s="130">
        <v>1064.25</v>
      </c>
      <c r="G252" s="128" t="s">
        <v>1066</v>
      </c>
      <c r="H252" s="102">
        <v>7</v>
      </c>
      <c r="I252" s="129">
        <v>44439</v>
      </c>
      <c r="J252" s="101">
        <v>0</v>
      </c>
      <c r="K252" s="101">
        <v>0</v>
      </c>
      <c r="L252" s="101">
        <v>1064.25</v>
      </c>
      <c r="M252" s="101">
        <v>0</v>
      </c>
      <c r="N252" s="128" t="s">
        <v>1344</v>
      </c>
      <c r="O252" s="92" t="s">
        <v>1349</v>
      </c>
      <c r="P252" s="127"/>
      <c r="Q252" s="127"/>
    </row>
    <row r="253" spans="2:17" ht="15" customHeight="1" x14ac:dyDescent="0.3">
      <c r="B253" s="128" t="s">
        <v>1332</v>
      </c>
      <c r="C253" s="128" t="s">
        <v>401</v>
      </c>
      <c r="D253" s="129">
        <v>41943</v>
      </c>
      <c r="E253" s="129">
        <v>41943</v>
      </c>
      <c r="F253" s="130">
        <v>12786.74</v>
      </c>
      <c r="G253" s="128" t="s">
        <v>1066</v>
      </c>
      <c r="H253" s="102">
        <v>20</v>
      </c>
      <c r="I253" s="129">
        <v>44926</v>
      </c>
      <c r="J253" s="101">
        <v>53.26</v>
      </c>
      <c r="K253" s="101">
        <v>639.34</v>
      </c>
      <c r="L253" s="101">
        <v>5221.28</v>
      </c>
      <c r="M253" s="101">
        <v>7565.46</v>
      </c>
      <c r="N253" s="128" t="s">
        <v>1348</v>
      </c>
      <c r="O253" s="92" t="s">
        <v>1349</v>
      </c>
      <c r="P253" s="127"/>
      <c r="Q253" s="127"/>
    </row>
    <row r="254" spans="2:17" ht="15" customHeight="1" x14ac:dyDescent="0.3">
      <c r="B254" s="128" t="s">
        <v>1333</v>
      </c>
      <c r="C254" s="128" t="s">
        <v>402</v>
      </c>
      <c r="D254" s="129">
        <v>42064</v>
      </c>
      <c r="E254" s="129">
        <v>42064</v>
      </c>
      <c r="F254" s="130">
        <v>3260.31</v>
      </c>
      <c r="G254" s="128" t="s">
        <v>1066</v>
      </c>
      <c r="H254" s="102">
        <v>10</v>
      </c>
      <c r="I254" s="129">
        <v>44926</v>
      </c>
      <c r="J254" s="101">
        <v>27.16</v>
      </c>
      <c r="K254" s="101">
        <v>326.02999999999997</v>
      </c>
      <c r="L254" s="101">
        <v>2553.9</v>
      </c>
      <c r="M254" s="101">
        <v>706.41</v>
      </c>
      <c r="N254" s="128" t="s">
        <v>1346</v>
      </c>
      <c r="O254" s="92" t="s">
        <v>1349</v>
      </c>
      <c r="P254" s="127"/>
      <c r="Q254" s="127"/>
    </row>
    <row r="255" spans="2:17" ht="15" customHeight="1" x14ac:dyDescent="0.3">
      <c r="B255" s="128" t="s">
        <v>1334</v>
      </c>
      <c r="C255" s="128" t="s">
        <v>403</v>
      </c>
      <c r="D255" s="129">
        <v>42064</v>
      </c>
      <c r="E255" s="129">
        <v>42064</v>
      </c>
      <c r="F255" s="130">
        <v>1082.71</v>
      </c>
      <c r="G255" s="128" t="s">
        <v>1066</v>
      </c>
      <c r="H255" s="102">
        <v>20</v>
      </c>
      <c r="I255" s="129">
        <v>44926</v>
      </c>
      <c r="J255" s="101">
        <v>4.53</v>
      </c>
      <c r="K255" s="101">
        <v>54.14</v>
      </c>
      <c r="L255" s="101">
        <v>424.09</v>
      </c>
      <c r="M255" s="101">
        <v>658.62</v>
      </c>
      <c r="N255" s="128" t="s">
        <v>1346</v>
      </c>
      <c r="O255" s="92" t="s">
        <v>1349</v>
      </c>
      <c r="P255" s="127"/>
      <c r="Q255" s="127"/>
    </row>
    <row r="256" spans="2:17" ht="15" customHeight="1" x14ac:dyDescent="0.3">
      <c r="B256" s="128" t="s">
        <v>1335</v>
      </c>
      <c r="C256" s="128" t="s">
        <v>404</v>
      </c>
      <c r="D256" s="129">
        <v>42185</v>
      </c>
      <c r="E256" s="129">
        <v>42185</v>
      </c>
      <c r="F256" s="130">
        <v>1135</v>
      </c>
      <c r="G256" s="128" t="s">
        <v>1066</v>
      </c>
      <c r="H256" s="102">
        <v>35</v>
      </c>
      <c r="I256" s="129">
        <v>44926</v>
      </c>
      <c r="J256" s="101">
        <v>2.73</v>
      </c>
      <c r="K256" s="101">
        <v>32.43</v>
      </c>
      <c r="L256" s="101">
        <v>243.22</v>
      </c>
      <c r="M256" s="101">
        <v>891.78</v>
      </c>
      <c r="N256" s="128" t="s">
        <v>1346</v>
      </c>
      <c r="O256" s="92" t="s">
        <v>1349</v>
      </c>
      <c r="P256" s="127"/>
      <c r="Q256" s="127"/>
    </row>
    <row r="257" spans="2:17" ht="15" customHeight="1" x14ac:dyDescent="0.3">
      <c r="B257" s="128" t="s">
        <v>1336</v>
      </c>
      <c r="C257" s="128" t="s">
        <v>405</v>
      </c>
      <c r="D257" s="129">
        <v>42247</v>
      </c>
      <c r="E257" s="129">
        <v>42247</v>
      </c>
      <c r="F257" s="130">
        <v>7221.88</v>
      </c>
      <c r="G257" s="128" t="s">
        <v>1066</v>
      </c>
      <c r="H257" s="102">
        <v>10</v>
      </c>
      <c r="I257" s="129">
        <v>44926</v>
      </c>
      <c r="J257" s="101">
        <v>60.21</v>
      </c>
      <c r="K257" s="101">
        <v>722.19</v>
      </c>
      <c r="L257" s="101">
        <v>5296.06</v>
      </c>
      <c r="M257" s="101">
        <v>1925.82</v>
      </c>
      <c r="N257" s="128" t="s">
        <v>1346</v>
      </c>
      <c r="O257" s="92" t="s">
        <v>1349</v>
      </c>
      <c r="P257" s="127"/>
      <c r="Q257" s="127"/>
    </row>
    <row r="258" spans="2:17" ht="15" customHeight="1" x14ac:dyDescent="0.3">
      <c r="B258" s="128" t="s">
        <v>1337</v>
      </c>
      <c r="C258" s="128" t="s">
        <v>406</v>
      </c>
      <c r="D258" s="129">
        <v>42277</v>
      </c>
      <c r="E258" s="129">
        <v>42277</v>
      </c>
      <c r="F258" s="130">
        <v>4864.5</v>
      </c>
      <c r="G258" s="128" t="s">
        <v>1066</v>
      </c>
      <c r="H258" s="102">
        <v>10</v>
      </c>
      <c r="I258" s="129">
        <v>44926</v>
      </c>
      <c r="J258" s="101">
        <v>40.51</v>
      </c>
      <c r="K258" s="101">
        <v>486.45</v>
      </c>
      <c r="L258" s="101">
        <v>3526.76</v>
      </c>
      <c r="M258" s="101">
        <v>1337.74</v>
      </c>
      <c r="N258" s="128" t="s">
        <v>1347</v>
      </c>
      <c r="O258" s="92" t="s">
        <v>1349</v>
      </c>
      <c r="P258" s="127"/>
      <c r="Q258" s="127"/>
    </row>
    <row r="259" spans="2:17" ht="15" customHeight="1" x14ac:dyDescent="0.3">
      <c r="B259" s="128" t="s">
        <v>1338</v>
      </c>
      <c r="C259" s="128" t="s">
        <v>407</v>
      </c>
      <c r="D259" s="129">
        <v>42369</v>
      </c>
      <c r="E259" s="129">
        <v>42369</v>
      </c>
      <c r="F259" s="130">
        <v>5659.11</v>
      </c>
      <c r="G259" s="128" t="s">
        <v>1066</v>
      </c>
      <c r="H259" s="102">
        <v>10</v>
      </c>
      <c r="I259" s="129">
        <v>44926</v>
      </c>
      <c r="J259" s="101">
        <v>47.15</v>
      </c>
      <c r="K259" s="101">
        <v>565.91</v>
      </c>
      <c r="L259" s="101">
        <v>3961.37</v>
      </c>
      <c r="M259" s="101">
        <v>1697.74</v>
      </c>
      <c r="N259" s="128" t="s">
        <v>1346</v>
      </c>
      <c r="O259" s="92" t="s">
        <v>1349</v>
      </c>
      <c r="P259" s="127"/>
      <c r="Q259" s="127"/>
    </row>
    <row r="260" spans="2:17" ht="15" customHeight="1" x14ac:dyDescent="0.3">
      <c r="B260" s="128" t="s">
        <v>1339</v>
      </c>
      <c r="C260" s="128" t="s">
        <v>408</v>
      </c>
      <c r="D260" s="129">
        <v>43100</v>
      </c>
      <c r="E260" s="129">
        <v>43100</v>
      </c>
      <c r="F260" s="130">
        <v>613.29999999999995</v>
      </c>
      <c r="G260" s="128" t="s">
        <v>1066</v>
      </c>
      <c r="H260" s="102">
        <v>10</v>
      </c>
      <c r="I260" s="129">
        <v>44926</v>
      </c>
      <c r="J260" s="101">
        <v>5.12</v>
      </c>
      <c r="K260" s="101">
        <v>61.33</v>
      </c>
      <c r="L260" s="101">
        <v>306.64999999999998</v>
      </c>
      <c r="M260" s="101">
        <v>306.64999999999998</v>
      </c>
      <c r="N260" s="128" t="s">
        <v>1346</v>
      </c>
      <c r="O260" s="92" t="s">
        <v>1349</v>
      </c>
      <c r="P260" s="127"/>
      <c r="Q260" s="127"/>
    </row>
    <row r="261" spans="2:17" ht="15" customHeight="1" x14ac:dyDescent="0.3">
      <c r="B261" s="128" t="s">
        <v>1340</v>
      </c>
      <c r="C261" s="128" t="s">
        <v>409</v>
      </c>
      <c r="D261" s="129">
        <v>43585</v>
      </c>
      <c r="E261" s="129">
        <v>43585</v>
      </c>
      <c r="F261" s="130">
        <v>931.5</v>
      </c>
      <c r="G261" s="128" t="s">
        <v>1066</v>
      </c>
      <c r="H261" s="102">
        <v>10</v>
      </c>
      <c r="I261" s="129">
        <v>44926</v>
      </c>
      <c r="J261" s="101">
        <v>7.79</v>
      </c>
      <c r="K261" s="101">
        <v>93.15</v>
      </c>
      <c r="L261" s="101">
        <v>341.55</v>
      </c>
      <c r="M261" s="101">
        <v>589.95000000000005</v>
      </c>
      <c r="N261" s="128" t="s">
        <v>1346</v>
      </c>
      <c r="O261" s="92" t="s">
        <v>1349</v>
      </c>
      <c r="P261" s="127"/>
      <c r="Q261" s="127"/>
    </row>
    <row r="262" spans="2:17" ht="15" customHeight="1" x14ac:dyDescent="0.3">
      <c r="B262" s="128" t="s">
        <v>1341</v>
      </c>
      <c r="C262" s="128" t="s">
        <v>410</v>
      </c>
      <c r="D262" s="129">
        <v>43646</v>
      </c>
      <c r="E262" s="129">
        <v>43646</v>
      </c>
      <c r="F262" s="130">
        <v>6385.25</v>
      </c>
      <c r="G262" s="128" t="s">
        <v>1066</v>
      </c>
      <c r="H262" s="102">
        <v>10</v>
      </c>
      <c r="I262" s="129">
        <v>44926</v>
      </c>
      <c r="J262" s="101">
        <v>53.22</v>
      </c>
      <c r="K262" s="101">
        <v>638.53</v>
      </c>
      <c r="L262" s="101">
        <v>2234.85</v>
      </c>
      <c r="M262" s="101">
        <v>4150.3999999999996</v>
      </c>
      <c r="N262" s="128" t="s">
        <v>1346</v>
      </c>
      <c r="O262" s="92" t="s">
        <v>1349</v>
      </c>
      <c r="P262" s="127"/>
      <c r="Q262" s="127"/>
    </row>
    <row r="263" spans="2:17" ht="15" customHeight="1" x14ac:dyDescent="0.3">
      <c r="B263" s="128" t="s">
        <v>1342</v>
      </c>
      <c r="C263" s="128" t="s">
        <v>411</v>
      </c>
      <c r="D263" s="129">
        <v>44043</v>
      </c>
      <c r="E263" s="129">
        <v>44043</v>
      </c>
      <c r="F263" s="130">
        <v>21378.65</v>
      </c>
      <c r="G263" s="128" t="s">
        <v>1066</v>
      </c>
      <c r="H263" s="102">
        <v>35</v>
      </c>
      <c r="I263" s="129">
        <v>44926</v>
      </c>
      <c r="J263" s="101">
        <v>50.92</v>
      </c>
      <c r="K263" s="101">
        <v>610.82000000000005</v>
      </c>
      <c r="L263" s="101">
        <v>1476.15</v>
      </c>
      <c r="M263" s="101">
        <v>19902.5</v>
      </c>
      <c r="N263" s="128" t="s">
        <v>1346</v>
      </c>
      <c r="O263" s="92" t="s">
        <v>1349</v>
      </c>
      <c r="P263" s="127"/>
      <c r="Q263" s="127"/>
    </row>
    <row r="264" spans="2:17" ht="15" customHeight="1" x14ac:dyDescent="0.3">
      <c r="B264" s="128" t="s">
        <v>1343</v>
      </c>
      <c r="C264" s="128" t="s">
        <v>997</v>
      </c>
      <c r="D264" s="129">
        <v>44712</v>
      </c>
      <c r="E264" s="129">
        <v>44712</v>
      </c>
      <c r="F264" s="130">
        <v>1118.5999999999999</v>
      </c>
      <c r="G264" s="128" t="s">
        <v>1066</v>
      </c>
      <c r="H264" s="102">
        <v>10</v>
      </c>
      <c r="I264" s="129">
        <v>44926</v>
      </c>
      <c r="J264" s="101">
        <v>9.33</v>
      </c>
      <c r="K264" s="101">
        <v>65.25</v>
      </c>
      <c r="L264" s="101">
        <v>65.25</v>
      </c>
      <c r="M264" s="101">
        <v>1053.3499999999999</v>
      </c>
      <c r="N264" s="128" t="s">
        <v>1346</v>
      </c>
      <c r="O264" s="92" t="s">
        <v>1349</v>
      </c>
      <c r="P264" s="127"/>
      <c r="Q264" s="127"/>
    </row>
    <row r="265" spans="2:17" ht="15" customHeight="1" x14ac:dyDescent="0.3">
      <c r="B265" s="128" t="s">
        <v>1350</v>
      </c>
      <c r="C265" s="128" t="s">
        <v>192</v>
      </c>
      <c r="D265" s="129">
        <v>37257</v>
      </c>
      <c r="E265" s="129">
        <v>37257</v>
      </c>
      <c r="F265" s="130">
        <v>3745</v>
      </c>
      <c r="G265" s="128" t="s">
        <v>1066</v>
      </c>
      <c r="H265" s="102">
        <v>10</v>
      </c>
      <c r="I265" s="129">
        <v>41820</v>
      </c>
      <c r="J265" s="101">
        <v>0</v>
      </c>
      <c r="K265" s="101">
        <v>0</v>
      </c>
      <c r="L265" s="101">
        <v>3745</v>
      </c>
      <c r="M265" s="101">
        <v>0</v>
      </c>
      <c r="N265" s="128" t="s">
        <v>1357</v>
      </c>
      <c r="O265" s="92" t="s">
        <v>1358</v>
      </c>
      <c r="P265" s="127"/>
      <c r="Q265" s="127"/>
    </row>
    <row r="266" spans="2:17" ht="15" customHeight="1" x14ac:dyDescent="0.3">
      <c r="B266" s="128" t="s">
        <v>1351</v>
      </c>
      <c r="C266" s="128" t="s">
        <v>192</v>
      </c>
      <c r="D266" s="129">
        <v>37257</v>
      </c>
      <c r="E266" s="129">
        <v>37257</v>
      </c>
      <c r="F266" s="130">
        <v>3745</v>
      </c>
      <c r="G266" s="128" t="s">
        <v>1066</v>
      </c>
      <c r="H266" s="102">
        <v>10</v>
      </c>
      <c r="I266" s="129">
        <v>41820</v>
      </c>
      <c r="J266" s="101">
        <v>0</v>
      </c>
      <c r="K266" s="101">
        <v>0</v>
      </c>
      <c r="L266" s="101">
        <v>3745</v>
      </c>
      <c r="M266" s="101">
        <v>0</v>
      </c>
      <c r="N266" s="128" t="s">
        <v>1357</v>
      </c>
      <c r="O266" s="92" t="s">
        <v>1358</v>
      </c>
      <c r="P266" s="127"/>
      <c r="Q266" s="127"/>
    </row>
    <row r="267" spans="2:17" ht="15" customHeight="1" x14ac:dyDescent="0.3">
      <c r="B267" s="128" t="s">
        <v>1352</v>
      </c>
      <c r="C267" s="128" t="s">
        <v>412</v>
      </c>
      <c r="D267" s="129">
        <v>39896</v>
      </c>
      <c r="E267" s="129">
        <v>39896</v>
      </c>
      <c r="F267" s="130">
        <v>2410</v>
      </c>
      <c r="G267" s="128" t="s">
        <v>1066</v>
      </c>
      <c r="H267" s="102">
        <v>10</v>
      </c>
      <c r="I267" s="129">
        <v>43555</v>
      </c>
      <c r="J267" s="101">
        <v>0</v>
      </c>
      <c r="K267" s="101">
        <v>0</v>
      </c>
      <c r="L267" s="101">
        <v>2410</v>
      </c>
      <c r="M267" s="101">
        <v>0</v>
      </c>
      <c r="N267" s="128" t="s">
        <v>1357</v>
      </c>
      <c r="O267" s="92" t="s">
        <v>1358</v>
      </c>
      <c r="P267" s="127"/>
      <c r="Q267" s="127"/>
    </row>
    <row r="268" spans="2:17" ht="15" customHeight="1" x14ac:dyDescent="0.3">
      <c r="B268" s="128" t="s">
        <v>1353</v>
      </c>
      <c r="C268" s="128" t="s">
        <v>413</v>
      </c>
      <c r="D268" s="129">
        <v>43465</v>
      </c>
      <c r="E268" s="129">
        <v>43465</v>
      </c>
      <c r="F268" s="130">
        <v>4276.34</v>
      </c>
      <c r="G268" s="128" t="s">
        <v>1066</v>
      </c>
      <c r="H268" s="102">
        <v>10</v>
      </c>
      <c r="I268" s="129">
        <v>44926</v>
      </c>
      <c r="J268" s="101">
        <v>35.590000000000003</v>
      </c>
      <c r="K268" s="101">
        <v>427.63</v>
      </c>
      <c r="L268" s="101">
        <v>1710.52</v>
      </c>
      <c r="M268" s="101">
        <v>2565.8200000000002</v>
      </c>
      <c r="N268" s="128" t="s">
        <v>1357</v>
      </c>
      <c r="O268" s="92" t="s">
        <v>1358</v>
      </c>
      <c r="P268" s="127"/>
      <c r="Q268" s="127"/>
    </row>
    <row r="269" spans="2:17" ht="15" customHeight="1" x14ac:dyDescent="0.3">
      <c r="B269" s="128" t="s">
        <v>1354</v>
      </c>
      <c r="C269" s="128" t="s">
        <v>414</v>
      </c>
      <c r="D269" s="129">
        <v>43708</v>
      </c>
      <c r="E269" s="129">
        <v>43708</v>
      </c>
      <c r="F269" s="130">
        <v>17995</v>
      </c>
      <c r="G269" s="128" t="s">
        <v>1066</v>
      </c>
      <c r="H269" s="102">
        <v>10</v>
      </c>
      <c r="I269" s="129">
        <v>44926</v>
      </c>
      <c r="J269" s="101">
        <v>149.94</v>
      </c>
      <c r="K269" s="101">
        <v>1799.5</v>
      </c>
      <c r="L269" s="101">
        <v>5998.33</v>
      </c>
      <c r="M269" s="101">
        <v>11996.67</v>
      </c>
      <c r="N269" s="128" t="s">
        <v>1357</v>
      </c>
      <c r="O269" s="92" t="s">
        <v>1358</v>
      </c>
      <c r="P269" s="127"/>
      <c r="Q269" s="127"/>
    </row>
    <row r="270" spans="2:17" ht="15" customHeight="1" x14ac:dyDescent="0.3">
      <c r="B270" s="128" t="s">
        <v>1355</v>
      </c>
      <c r="C270" s="128" t="s">
        <v>415</v>
      </c>
      <c r="D270" s="129">
        <v>44255</v>
      </c>
      <c r="E270" s="129">
        <v>44255</v>
      </c>
      <c r="F270" s="130">
        <v>8374.5</v>
      </c>
      <c r="G270" s="128" t="s">
        <v>1066</v>
      </c>
      <c r="H270" s="102">
        <v>10</v>
      </c>
      <c r="I270" s="129">
        <v>44926</v>
      </c>
      <c r="J270" s="101">
        <v>69.760000000000005</v>
      </c>
      <c r="K270" s="101">
        <v>837.45</v>
      </c>
      <c r="L270" s="101">
        <v>1535.33</v>
      </c>
      <c r="M270" s="101">
        <v>6839.17</v>
      </c>
      <c r="N270" s="128" t="s">
        <v>1357</v>
      </c>
      <c r="O270" s="92" t="s">
        <v>1358</v>
      </c>
      <c r="P270" s="127"/>
      <c r="Q270" s="127"/>
    </row>
    <row r="271" spans="2:17" ht="15" customHeight="1" x14ac:dyDescent="0.3">
      <c r="B271" s="128" t="s">
        <v>1356</v>
      </c>
      <c r="C271" s="128" t="s">
        <v>416</v>
      </c>
      <c r="D271" s="129">
        <v>44347</v>
      </c>
      <c r="E271" s="129">
        <v>44347</v>
      </c>
      <c r="F271" s="130">
        <v>20751.2</v>
      </c>
      <c r="G271" s="128" t="s">
        <v>1066</v>
      </c>
      <c r="H271" s="102">
        <v>10</v>
      </c>
      <c r="I271" s="129">
        <v>44926</v>
      </c>
      <c r="J271" s="101">
        <v>172.89</v>
      </c>
      <c r="K271" s="101">
        <v>2075.12</v>
      </c>
      <c r="L271" s="101">
        <v>3285.61</v>
      </c>
      <c r="M271" s="101">
        <v>17465.59</v>
      </c>
      <c r="N271" s="128" t="s">
        <v>1357</v>
      </c>
      <c r="O271" s="92" t="s">
        <v>1358</v>
      </c>
      <c r="P271" s="127"/>
      <c r="Q271" s="127"/>
    </row>
    <row r="272" spans="2:17" ht="15" customHeight="1" x14ac:dyDescent="0.3">
      <c r="B272" s="128" t="s">
        <v>1359</v>
      </c>
      <c r="C272" s="128" t="s">
        <v>417</v>
      </c>
      <c r="D272" s="129">
        <v>38718</v>
      </c>
      <c r="E272" s="129">
        <v>38718</v>
      </c>
      <c r="F272" s="130">
        <v>28168</v>
      </c>
      <c r="G272" s="128" t="s">
        <v>1066</v>
      </c>
      <c r="H272" s="102">
        <v>10</v>
      </c>
      <c r="I272" s="129">
        <v>42369</v>
      </c>
      <c r="J272" s="101">
        <v>0</v>
      </c>
      <c r="K272" s="101">
        <v>0</v>
      </c>
      <c r="L272" s="101">
        <v>28168</v>
      </c>
      <c r="M272" s="101">
        <v>0</v>
      </c>
      <c r="N272" s="128" t="s">
        <v>1403</v>
      </c>
      <c r="O272" s="92" t="s">
        <v>1405</v>
      </c>
      <c r="P272" s="127"/>
      <c r="Q272" s="127"/>
    </row>
    <row r="273" spans="1:17" ht="15" customHeight="1" x14ac:dyDescent="0.3">
      <c r="B273" s="128" t="s">
        <v>1360</v>
      </c>
      <c r="C273" s="128" t="s">
        <v>131</v>
      </c>
      <c r="D273" s="129">
        <v>39814</v>
      </c>
      <c r="E273" s="129">
        <v>39814</v>
      </c>
      <c r="F273" s="130">
        <v>5615.59</v>
      </c>
      <c r="G273" s="128" t="s">
        <v>1066</v>
      </c>
      <c r="H273" s="102">
        <v>7</v>
      </c>
      <c r="I273" s="129">
        <v>42369</v>
      </c>
      <c r="J273" s="101">
        <v>0</v>
      </c>
      <c r="K273" s="101">
        <v>0</v>
      </c>
      <c r="L273" s="101">
        <v>5615.59</v>
      </c>
      <c r="M273" s="101">
        <v>0</v>
      </c>
      <c r="N273" s="128" t="s">
        <v>1404</v>
      </c>
      <c r="O273" s="92" t="s">
        <v>1405</v>
      </c>
      <c r="P273" s="127"/>
      <c r="Q273" s="127"/>
    </row>
    <row r="274" spans="1:17" ht="15" customHeight="1" x14ac:dyDescent="0.3">
      <c r="B274" s="128" t="s">
        <v>1361</v>
      </c>
      <c r="C274" s="128" t="s">
        <v>132</v>
      </c>
      <c r="D274" s="129">
        <v>39814</v>
      </c>
      <c r="E274" s="129">
        <v>39814</v>
      </c>
      <c r="F274" s="130">
        <v>2316</v>
      </c>
      <c r="G274" s="128" t="s">
        <v>1066</v>
      </c>
      <c r="H274" s="102">
        <v>7</v>
      </c>
      <c r="I274" s="129">
        <v>42369</v>
      </c>
      <c r="J274" s="101">
        <v>0</v>
      </c>
      <c r="K274" s="101">
        <v>0</v>
      </c>
      <c r="L274" s="101">
        <v>2316</v>
      </c>
      <c r="M274" s="101">
        <v>0</v>
      </c>
      <c r="N274" s="128" t="s">
        <v>1404</v>
      </c>
      <c r="O274" s="92" t="s">
        <v>1405</v>
      </c>
      <c r="P274" s="127"/>
      <c r="Q274" s="127"/>
    </row>
    <row r="275" spans="1:17" ht="15" customHeight="1" x14ac:dyDescent="0.3">
      <c r="B275" s="128" t="s">
        <v>1362</v>
      </c>
      <c r="C275" s="128" t="s">
        <v>133</v>
      </c>
      <c r="D275" s="129">
        <v>39814</v>
      </c>
      <c r="E275" s="129">
        <v>39814</v>
      </c>
      <c r="F275" s="130">
        <v>1987.28</v>
      </c>
      <c r="G275" s="128" t="s">
        <v>1068</v>
      </c>
      <c r="H275" s="102">
        <v>10</v>
      </c>
      <c r="I275" s="129">
        <v>43465</v>
      </c>
      <c r="J275" s="101">
        <v>0</v>
      </c>
      <c r="K275" s="101">
        <v>0</v>
      </c>
      <c r="L275" s="101">
        <v>1987.28</v>
      </c>
      <c r="M275" s="101">
        <v>0</v>
      </c>
      <c r="N275" s="128" t="s">
        <v>1403</v>
      </c>
      <c r="O275" s="92" t="s">
        <v>1405</v>
      </c>
      <c r="P275" s="127"/>
      <c r="Q275" s="127"/>
    </row>
    <row r="276" spans="1:17" ht="15" customHeight="1" x14ac:dyDescent="0.3">
      <c r="B276" s="128" t="s">
        <v>1363</v>
      </c>
      <c r="C276" s="128" t="s">
        <v>134</v>
      </c>
      <c r="D276" s="129">
        <v>39814</v>
      </c>
      <c r="E276" s="129">
        <v>39814</v>
      </c>
      <c r="F276" s="130">
        <v>6785.94</v>
      </c>
      <c r="G276" s="128" t="s">
        <v>1066</v>
      </c>
      <c r="H276" s="102">
        <v>7</v>
      </c>
      <c r="I276" s="129">
        <v>42369</v>
      </c>
      <c r="J276" s="101">
        <v>0</v>
      </c>
      <c r="K276" s="101">
        <v>0</v>
      </c>
      <c r="L276" s="101">
        <v>6785.94</v>
      </c>
      <c r="M276" s="101">
        <v>0</v>
      </c>
      <c r="N276" s="128" t="s">
        <v>1404</v>
      </c>
      <c r="O276" s="92" t="s">
        <v>1405</v>
      </c>
      <c r="P276" s="127"/>
      <c r="Q276" s="127"/>
    </row>
    <row r="277" spans="1:17" ht="15" customHeight="1" x14ac:dyDescent="0.3">
      <c r="B277" s="128" t="s">
        <v>1364</v>
      </c>
      <c r="C277" s="128" t="s">
        <v>208</v>
      </c>
      <c r="D277" s="129">
        <v>40999</v>
      </c>
      <c r="E277" s="129">
        <v>40999</v>
      </c>
      <c r="F277" s="130">
        <v>120907.56</v>
      </c>
      <c r="G277" s="128" t="s">
        <v>1066</v>
      </c>
      <c r="H277" s="102">
        <v>10</v>
      </c>
      <c r="I277" s="129">
        <v>44651</v>
      </c>
      <c r="J277" s="101">
        <v>0</v>
      </c>
      <c r="K277" s="101">
        <v>3022.67</v>
      </c>
      <c r="L277" s="101">
        <v>120907.56</v>
      </c>
      <c r="M277" s="101">
        <v>0</v>
      </c>
      <c r="N277" s="128" t="s">
        <v>1403</v>
      </c>
      <c r="O277" s="92" t="s">
        <v>1405</v>
      </c>
      <c r="P277" s="127"/>
      <c r="Q277" s="127"/>
    </row>
    <row r="278" spans="1:17" ht="15" customHeight="1" x14ac:dyDescent="0.3">
      <c r="B278" s="128" t="s">
        <v>1365</v>
      </c>
      <c r="C278" s="128" t="s">
        <v>418</v>
      </c>
      <c r="D278" s="129">
        <v>40999</v>
      </c>
      <c r="E278" s="129">
        <v>40999</v>
      </c>
      <c r="F278" s="130">
        <v>24395.52</v>
      </c>
      <c r="G278" s="128" t="s">
        <v>1066</v>
      </c>
      <c r="H278" s="102">
        <v>7</v>
      </c>
      <c r="I278" s="129">
        <v>43555</v>
      </c>
      <c r="J278" s="101">
        <v>0</v>
      </c>
      <c r="K278" s="101">
        <v>0</v>
      </c>
      <c r="L278" s="101">
        <v>24395.52</v>
      </c>
      <c r="M278" s="101">
        <v>0</v>
      </c>
      <c r="N278" s="128" t="s">
        <v>1404</v>
      </c>
      <c r="O278" s="92" t="s">
        <v>1405</v>
      </c>
      <c r="P278" s="127"/>
      <c r="Q278" s="127"/>
    </row>
    <row r="279" spans="1:17" ht="15" customHeight="1" x14ac:dyDescent="0.3">
      <c r="B279" s="128" t="s">
        <v>1366</v>
      </c>
      <c r="C279" s="128" t="s">
        <v>419</v>
      </c>
      <c r="D279" s="129">
        <v>41152</v>
      </c>
      <c r="E279" s="129">
        <v>41152</v>
      </c>
      <c r="F279" s="130">
        <v>25758</v>
      </c>
      <c r="G279" s="128" t="s">
        <v>1066</v>
      </c>
      <c r="H279" s="102">
        <v>10</v>
      </c>
      <c r="I279" s="129">
        <v>44804</v>
      </c>
      <c r="J279" s="101">
        <v>0</v>
      </c>
      <c r="K279" s="101">
        <v>1717.2</v>
      </c>
      <c r="L279" s="101">
        <v>25758</v>
      </c>
      <c r="M279" s="101">
        <v>0</v>
      </c>
      <c r="N279" s="128" t="s">
        <v>1403</v>
      </c>
      <c r="O279" s="92" t="s">
        <v>1405</v>
      </c>
      <c r="P279" s="127"/>
      <c r="Q279" s="127"/>
    </row>
    <row r="280" spans="1:17" ht="15" customHeight="1" x14ac:dyDescent="0.3">
      <c r="B280" s="128" t="s">
        <v>1367</v>
      </c>
      <c r="C280" s="128" t="s">
        <v>420</v>
      </c>
      <c r="D280" s="129">
        <v>41274</v>
      </c>
      <c r="E280" s="129">
        <v>41274</v>
      </c>
      <c r="F280" s="130">
        <v>1352.34</v>
      </c>
      <c r="G280" s="128" t="s">
        <v>1066</v>
      </c>
      <c r="H280" s="102">
        <v>7</v>
      </c>
      <c r="I280" s="129">
        <v>43830</v>
      </c>
      <c r="J280" s="101">
        <v>0</v>
      </c>
      <c r="K280" s="101">
        <v>0</v>
      </c>
      <c r="L280" s="101">
        <v>1352.34</v>
      </c>
      <c r="M280" s="101">
        <v>0</v>
      </c>
      <c r="N280" s="128" t="s">
        <v>1404</v>
      </c>
      <c r="O280" s="92" t="s">
        <v>1405</v>
      </c>
      <c r="P280" s="125"/>
      <c r="Q280" s="125"/>
    </row>
    <row r="281" spans="1:17" ht="15" customHeight="1" x14ac:dyDescent="0.3">
      <c r="A281" s="122"/>
      <c r="B281" s="128" t="s">
        <v>1368</v>
      </c>
      <c r="C281" s="128" t="s">
        <v>421</v>
      </c>
      <c r="D281" s="129">
        <v>41487</v>
      </c>
      <c r="E281" s="129">
        <v>41487</v>
      </c>
      <c r="F281" s="130">
        <v>59351.82</v>
      </c>
      <c r="G281" s="128" t="s">
        <v>1066</v>
      </c>
      <c r="H281" s="102">
        <v>10</v>
      </c>
      <c r="I281" s="129">
        <v>44926</v>
      </c>
      <c r="J281" s="101">
        <v>494.58</v>
      </c>
      <c r="K281" s="101">
        <v>5935.18</v>
      </c>
      <c r="L281" s="101">
        <v>55889.61</v>
      </c>
      <c r="M281" s="101">
        <v>3462.21</v>
      </c>
      <c r="N281" s="128" t="s">
        <v>1403</v>
      </c>
      <c r="O281" s="92" t="s">
        <v>1405</v>
      </c>
      <c r="P281" s="127"/>
      <c r="Q281" s="127"/>
    </row>
    <row r="282" spans="1:17" ht="15" customHeight="1" x14ac:dyDescent="0.3">
      <c r="B282" s="128" t="s">
        <v>1369</v>
      </c>
      <c r="C282" s="128" t="s">
        <v>422</v>
      </c>
      <c r="D282" s="129">
        <v>41487</v>
      </c>
      <c r="E282" s="129">
        <v>41487</v>
      </c>
      <c r="F282" s="130">
        <v>30683.48</v>
      </c>
      <c r="G282" s="128" t="s">
        <v>1066</v>
      </c>
      <c r="H282" s="102">
        <v>7</v>
      </c>
      <c r="I282" s="129">
        <v>44043</v>
      </c>
      <c r="J282" s="101">
        <v>0</v>
      </c>
      <c r="K282" s="101">
        <v>0</v>
      </c>
      <c r="L282" s="101">
        <v>30683.48</v>
      </c>
      <c r="M282" s="101">
        <v>0</v>
      </c>
      <c r="N282" s="128" t="s">
        <v>1404</v>
      </c>
      <c r="O282" s="92" t="s">
        <v>1405</v>
      </c>
      <c r="P282" s="127"/>
      <c r="Q282" s="127"/>
    </row>
    <row r="283" spans="1:17" ht="15" customHeight="1" x14ac:dyDescent="0.3">
      <c r="B283" s="128" t="s">
        <v>1370</v>
      </c>
      <c r="C283" s="128" t="s">
        <v>423</v>
      </c>
      <c r="D283" s="129">
        <v>41698</v>
      </c>
      <c r="E283" s="129">
        <v>41698</v>
      </c>
      <c r="F283" s="130">
        <v>4587.5</v>
      </c>
      <c r="G283" s="128" t="s">
        <v>1066</v>
      </c>
      <c r="H283" s="102">
        <v>10</v>
      </c>
      <c r="I283" s="129">
        <v>44926</v>
      </c>
      <c r="J283" s="101">
        <v>38.22</v>
      </c>
      <c r="K283" s="101">
        <v>458.75</v>
      </c>
      <c r="L283" s="101">
        <v>4052.29</v>
      </c>
      <c r="M283" s="101">
        <v>535.21</v>
      </c>
      <c r="N283" s="128" t="s">
        <v>1403</v>
      </c>
      <c r="O283" s="92" t="s">
        <v>1405</v>
      </c>
      <c r="P283" s="127"/>
      <c r="Q283" s="127"/>
    </row>
    <row r="284" spans="1:17" ht="15" customHeight="1" x14ac:dyDescent="0.3">
      <c r="B284" s="128" t="s">
        <v>1371</v>
      </c>
      <c r="C284" s="128" t="s">
        <v>424</v>
      </c>
      <c r="D284" s="129">
        <v>41759</v>
      </c>
      <c r="E284" s="129">
        <v>41759</v>
      </c>
      <c r="F284" s="130">
        <v>3625</v>
      </c>
      <c r="G284" s="128" t="s">
        <v>1066</v>
      </c>
      <c r="H284" s="102">
        <v>10</v>
      </c>
      <c r="I284" s="129">
        <v>44926</v>
      </c>
      <c r="J284" s="101">
        <v>30.19</v>
      </c>
      <c r="K284" s="101">
        <v>362.5</v>
      </c>
      <c r="L284" s="101">
        <v>3141.67</v>
      </c>
      <c r="M284" s="101">
        <v>483.33</v>
      </c>
      <c r="N284" s="128" t="s">
        <v>1403</v>
      </c>
      <c r="O284" s="92" t="s">
        <v>1405</v>
      </c>
      <c r="P284" s="127"/>
      <c r="Q284" s="127"/>
    </row>
    <row r="285" spans="1:17" ht="15" customHeight="1" x14ac:dyDescent="0.3">
      <c r="B285" s="128" t="s">
        <v>1372</v>
      </c>
      <c r="C285" s="128" t="s">
        <v>425</v>
      </c>
      <c r="D285" s="129">
        <v>41759</v>
      </c>
      <c r="E285" s="129">
        <v>41759</v>
      </c>
      <c r="F285" s="130">
        <v>4385</v>
      </c>
      <c r="G285" s="128" t="s">
        <v>1066</v>
      </c>
      <c r="H285" s="102">
        <v>10</v>
      </c>
      <c r="I285" s="129">
        <v>44926</v>
      </c>
      <c r="J285" s="101">
        <v>36.56</v>
      </c>
      <c r="K285" s="101">
        <v>438.5</v>
      </c>
      <c r="L285" s="101">
        <v>3800.33</v>
      </c>
      <c r="M285" s="101">
        <v>584.66999999999996</v>
      </c>
      <c r="N285" s="128" t="s">
        <v>1403</v>
      </c>
      <c r="O285" s="92" t="s">
        <v>1405</v>
      </c>
      <c r="P285" s="127"/>
      <c r="Q285" s="127"/>
    </row>
    <row r="286" spans="1:17" ht="15" customHeight="1" x14ac:dyDescent="0.3">
      <c r="B286" s="128" t="s">
        <v>1373</v>
      </c>
      <c r="C286" s="128" t="s">
        <v>426</v>
      </c>
      <c r="D286" s="129">
        <v>41882</v>
      </c>
      <c r="E286" s="129">
        <v>41882</v>
      </c>
      <c r="F286" s="130">
        <v>2918.49</v>
      </c>
      <c r="G286" s="128" t="s">
        <v>1066</v>
      </c>
      <c r="H286" s="102">
        <v>5</v>
      </c>
      <c r="I286" s="129">
        <v>43708</v>
      </c>
      <c r="J286" s="101">
        <v>0</v>
      </c>
      <c r="K286" s="101">
        <v>0</v>
      </c>
      <c r="L286" s="101">
        <v>2918.49</v>
      </c>
      <c r="M286" s="101">
        <v>0</v>
      </c>
      <c r="N286" s="128" t="s">
        <v>1403</v>
      </c>
      <c r="O286" s="92" t="s">
        <v>1405</v>
      </c>
      <c r="P286" s="127"/>
      <c r="Q286" s="127"/>
    </row>
    <row r="287" spans="1:17" ht="15" customHeight="1" x14ac:dyDescent="0.3">
      <c r="B287" s="128" t="s">
        <v>1374</v>
      </c>
      <c r="C287" s="128" t="s">
        <v>427</v>
      </c>
      <c r="D287" s="129">
        <v>41882</v>
      </c>
      <c r="E287" s="129">
        <v>41882</v>
      </c>
      <c r="F287" s="130">
        <v>10100</v>
      </c>
      <c r="G287" s="128" t="s">
        <v>1066</v>
      </c>
      <c r="H287" s="102">
        <v>25</v>
      </c>
      <c r="I287" s="129">
        <v>44926</v>
      </c>
      <c r="J287" s="101">
        <v>33.630000000000003</v>
      </c>
      <c r="K287" s="101">
        <v>404</v>
      </c>
      <c r="L287" s="101">
        <v>3366.67</v>
      </c>
      <c r="M287" s="101">
        <v>6733.33</v>
      </c>
      <c r="N287" s="128" t="s">
        <v>1403</v>
      </c>
      <c r="O287" s="92" t="s">
        <v>1405</v>
      </c>
      <c r="P287" s="127"/>
      <c r="Q287" s="127"/>
    </row>
    <row r="288" spans="1:17" ht="15" customHeight="1" x14ac:dyDescent="0.3">
      <c r="B288" s="128" t="s">
        <v>1375</v>
      </c>
      <c r="C288" s="128" t="s">
        <v>428</v>
      </c>
      <c r="D288" s="129">
        <v>41943</v>
      </c>
      <c r="E288" s="129">
        <v>41943</v>
      </c>
      <c r="F288" s="130">
        <v>4585</v>
      </c>
      <c r="G288" s="128" t="s">
        <v>1066</v>
      </c>
      <c r="H288" s="102">
        <v>10</v>
      </c>
      <c r="I288" s="129">
        <v>44926</v>
      </c>
      <c r="J288" s="101">
        <v>38.19</v>
      </c>
      <c r="K288" s="101">
        <v>458.5</v>
      </c>
      <c r="L288" s="101">
        <v>3744.42</v>
      </c>
      <c r="M288" s="101">
        <v>840.58</v>
      </c>
      <c r="N288" s="128" t="s">
        <v>1403</v>
      </c>
      <c r="O288" s="92" t="s">
        <v>1405</v>
      </c>
      <c r="P288" s="125"/>
      <c r="Q288" s="125"/>
    </row>
    <row r="289" spans="1:17" ht="15" customHeight="1" x14ac:dyDescent="0.3">
      <c r="A289" s="122"/>
      <c r="B289" s="128" t="s">
        <v>1376</v>
      </c>
      <c r="C289" s="128" t="s">
        <v>429</v>
      </c>
      <c r="D289" s="129">
        <v>41943</v>
      </c>
      <c r="E289" s="129">
        <v>41943</v>
      </c>
      <c r="F289" s="130">
        <v>1275</v>
      </c>
      <c r="G289" s="128" t="s">
        <v>1066</v>
      </c>
      <c r="H289" s="102">
        <v>10</v>
      </c>
      <c r="I289" s="129">
        <v>44926</v>
      </c>
      <c r="J289" s="101">
        <v>10.57</v>
      </c>
      <c r="K289" s="101">
        <v>127.5</v>
      </c>
      <c r="L289" s="101">
        <v>1041.25</v>
      </c>
      <c r="M289" s="101">
        <v>233.75</v>
      </c>
      <c r="N289" s="128" t="s">
        <v>1403</v>
      </c>
      <c r="O289" s="92" t="s">
        <v>1405</v>
      </c>
      <c r="P289" s="127"/>
      <c r="Q289" s="127"/>
    </row>
    <row r="290" spans="1:17" ht="15" customHeight="1" x14ac:dyDescent="0.3">
      <c r="B290" s="128" t="s">
        <v>1377</v>
      </c>
      <c r="C290" s="128" t="s">
        <v>430</v>
      </c>
      <c r="D290" s="129">
        <v>42004</v>
      </c>
      <c r="E290" s="129">
        <v>42004</v>
      </c>
      <c r="F290" s="130">
        <v>4294.6899999999996</v>
      </c>
      <c r="G290" s="128" t="s">
        <v>1066</v>
      </c>
      <c r="H290" s="102">
        <v>10</v>
      </c>
      <c r="I290" s="129">
        <v>44926</v>
      </c>
      <c r="J290" s="101">
        <v>35.78</v>
      </c>
      <c r="K290" s="101">
        <v>429.47</v>
      </c>
      <c r="L290" s="101">
        <v>3435.76</v>
      </c>
      <c r="M290" s="101">
        <v>858.93</v>
      </c>
      <c r="N290" s="128" t="s">
        <v>1403</v>
      </c>
      <c r="O290" s="92" t="s">
        <v>1405</v>
      </c>
      <c r="P290" s="127"/>
      <c r="Q290" s="127"/>
    </row>
    <row r="291" spans="1:17" ht="15" customHeight="1" x14ac:dyDescent="0.3">
      <c r="B291" s="128" t="s">
        <v>1378</v>
      </c>
      <c r="C291" s="128" t="s">
        <v>431</v>
      </c>
      <c r="D291" s="129">
        <v>42004</v>
      </c>
      <c r="E291" s="129">
        <v>42004</v>
      </c>
      <c r="F291" s="130">
        <v>101231.12</v>
      </c>
      <c r="G291" s="128" t="s">
        <v>1066</v>
      </c>
      <c r="H291" s="102">
        <v>10</v>
      </c>
      <c r="I291" s="129">
        <v>44926</v>
      </c>
      <c r="J291" s="101">
        <v>843.62</v>
      </c>
      <c r="K291" s="101">
        <v>10123.11</v>
      </c>
      <c r="L291" s="101">
        <v>80984.88</v>
      </c>
      <c r="M291" s="101">
        <v>20246.240000000002</v>
      </c>
      <c r="N291" s="128" t="s">
        <v>1403</v>
      </c>
      <c r="O291" s="92" t="s">
        <v>1405</v>
      </c>
      <c r="P291" s="127"/>
      <c r="Q291" s="127"/>
    </row>
    <row r="292" spans="1:17" ht="15" customHeight="1" x14ac:dyDescent="0.3">
      <c r="B292" s="128" t="s">
        <v>1379</v>
      </c>
      <c r="C292" s="128" t="s">
        <v>432</v>
      </c>
      <c r="D292" s="129">
        <v>42124</v>
      </c>
      <c r="E292" s="129">
        <v>42124</v>
      </c>
      <c r="F292" s="130">
        <v>13667.5</v>
      </c>
      <c r="G292" s="128" t="s">
        <v>1066</v>
      </c>
      <c r="H292" s="102">
        <v>10</v>
      </c>
      <c r="I292" s="129">
        <v>44926</v>
      </c>
      <c r="J292" s="101">
        <v>113.85</v>
      </c>
      <c r="K292" s="101">
        <v>1366.75</v>
      </c>
      <c r="L292" s="101">
        <v>10478.42</v>
      </c>
      <c r="M292" s="101">
        <v>3189.08</v>
      </c>
      <c r="N292" s="128" t="s">
        <v>1403</v>
      </c>
      <c r="O292" s="92" t="s">
        <v>1405</v>
      </c>
      <c r="P292" s="127"/>
      <c r="Q292" s="127"/>
    </row>
    <row r="293" spans="1:17" ht="15" customHeight="1" x14ac:dyDescent="0.3">
      <c r="B293" s="128" t="s">
        <v>1380</v>
      </c>
      <c r="C293" s="128" t="s">
        <v>433</v>
      </c>
      <c r="D293" s="129">
        <v>42400</v>
      </c>
      <c r="E293" s="129">
        <v>42400</v>
      </c>
      <c r="F293" s="130">
        <v>2185.81</v>
      </c>
      <c r="G293" s="128" t="s">
        <v>1066</v>
      </c>
      <c r="H293" s="102">
        <v>10</v>
      </c>
      <c r="I293" s="129">
        <v>44926</v>
      </c>
      <c r="J293" s="101">
        <v>18.16</v>
      </c>
      <c r="K293" s="101">
        <v>218.58</v>
      </c>
      <c r="L293" s="101">
        <v>1511.85</v>
      </c>
      <c r="M293" s="101">
        <v>673.96</v>
      </c>
      <c r="N293" s="128" t="s">
        <v>1403</v>
      </c>
      <c r="O293" s="92" t="s">
        <v>1405</v>
      </c>
      <c r="P293" s="127"/>
      <c r="Q293" s="127"/>
    </row>
    <row r="294" spans="1:17" ht="15" customHeight="1" x14ac:dyDescent="0.3">
      <c r="B294" s="128" t="s">
        <v>1381</v>
      </c>
      <c r="C294" s="128" t="s">
        <v>434</v>
      </c>
      <c r="D294" s="129">
        <v>42429</v>
      </c>
      <c r="E294" s="129">
        <v>42429</v>
      </c>
      <c r="F294" s="130">
        <v>2950</v>
      </c>
      <c r="G294" s="128" t="s">
        <v>1066</v>
      </c>
      <c r="H294" s="102">
        <v>10</v>
      </c>
      <c r="I294" s="129">
        <v>44926</v>
      </c>
      <c r="J294" s="101">
        <v>24.62</v>
      </c>
      <c r="K294" s="101">
        <v>295</v>
      </c>
      <c r="L294" s="101">
        <v>2015.83</v>
      </c>
      <c r="M294" s="101">
        <v>934.17</v>
      </c>
      <c r="N294" s="128" t="s">
        <v>1403</v>
      </c>
      <c r="O294" s="92" t="s">
        <v>1405</v>
      </c>
      <c r="P294" s="127"/>
      <c r="Q294" s="127"/>
    </row>
    <row r="295" spans="1:17" ht="15" customHeight="1" x14ac:dyDescent="0.3">
      <c r="B295" s="128" t="s">
        <v>1382</v>
      </c>
      <c r="C295" s="128" t="s">
        <v>435</v>
      </c>
      <c r="D295" s="129">
        <v>42460</v>
      </c>
      <c r="E295" s="129">
        <v>42460</v>
      </c>
      <c r="F295" s="130">
        <v>1765.19</v>
      </c>
      <c r="G295" s="128" t="s">
        <v>1066</v>
      </c>
      <c r="H295" s="102">
        <v>10</v>
      </c>
      <c r="I295" s="129">
        <v>44926</v>
      </c>
      <c r="J295" s="101">
        <v>14.71</v>
      </c>
      <c r="K295" s="101">
        <v>176.52</v>
      </c>
      <c r="L295" s="101">
        <v>1191.51</v>
      </c>
      <c r="M295" s="101">
        <v>573.67999999999995</v>
      </c>
      <c r="N295" s="128" t="s">
        <v>1403</v>
      </c>
      <c r="O295" s="92" t="s">
        <v>1405</v>
      </c>
      <c r="P295" s="127"/>
      <c r="Q295" s="127"/>
    </row>
    <row r="296" spans="1:17" ht="15" customHeight="1" x14ac:dyDescent="0.3">
      <c r="B296" s="128" t="s">
        <v>1383</v>
      </c>
      <c r="C296" s="128" t="s">
        <v>436</v>
      </c>
      <c r="D296" s="129">
        <v>42735</v>
      </c>
      <c r="E296" s="129">
        <v>42735</v>
      </c>
      <c r="F296" s="130">
        <v>179826.05</v>
      </c>
      <c r="G296" s="128" t="s">
        <v>1066</v>
      </c>
      <c r="H296" s="102">
        <v>10</v>
      </c>
      <c r="I296" s="129">
        <v>44926</v>
      </c>
      <c r="J296" s="101">
        <v>1498.56</v>
      </c>
      <c r="K296" s="101">
        <v>17982.599999999999</v>
      </c>
      <c r="L296" s="101">
        <v>107895.6</v>
      </c>
      <c r="M296" s="101">
        <v>71930.45</v>
      </c>
      <c r="N296" s="128" t="s">
        <v>1403</v>
      </c>
      <c r="O296" s="92" t="s">
        <v>1405</v>
      </c>
      <c r="P296" s="127"/>
      <c r="Q296" s="127"/>
    </row>
    <row r="297" spans="1:17" ht="15" customHeight="1" x14ac:dyDescent="0.3">
      <c r="B297" s="128" t="s">
        <v>1384</v>
      </c>
      <c r="C297" s="128" t="s">
        <v>437</v>
      </c>
      <c r="D297" s="129">
        <v>42735</v>
      </c>
      <c r="E297" s="129">
        <v>42735</v>
      </c>
      <c r="F297" s="130">
        <v>142936.13</v>
      </c>
      <c r="G297" s="128" t="s">
        <v>1068</v>
      </c>
      <c r="H297" s="102">
        <v>35</v>
      </c>
      <c r="I297" s="129">
        <v>44926</v>
      </c>
      <c r="J297" s="101">
        <v>178.24</v>
      </c>
      <c r="K297" s="101">
        <v>2139.4299999999998</v>
      </c>
      <c r="L297" s="101">
        <v>80851.78</v>
      </c>
      <c r="M297" s="101">
        <v>62084.35</v>
      </c>
      <c r="N297" s="128" t="s">
        <v>1404</v>
      </c>
      <c r="O297" s="92" t="s">
        <v>1405</v>
      </c>
      <c r="P297" s="127"/>
      <c r="Q297" s="127"/>
    </row>
    <row r="298" spans="1:17" ht="15" customHeight="1" x14ac:dyDescent="0.3">
      <c r="B298" s="128" t="s">
        <v>1385</v>
      </c>
      <c r="C298" s="128" t="s">
        <v>438</v>
      </c>
      <c r="D298" s="129">
        <v>43100</v>
      </c>
      <c r="E298" s="129">
        <v>43100</v>
      </c>
      <c r="F298" s="130">
        <v>172012.64</v>
      </c>
      <c r="G298" s="128" t="s">
        <v>1066</v>
      </c>
      <c r="H298" s="102">
        <v>10</v>
      </c>
      <c r="I298" s="129">
        <v>44926</v>
      </c>
      <c r="J298" s="101">
        <v>1433.42</v>
      </c>
      <c r="K298" s="101">
        <v>17201.259999999998</v>
      </c>
      <c r="L298" s="101">
        <v>86006.3</v>
      </c>
      <c r="M298" s="101">
        <v>86006.34</v>
      </c>
      <c r="N298" s="128" t="s">
        <v>1403</v>
      </c>
      <c r="O298" s="92" t="s">
        <v>1405</v>
      </c>
      <c r="P298" s="127"/>
      <c r="Q298" s="127"/>
    </row>
    <row r="299" spans="1:17" ht="15" customHeight="1" x14ac:dyDescent="0.3">
      <c r="B299" s="128" t="s">
        <v>1386</v>
      </c>
      <c r="C299" s="128" t="s">
        <v>439</v>
      </c>
      <c r="D299" s="129">
        <v>43799</v>
      </c>
      <c r="E299" s="129">
        <v>43799</v>
      </c>
      <c r="F299" s="130">
        <v>239309.28</v>
      </c>
      <c r="G299" s="128" t="s">
        <v>1068</v>
      </c>
      <c r="H299" s="102">
        <v>35</v>
      </c>
      <c r="I299" s="129">
        <v>44926</v>
      </c>
      <c r="J299" s="101">
        <v>517.62</v>
      </c>
      <c r="K299" s="101">
        <v>6212.1</v>
      </c>
      <c r="L299" s="101">
        <v>40913.4</v>
      </c>
      <c r="M299" s="101">
        <v>198395.88</v>
      </c>
      <c r="N299" s="128" t="s">
        <v>1404</v>
      </c>
      <c r="O299" s="92" t="s">
        <v>1405</v>
      </c>
      <c r="P299" s="127"/>
      <c r="Q299" s="127"/>
    </row>
    <row r="300" spans="1:17" ht="15" customHeight="1" x14ac:dyDescent="0.3">
      <c r="B300" s="128" t="s">
        <v>1387</v>
      </c>
      <c r="C300" s="128" t="s">
        <v>440</v>
      </c>
      <c r="D300" s="129">
        <v>43830</v>
      </c>
      <c r="E300" s="129">
        <v>43830</v>
      </c>
      <c r="F300" s="130">
        <v>335419.62</v>
      </c>
      <c r="G300" s="128" t="s">
        <v>1066</v>
      </c>
      <c r="H300" s="102">
        <v>10</v>
      </c>
      <c r="I300" s="129">
        <v>44926</v>
      </c>
      <c r="J300" s="101">
        <v>2795.2</v>
      </c>
      <c r="K300" s="101">
        <v>33541.96</v>
      </c>
      <c r="L300" s="101">
        <v>100625.88</v>
      </c>
      <c r="M300" s="101">
        <v>234793.74</v>
      </c>
      <c r="N300" s="128" t="s">
        <v>1403</v>
      </c>
      <c r="O300" s="92" t="s">
        <v>1405</v>
      </c>
      <c r="P300" s="127"/>
      <c r="Q300" s="127"/>
    </row>
    <row r="301" spans="1:17" ht="15" customHeight="1" x14ac:dyDescent="0.3">
      <c r="B301" s="128" t="s">
        <v>1388</v>
      </c>
      <c r="C301" s="128" t="s">
        <v>441</v>
      </c>
      <c r="D301" s="129">
        <v>43830</v>
      </c>
      <c r="E301" s="129">
        <v>43830</v>
      </c>
      <c r="F301" s="130">
        <v>127426.45</v>
      </c>
      <c r="G301" s="128" t="s">
        <v>1068</v>
      </c>
      <c r="H301" s="102">
        <v>35</v>
      </c>
      <c r="I301" s="129">
        <v>44926</v>
      </c>
      <c r="J301" s="101">
        <v>278.64999999999998</v>
      </c>
      <c r="K301" s="101">
        <v>3344.13</v>
      </c>
      <c r="L301" s="101">
        <v>20341.080000000002</v>
      </c>
      <c r="M301" s="101">
        <v>107085.37</v>
      </c>
      <c r="N301" s="128" t="s">
        <v>1404</v>
      </c>
      <c r="O301" s="92" t="s">
        <v>1405</v>
      </c>
      <c r="P301" s="127"/>
      <c r="Q301" s="127"/>
    </row>
    <row r="302" spans="1:17" ht="15" customHeight="1" x14ac:dyDescent="0.3">
      <c r="B302" s="128" t="s">
        <v>1389</v>
      </c>
      <c r="C302" s="128" t="s">
        <v>442</v>
      </c>
      <c r="D302" s="129">
        <v>43890</v>
      </c>
      <c r="E302" s="129">
        <v>43890</v>
      </c>
      <c r="F302" s="130">
        <v>254543.84</v>
      </c>
      <c r="G302" s="128" t="s">
        <v>1066</v>
      </c>
      <c r="H302" s="102">
        <v>10</v>
      </c>
      <c r="I302" s="129">
        <v>44926</v>
      </c>
      <c r="J302" s="101">
        <v>2121.1799999999998</v>
      </c>
      <c r="K302" s="101">
        <v>25454.38</v>
      </c>
      <c r="L302" s="101">
        <v>72120.75</v>
      </c>
      <c r="M302" s="101">
        <v>182423.09</v>
      </c>
      <c r="N302" s="128" t="s">
        <v>1403</v>
      </c>
      <c r="O302" s="92" t="s">
        <v>1405</v>
      </c>
      <c r="P302" s="127"/>
      <c r="Q302" s="127"/>
    </row>
    <row r="303" spans="1:17" ht="15" customHeight="1" x14ac:dyDescent="0.3">
      <c r="B303" s="128" t="s">
        <v>1390</v>
      </c>
      <c r="C303" s="128" t="s">
        <v>443</v>
      </c>
      <c r="D303" s="129">
        <v>43890</v>
      </c>
      <c r="E303" s="129">
        <v>43890</v>
      </c>
      <c r="F303" s="130">
        <v>34946.17</v>
      </c>
      <c r="G303" s="128" t="s">
        <v>1068</v>
      </c>
      <c r="H303" s="102">
        <v>35</v>
      </c>
      <c r="I303" s="129">
        <v>44926</v>
      </c>
      <c r="J303" s="101">
        <v>78.05</v>
      </c>
      <c r="K303" s="101">
        <v>937.04</v>
      </c>
      <c r="L303" s="101">
        <v>4786.29</v>
      </c>
      <c r="M303" s="101">
        <v>30159.88</v>
      </c>
      <c r="N303" s="128" t="s">
        <v>1404</v>
      </c>
      <c r="O303" s="92" t="s">
        <v>1405</v>
      </c>
      <c r="P303" s="127"/>
      <c r="Q303" s="127"/>
    </row>
    <row r="304" spans="1:17" ht="15" customHeight="1" x14ac:dyDescent="0.3">
      <c r="B304" s="128" t="s">
        <v>1391</v>
      </c>
      <c r="C304" s="128" t="s">
        <v>444</v>
      </c>
      <c r="D304" s="129">
        <v>43890</v>
      </c>
      <c r="E304" s="129">
        <v>43890</v>
      </c>
      <c r="F304" s="130">
        <v>203122.84</v>
      </c>
      <c r="G304" s="128" t="s">
        <v>1066</v>
      </c>
      <c r="H304" s="102">
        <v>10</v>
      </c>
      <c r="I304" s="129">
        <v>44926</v>
      </c>
      <c r="J304" s="101">
        <v>1692.69</v>
      </c>
      <c r="K304" s="101">
        <v>20312.28</v>
      </c>
      <c r="L304" s="101">
        <v>57551.46</v>
      </c>
      <c r="M304" s="101">
        <v>145571.38</v>
      </c>
      <c r="N304" s="128" t="s">
        <v>1403</v>
      </c>
      <c r="O304" s="92" t="s">
        <v>1405</v>
      </c>
      <c r="P304" s="127"/>
      <c r="Q304" s="127"/>
    </row>
    <row r="305" spans="1:17" ht="15" customHeight="1" x14ac:dyDescent="0.3">
      <c r="B305" s="128" t="s">
        <v>1392</v>
      </c>
      <c r="C305" s="128" t="s">
        <v>445</v>
      </c>
      <c r="D305" s="129">
        <v>43890</v>
      </c>
      <c r="E305" s="129">
        <v>43890</v>
      </c>
      <c r="F305" s="130">
        <v>59904.99</v>
      </c>
      <c r="G305" s="128" t="s">
        <v>1068</v>
      </c>
      <c r="H305" s="102">
        <v>35</v>
      </c>
      <c r="I305" s="129">
        <v>44926</v>
      </c>
      <c r="J305" s="101">
        <v>133.83000000000001</v>
      </c>
      <c r="K305" s="101">
        <v>1606.29</v>
      </c>
      <c r="L305" s="101">
        <v>8204.6200000000008</v>
      </c>
      <c r="M305" s="101">
        <v>51700.37</v>
      </c>
      <c r="N305" s="128" t="s">
        <v>1404</v>
      </c>
      <c r="O305" s="92" t="s">
        <v>1405</v>
      </c>
      <c r="P305" s="127"/>
      <c r="Q305" s="127"/>
    </row>
    <row r="306" spans="1:17" ht="15" customHeight="1" x14ac:dyDescent="0.3">
      <c r="B306" s="128" t="s">
        <v>1393</v>
      </c>
      <c r="C306" s="128" t="s">
        <v>446</v>
      </c>
      <c r="D306" s="129">
        <v>43890</v>
      </c>
      <c r="E306" s="129">
        <v>43890</v>
      </c>
      <c r="F306" s="130">
        <v>27927.9</v>
      </c>
      <c r="G306" s="128" t="s">
        <v>1068</v>
      </c>
      <c r="H306" s="102">
        <v>35</v>
      </c>
      <c r="I306" s="129">
        <v>44926</v>
      </c>
      <c r="J306" s="101">
        <v>62.45</v>
      </c>
      <c r="K306" s="101">
        <v>748.85</v>
      </c>
      <c r="L306" s="101">
        <v>3825.06</v>
      </c>
      <c r="M306" s="101">
        <v>24102.84</v>
      </c>
      <c r="N306" s="128" t="s">
        <v>1404</v>
      </c>
      <c r="O306" s="92" t="s">
        <v>1405</v>
      </c>
      <c r="P306" s="127"/>
      <c r="Q306" s="127"/>
    </row>
    <row r="307" spans="1:17" ht="15" customHeight="1" x14ac:dyDescent="0.3">
      <c r="B307" s="128" t="s">
        <v>1394</v>
      </c>
      <c r="C307" s="128" t="s">
        <v>447</v>
      </c>
      <c r="D307" s="129">
        <v>43890</v>
      </c>
      <c r="E307" s="129">
        <v>43890</v>
      </c>
      <c r="F307" s="130">
        <v>458804.99</v>
      </c>
      <c r="G307" s="128" t="s">
        <v>1068</v>
      </c>
      <c r="H307" s="102">
        <v>35</v>
      </c>
      <c r="I307" s="129">
        <v>44926</v>
      </c>
      <c r="J307" s="101">
        <v>1025.24</v>
      </c>
      <c r="K307" s="101">
        <v>12302.33</v>
      </c>
      <c r="L307" s="101">
        <v>62838.38</v>
      </c>
      <c r="M307" s="101">
        <v>395966.61</v>
      </c>
      <c r="N307" s="128" t="s">
        <v>1404</v>
      </c>
      <c r="O307" s="92" t="s">
        <v>1405</v>
      </c>
      <c r="P307" s="127"/>
      <c r="Q307" s="127"/>
    </row>
    <row r="308" spans="1:17" ht="15" customHeight="1" x14ac:dyDescent="0.3">
      <c r="B308" s="128" t="s">
        <v>1395</v>
      </c>
      <c r="C308" s="128" t="s">
        <v>448</v>
      </c>
      <c r="D308" s="129">
        <v>43890</v>
      </c>
      <c r="E308" s="129">
        <v>43890</v>
      </c>
      <c r="F308" s="130">
        <v>352819.24</v>
      </c>
      <c r="G308" s="128" t="s">
        <v>1066</v>
      </c>
      <c r="H308" s="102">
        <v>10</v>
      </c>
      <c r="I308" s="129">
        <v>44926</v>
      </c>
      <c r="J308" s="101">
        <v>2940.16</v>
      </c>
      <c r="K308" s="101">
        <v>35281.919999999998</v>
      </c>
      <c r="L308" s="101">
        <v>99965.440000000002</v>
      </c>
      <c r="M308" s="101">
        <v>252853.8</v>
      </c>
      <c r="N308" s="128" t="s">
        <v>1403</v>
      </c>
      <c r="O308" s="92" t="s">
        <v>1405</v>
      </c>
      <c r="P308" s="127"/>
      <c r="Q308" s="127"/>
    </row>
    <row r="309" spans="1:17" ht="15" customHeight="1" x14ac:dyDescent="0.3">
      <c r="B309" s="128" t="s">
        <v>1396</v>
      </c>
      <c r="C309" s="128" t="s">
        <v>449</v>
      </c>
      <c r="D309" s="129">
        <v>43890</v>
      </c>
      <c r="E309" s="129">
        <v>43890</v>
      </c>
      <c r="F309" s="130">
        <v>465197.48</v>
      </c>
      <c r="G309" s="128" t="s">
        <v>1068</v>
      </c>
      <c r="H309" s="102">
        <v>35</v>
      </c>
      <c r="I309" s="129">
        <v>44926</v>
      </c>
      <c r="J309" s="101">
        <v>1039.46</v>
      </c>
      <c r="K309" s="101">
        <v>12473.74</v>
      </c>
      <c r="L309" s="101">
        <v>63713.97</v>
      </c>
      <c r="M309" s="101">
        <v>401483.51</v>
      </c>
      <c r="N309" s="128" t="s">
        <v>1404</v>
      </c>
      <c r="O309" s="92" t="s">
        <v>1405</v>
      </c>
      <c r="P309" s="125"/>
      <c r="Q309" s="125"/>
    </row>
    <row r="310" spans="1:17" ht="15" customHeight="1" x14ac:dyDescent="0.3">
      <c r="A310" s="122"/>
      <c r="B310" s="128" t="s">
        <v>1397</v>
      </c>
      <c r="C310" s="128" t="s">
        <v>450</v>
      </c>
      <c r="D310" s="129">
        <v>43921</v>
      </c>
      <c r="E310" s="129">
        <v>43921</v>
      </c>
      <c r="F310" s="130">
        <v>160581.67000000001</v>
      </c>
      <c r="G310" s="128" t="s">
        <v>1068</v>
      </c>
      <c r="H310" s="102">
        <v>35</v>
      </c>
      <c r="I310" s="129">
        <v>44926</v>
      </c>
      <c r="J310" s="101">
        <v>362.56</v>
      </c>
      <c r="K310" s="101">
        <v>4351.2700000000004</v>
      </c>
      <c r="L310" s="101">
        <v>20172.68</v>
      </c>
      <c r="M310" s="101">
        <v>140408.99</v>
      </c>
      <c r="N310" s="128" t="s">
        <v>1404</v>
      </c>
      <c r="O310" s="92" t="s">
        <v>1405</v>
      </c>
      <c r="P310" s="127"/>
      <c r="Q310" s="127"/>
    </row>
    <row r="311" spans="1:17" ht="15" customHeight="1" x14ac:dyDescent="0.3">
      <c r="B311" s="128" t="s">
        <v>1398</v>
      </c>
      <c r="C311" s="128" t="s">
        <v>451</v>
      </c>
      <c r="D311" s="129">
        <v>44255</v>
      </c>
      <c r="E311" s="129">
        <v>44255</v>
      </c>
      <c r="F311" s="130">
        <v>20324.419999999998</v>
      </c>
      <c r="G311" s="128" t="s">
        <v>1066</v>
      </c>
      <c r="H311" s="102">
        <v>35</v>
      </c>
      <c r="I311" s="129">
        <v>44926</v>
      </c>
      <c r="J311" s="101">
        <v>48.41</v>
      </c>
      <c r="K311" s="101">
        <v>580.70000000000005</v>
      </c>
      <c r="L311" s="101">
        <v>1064.6099999999999</v>
      </c>
      <c r="M311" s="101">
        <v>19259.810000000001</v>
      </c>
      <c r="N311" s="128" t="s">
        <v>1404</v>
      </c>
      <c r="O311" s="92" t="s">
        <v>1405</v>
      </c>
      <c r="P311" s="127"/>
      <c r="Q311" s="127"/>
    </row>
    <row r="312" spans="1:17" ht="15" customHeight="1" x14ac:dyDescent="0.3">
      <c r="B312" s="128" t="s">
        <v>1399</v>
      </c>
      <c r="C312" s="128" t="s">
        <v>998</v>
      </c>
      <c r="D312" s="129">
        <v>44804</v>
      </c>
      <c r="E312" s="129">
        <v>44804</v>
      </c>
      <c r="F312" s="130">
        <v>34199</v>
      </c>
      <c r="G312" s="128" t="s">
        <v>1066</v>
      </c>
      <c r="H312" s="102">
        <v>10</v>
      </c>
      <c r="I312" s="129">
        <v>44926</v>
      </c>
      <c r="J312" s="101">
        <v>285</v>
      </c>
      <c r="K312" s="101">
        <v>1139.97</v>
      </c>
      <c r="L312" s="101">
        <v>1139.97</v>
      </c>
      <c r="M312" s="101">
        <v>33059.03</v>
      </c>
      <c r="N312" s="128" t="s">
        <v>1403</v>
      </c>
      <c r="O312" s="92" t="s">
        <v>1405</v>
      </c>
      <c r="P312" s="127"/>
      <c r="Q312" s="127"/>
    </row>
    <row r="313" spans="1:17" ht="15" customHeight="1" x14ac:dyDescent="0.3">
      <c r="B313" s="128" t="s">
        <v>1400</v>
      </c>
      <c r="C313" s="128" t="s">
        <v>999</v>
      </c>
      <c r="D313" s="129">
        <v>44834</v>
      </c>
      <c r="E313" s="129">
        <v>44834</v>
      </c>
      <c r="F313" s="130">
        <v>14323.25</v>
      </c>
      <c r="G313" s="128" t="s">
        <v>1066</v>
      </c>
      <c r="H313" s="102">
        <v>35</v>
      </c>
      <c r="I313" s="129">
        <v>44926</v>
      </c>
      <c r="J313" s="101">
        <v>34.11</v>
      </c>
      <c r="K313" s="101">
        <v>102.31</v>
      </c>
      <c r="L313" s="101">
        <v>102.31</v>
      </c>
      <c r="M313" s="101">
        <v>14220.94</v>
      </c>
      <c r="N313" s="128" t="s">
        <v>1404</v>
      </c>
      <c r="O313" s="92" t="s">
        <v>1405</v>
      </c>
      <c r="P313" s="127"/>
      <c r="Q313" s="127"/>
    </row>
    <row r="314" spans="1:17" ht="15" customHeight="1" x14ac:dyDescent="0.3">
      <c r="B314" s="128" t="s">
        <v>1401</v>
      </c>
      <c r="C314" s="128" t="s">
        <v>1000</v>
      </c>
      <c r="D314" s="129">
        <v>44865</v>
      </c>
      <c r="E314" s="129">
        <v>44865</v>
      </c>
      <c r="F314" s="130">
        <v>18127.07</v>
      </c>
      <c r="G314" s="128" t="s">
        <v>1066</v>
      </c>
      <c r="H314" s="102">
        <v>35</v>
      </c>
      <c r="I314" s="129">
        <v>44926</v>
      </c>
      <c r="J314" s="101">
        <v>43.16</v>
      </c>
      <c r="K314" s="101">
        <v>86.32</v>
      </c>
      <c r="L314" s="101">
        <v>86.32</v>
      </c>
      <c r="M314" s="101">
        <v>18040.75</v>
      </c>
      <c r="N314" s="128" t="s">
        <v>1404</v>
      </c>
      <c r="O314" s="92" t="s">
        <v>1405</v>
      </c>
      <c r="P314" s="127"/>
      <c r="Q314" s="127"/>
    </row>
    <row r="315" spans="1:17" ht="15" customHeight="1" x14ac:dyDescent="0.3">
      <c r="B315" s="128" t="s">
        <v>1402</v>
      </c>
      <c r="C315" s="128" t="s">
        <v>1001</v>
      </c>
      <c r="D315" s="129">
        <v>44865</v>
      </c>
      <c r="E315" s="129">
        <v>44865</v>
      </c>
      <c r="F315" s="130">
        <v>16567.009999999998</v>
      </c>
      <c r="G315" s="128" t="s">
        <v>1066</v>
      </c>
      <c r="H315" s="102">
        <v>35</v>
      </c>
      <c r="I315" s="129">
        <v>44926</v>
      </c>
      <c r="J315" s="101">
        <v>39.44</v>
      </c>
      <c r="K315" s="101">
        <v>78.89</v>
      </c>
      <c r="L315" s="101">
        <v>78.89</v>
      </c>
      <c r="M315" s="101">
        <v>16488.12</v>
      </c>
      <c r="N315" s="128" t="s">
        <v>1404</v>
      </c>
      <c r="O315" s="92" t="s">
        <v>1405</v>
      </c>
      <c r="P315" s="127"/>
      <c r="Q315" s="127"/>
    </row>
    <row r="316" spans="1:17" ht="15" customHeight="1" x14ac:dyDescent="0.3">
      <c r="B316" s="128" t="s">
        <v>1406</v>
      </c>
      <c r="C316" s="128" t="s">
        <v>1407</v>
      </c>
      <c r="D316" s="129">
        <v>35796</v>
      </c>
      <c r="E316" s="129">
        <v>36526</v>
      </c>
      <c r="F316" s="130">
        <v>27810</v>
      </c>
      <c r="G316" s="128" t="s">
        <v>1066</v>
      </c>
      <c r="H316" s="102">
        <v>10</v>
      </c>
      <c r="I316" s="129">
        <v>41820</v>
      </c>
      <c r="J316" s="101">
        <v>0</v>
      </c>
      <c r="K316" s="101">
        <v>0</v>
      </c>
      <c r="L316" s="101">
        <v>27810</v>
      </c>
      <c r="M316" s="101">
        <v>0</v>
      </c>
      <c r="N316" s="128" t="s">
        <v>1408</v>
      </c>
      <c r="O316" s="92" t="s">
        <v>1409</v>
      </c>
      <c r="P316" s="127"/>
      <c r="Q316" s="127"/>
    </row>
    <row r="317" spans="1:17" ht="15" customHeight="1" x14ac:dyDescent="0.3">
      <c r="B317" s="128" t="s">
        <v>1410</v>
      </c>
      <c r="C317" s="128" t="s">
        <v>135</v>
      </c>
      <c r="D317" s="129">
        <v>37987</v>
      </c>
      <c r="E317" s="129">
        <v>37987</v>
      </c>
      <c r="F317" s="130">
        <v>34600</v>
      </c>
      <c r="G317" s="128" t="s">
        <v>1068</v>
      </c>
      <c r="H317" s="102">
        <v>21</v>
      </c>
      <c r="I317" s="129">
        <v>44926</v>
      </c>
      <c r="J317" s="101">
        <v>65.44</v>
      </c>
      <c r="K317" s="101">
        <v>785.72</v>
      </c>
      <c r="L317" s="101">
        <v>33026.42</v>
      </c>
      <c r="M317" s="101">
        <v>1573.58</v>
      </c>
      <c r="N317" s="128" t="s">
        <v>1463</v>
      </c>
      <c r="O317" s="92" t="s">
        <v>1465</v>
      </c>
      <c r="P317" s="127"/>
      <c r="Q317" s="127"/>
    </row>
    <row r="318" spans="1:17" ht="15" customHeight="1" x14ac:dyDescent="0.3">
      <c r="B318" s="128" t="s">
        <v>1411</v>
      </c>
      <c r="C318" s="128" t="s">
        <v>136</v>
      </c>
      <c r="D318" s="129">
        <v>37987</v>
      </c>
      <c r="E318" s="129">
        <v>37987</v>
      </c>
      <c r="F318" s="130">
        <v>17000</v>
      </c>
      <c r="G318" s="128" t="s">
        <v>1068</v>
      </c>
      <c r="H318" s="102">
        <v>21</v>
      </c>
      <c r="I318" s="129">
        <v>44926</v>
      </c>
      <c r="J318" s="101">
        <v>24.3</v>
      </c>
      <c r="K318" s="101">
        <v>291.93</v>
      </c>
      <c r="L318" s="101">
        <v>16415.330000000002</v>
      </c>
      <c r="M318" s="101">
        <v>584.66999999999996</v>
      </c>
      <c r="N318" s="128" t="s">
        <v>1463</v>
      </c>
      <c r="O318" s="92" t="s">
        <v>1465</v>
      </c>
      <c r="P318" s="127"/>
      <c r="Q318" s="127"/>
    </row>
    <row r="319" spans="1:17" ht="15" customHeight="1" x14ac:dyDescent="0.3">
      <c r="B319" s="128" t="s">
        <v>1412</v>
      </c>
      <c r="C319" s="128" t="s">
        <v>151</v>
      </c>
      <c r="D319" s="129">
        <v>36526</v>
      </c>
      <c r="E319" s="129">
        <v>36526</v>
      </c>
      <c r="F319" s="130">
        <v>54454.01</v>
      </c>
      <c r="G319" s="128" t="s">
        <v>1068</v>
      </c>
      <c r="H319" s="102">
        <v>15</v>
      </c>
      <c r="I319" s="129">
        <v>42126</v>
      </c>
      <c r="J319" s="101">
        <v>0</v>
      </c>
      <c r="K319" s="101">
        <v>0</v>
      </c>
      <c r="L319" s="101">
        <v>54454.01</v>
      </c>
      <c r="M319" s="101">
        <v>0</v>
      </c>
      <c r="N319" s="128" t="s">
        <v>1463</v>
      </c>
      <c r="O319" s="92" t="s">
        <v>1465</v>
      </c>
      <c r="P319" s="127"/>
      <c r="Q319" s="127"/>
    </row>
    <row r="320" spans="1:17" ht="15" customHeight="1" x14ac:dyDescent="0.3">
      <c r="B320" s="128" t="s">
        <v>1413</v>
      </c>
      <c r="C320" s="128" t="s">
        <v>152</v>
      </c>
      <c r="D320" s="129">
        <v>37257</v>
      </c>
      <c r="E320" s="129">
        <v>37257</v>
      </c>
      <c r="F320" s="130">
        <v>11995</v>
      </c>
      <c r="G320" s="128" t="s">
        <v>1066</v>
      </c>
      <c r="H320" s="102">
        <v>10</v>
      </c>
      <c r="I320" s="129">
        <v>41820</v>
      </c>
      <c r="J320" s="101">
        <v>0</v>
      </c>
      <c r="K320" s="101">
        <v>0</v>
      </c>
      <c r="L320" s="101">
        <v>11995</v>
      </c>
      <c r="M320" s="101">
        <v>0</v>
      </c>
      <c r="N320" s="128" t="s">
        <v>1463</v>
      </c>
      <c r="O320" s="92" t="s">
        <v>1465</v>
      </c>
      <c r="P320" s="131"/>
      <c r="Q320" s="131"/>
    </row>
    <row r="321" spans="1:17" ht="15" customHeight="1" x14ac:dyDescent="0.3">
      <c r="A321" s="122"/>
      <c r="B321" s="128" t="s">
        <v>1414</v>
      </c>
      <c r="C321" s="128" t="s">
        <v>137</v>
      </c>
      <c r="D321" s="129">
        <v>39448</v>
      </c>
      <c r="E321" s="129">
        <v>39448</v>
      </c>
      <c r="F321" s="130">
        <v>12217</v>
      </c>
      <c r="G321" s="128" t="s">
        <v>1066</v>
      </c>
      <c r="H321" s="102">
        <v>10</v>
      </c>
      <c r="I321" s="129">
        <v>43100</v>
      </c>
      <c r="J321" s="101">
        <v>0</v>
      </c>
      <c r="K321" s="101">
        <v>0</v>
      </c>
      <c r="L321" s="101">
        <v>12217</v>
      </c>
      <c r="M321" s="101">
        <v>0</v>
      </c>
      <c r="N321" s="128" t="s">
        <v>1463</v>
      </c>
      <c r="O321" s="92" t="s">
        <v>1465</v>
      </c>
      <c r="P321" s="125"/>
      <c r="Q321" s="125"/>
    </row>
    <row r="322" spans="1:17" ht="15" customHeight="1" x14ac:dyDescent="0.3">
      <c r="B322" s="128" t="s">
        <v>1415</v>
      </c>
      <c r="C322" s="128" t="s">
        <v>138</v>
      </c>
      <c r="D322" s="129">
        <v>39448</v>
      </c>
      <c r="E322" s="129">
        <v>39448</v>
      </c>
      <c r="F322" s="130">
        <v>8998</v>
      </c>
      <c r="G322" s="128" t="s">
        <v>1066</v>
      </c>
      <c r="H322" s="102">
        <v>10</v>
      </c>
      <c r="I322" s="129">
        <v>43100</v>
      </c>
      <c r="J322" s="101">
        <v>0</v>
      </c>
      <c r="K322" s="101">
        <v>0</v>
      </c>
      <c r="L322" s="101">
        <v>8998</v>
      </c>
      <c r="M322" s="101">
        <v>0</v>
      </c>
      <c r="N322" s="128" t="s">
        <v>1463</v>
      </c>
      <c r="O322" s="92" t="s">
        <v>1465</v>
      </c>
    </row>
    <row r="323" spans="1:17" ht="15" customHeight="1" x14ac:dyDescent="0.3">
      <c r="B323" s="128" t="s">
        <v>1416</v>
      </c>
      <c r="C323" s="128" t="s">
        <v>140</v>
      </c>
      <c r="D323" s="129">
        <v>39814</v>
      </c>
      <c r="E323" s="129">
        <v>39814</v>
      </c>
      <c r="F323" s="130">
        <v>2024.17</v>
      </c>
      <c r="G323" s="128" t="s">
        <v>1066</v>
      </c>
      <c r="H323" s="102">
        <v>7</v>
      </c>
      <c r="I323" s="129">
        <v>42369</v>
      </c>
      <c r="J323" s="101">
        <v>0</v>
      </c>
      <c r="K323" s="101">
        <v>0</v>
      </c>
      <c r="L323" s="101">
        <v>2024.17</v>
      </c>
      <c r="M323" s="101">
        <v>0</v>
      </c>
      <c r="N323" s="128" t="s">
        <v>1463</v>
      </c>
      <c r="O323" s="92" t="s">
        <v>1465</v>
      </c>
    </row>
    <row r="324" spans="1:17" ht="15" customHeight="1" x14ac:dyDescent="0.3">
      <c r="B324" s="128" t="s">
        <v>1417</v>
      </c>
      <c r="C324" s="128" t="s">
        <v>141</v>
      </c>
      <c r="D324" s="129">
        <v>39814</v>
      </c>
      <c r="E324" s="129">
        <v>39814</v>
      </c>
      <c r="F324" s="130">
        <v>9024.27</v>
      </c>
      <c r="G324" s="128" t="s">
        <v>1066</v>
      </c>
      <c r="H324" s="102">
        <v>7</v>
      </c>
      <c r="I324" s="129">
        <v>42369</v>
      </c>
      <c r="J324" s="101">
        <v>0</v>
      </c>
      <c r="K324" s="101">
        <v>0</v>
      </c>
      <c r="L324" s="101">
        <v>9024.27</v>
      </c>
      <c r="M324" s="101">
        <v>0</v>
      </c>
      <c r="N324" s="128" t="s">
        <v>1463</v>
      </c>
      <c r="O324" s="92" t="s">
        <v>1465</v>
      </c>
    </row>
    <row r="325" spans="1:17" ht="15" customHeight="1" x14ac:dyDescent="0.3">
      <c r="A325" s="122"/>
      <c r="B325" s="128" t="s">
        <v>1418</v>
      </c>
      <c r="C325" s="128" t="s">
        <v>142</v>
      </c>
      <c r="D325" s="129">
        <v>39814</v>
      </c>
      <c r="E325" s="129">
        <v>39814</v>
      </c>
      <c r="F325" s="130">
        <v>7527</v>
      </c>
      <c r="G325" s="128" t="s">
        <v>1066</v>
      </c>
      <c r="H325" s="102">
        <v>7</v>
      </c>
      <c r="I325" s="129">
        <v>42369</v>
      </c>
      <c r="J325" s="101">
        <v>0</v>
      </c>
      <c r="K325" s="101">
        <v>0</v>
      </c>
      <c r="L325" s="101">
        <v>7527</v>
      </c>
      <c r="M325" s="101">
        <v>0</v>
      </c>
      <c r="N325" s="128" t="s">
        <v>1463</v>
      </c>
      <c r="O325" s="92" t="s">
        <v>1465</v>
      </c>
      <c r="P325" s="122"/>
      <c r="Q325" s="122"/>
    </row>
    <row r="326" spans="1:17" ht="15" customHeight="1" x14ac:dyDescent="0.3">
      <c r="B326" s="128" t="s">
        <v>1419</v>
      </c>
      <c r="C326" s="128" t="s">
        <v>452</v>
      </c>
      <c r="D326" s="129">
        <v>40009</v>
      </c>
      <c r="E326" s="129">
        <v>40009</v>
      </c>
      <c r="F326" s="130">
        <v>5991.61</v>
      </c>
      <c r="G326" s="128" t="s">
        <v>1066</v>
      </c>
      <c r="H326" s="102">
        <v>7</v>
      </c>
      <c r="I326" s="129">
        <v>42551</v>
      </c>
      <c r="J326" s="101">
        <v>0</v>
      </c>
      <c r="K326" s="101">
        <v>0</v>
      </c>
      <c r="L326" s="101">
        <v>5991.61</v>
      </c>
      <c r="M326" s="101">
        <v>0</v>
      </c>
      <c r="N326" s="128" t="s">
        <v>1463</v>
      </c>
      <c r="O326" s="92" t="s">
        <v>1465</v>
      </c>
    </row>
    <row r="327" spans="1:17" ht="15" customHeight="1" x14ac:dyDescent="0.3">
      <c r="B327" s="128" t="s">
        <v>1420</v>
      </c>
      <c r="C327" s="128" t="s">
        <v>453</v>
      </c>
      <c r="D327" s="129">
        <v>40268</v>
      </c>
      <c r="E327" s="129">
        <v>40268</v>
      </c>
      <c r="F327" s="130">
        <v>1842.55</v>
      </c>
      <c r="G327" s="128" t="s">
        <v>1066</v>
      </c>
      <c r="H327" s="102">
        <v>7</v>
      </c>
      <c r="I327" s="129">
        <v>42825</v>
      </c>
      <c r="J327" s="101">
        <v>0</v>
      </c>
      <c r="K327" s="101">
        <v>0</v>
      </c>
      <c r="L327" s="101">
        <v>1842.55</v>
      </c>
      <c r="M327" s="101">
        <v>0</v>
      </c>
      <c r="N327" s="128" t="s">
        <v>1463</v>
      </c>
      <c r="O327" s="92" t="s">
        <v>1465</v>
      </c>
    </row>
    <row r="328" spans="1:17" ht="15" customHeight="1" x14ac:dyDescent="0.3">
      <c r="B328" s="128" t="s">
        <v>1421</v>
      </c>
      <c r="C328" s="128" t="s">
        <v>174</v>
      </c>
      <c r="D328" s="129">
        <v>40329</v>
      </c>
      <c r="E328" s="129">
        <v>40329</v>
      </c>
      <c r="F328" s="130">
        <v>4444.01</v>
      </c>
      <c r="G328" s="128" t="s">
        <v>1066</v>
      </c>
      <c r="H328" s="102">
        <v>10</v>
      </c>
      <c r="I328" s="129">
        <v>43982</v>
      </c>
      <c r="J328" s="101">
        <v>0</v>
      </c>
      <c r="K328" s="101">
        <v>0</v>
      </c>
      <c r="L328" s="101">
        <v>4444.01</v>
      </c>
      <c r="M328" s="101">
        <v>0</v>
      </c>
      <c r="N328" s="128" t="s">
        <v>1463</v>
      </c>
      <c r="O328" s="92" t="s">
        <v>1465</v>
      </c>
    </row>
    <row r="329" spans="1:17" ht="15" customHeight="1" x14ac:dyDescent="0.3">
      <c r="B329" s="128" t="s">
        <v>1422</v>
      </c>
      <c r="C329" s="128" t="s">
        <v>454</v>
      </c>
      <c r="D329" s="129">
        <v>40421</v>
      </c>
      <c r="E329" s="129">
        <v>40421</v>
      </c>
      <c r="F329" s="130">
        <v>17163.810000000001</v>
      </c>
      <c r="G329" s="128" t="s">
        <v>1066</v>
      </c>
      <c r="H329" s="102">
        <v>10</v>
      </c>
      <c r="I329" s="129">
        <v>44074</v>
      </c>
      <c r="J329" s="101">
        <v>0</v>
      </c>
      <c r="K329" s="101">
        <v>0</v>
      </c>
      <c r="L329" s="101">
        <v>17163.810000000001</v>
      </c>
      <c r="M329" s="101">
        <v>0</v>
      </c>
      <c r="N329" s="128" t="s">
        <v>1463</v>
      </c>
      <c r="O329" s="92" t="s">
        <v>1465</v>
      </c>
    </row>
    <row r="330" spans="1:17" ht="15" customHeight="1" x14ac:dyDescent="0.3">
      <c r="B330" s="128" t="s">
        <v>1423</v>
      </c>
      <c r="C330" s="128" t="s">
        <v>177</v>
      </c>
      <c r="D330" s="129">
        <v>40421</v>
      </c>
      <c r="E330" s="129">
        <v>40421</v>
      </c>
      <c r="F330" s="130">
        <v>10939</v>
      </c>
      <c r="G330" s="128" t="s">
        <v>1066</v>
      </c>
      <c r="H330" s="102">
        <v>10</v>
      </c>
      <c r="I330" s="129">
        <v>44074</v>
      </c>
      <c r="J330" s="101">
        <v>0</v>
      </c>
      <c r="K330" s="101">
        <v>0</v>
      </c>
      <c r="L330" s="101">
        <v>10939</v>
      </c>
      <c r="M330" s="101">
        <v>0</v>
      </c>
      <c r="N330" s="128" t="s">
        <v>1463</v>
      </c>
      <c r="O330" s="92" t="s">
        <v>1465</v>
      </c>
    </row>
    <row r="331" spans="1:17" ht="15" customHeight="1" x14ac:dyDescent="0.3">
      <c r="B331" s="128" t="s">
        <v>1424</v>
      </c>
      <c r="C331" s="128" t="s">
        <v>455</v>
      </c>
      <c r="D331" s="129">
        <v>40694</v>
      </c>
      <c r="E331" s="129">
        <v>40694</v>
      </c>
      <c r="F331" s="130">
        <v>798.5</v>
      </c>
      <c r="G331" s="128" t="s">
        <v>1066</v>
      </c>
      <c r="H331" s="102">
        <v>7</v>
      </c>
      <c r="I331" s="129">
        <v>43251</v>
      </c>
      <c r="J331" s="101">
        <v>0</v>
      </c>
      <c r="K331" s="101">
        <v>0</v>
      </c>
      <c r="L331" s="101">
        <v>798.5</v>
      </c>
      <c r="M331" s="101">
        <v>0</v>
      </c>
      <c r="N331" s="128" t="s">
        <v>1463</v>
      </c>
      <c r="O331" s="92" t="s">
        <v>1465</v>
      </c>
    </row>
    <row r="332" spans="1:17" ht="15" customHeight="1" x14ac:dyDescent="0.3">
      <c r="B332" s="128" t="s">
        <v>1425</v>
      </c>
      <c r="C332" s="128" t="s">
        <v>456</v>
      </c>
      <c r="D332" s="129">
        <v>40786</v>
      </c>
      <c r="E332" s="129">
        <v>40786</v>
      </c>
      <c r="F332" s="130">
        <v>5075</v>
      </c>
      <c r="G332" s="128" t="s">
        <v>1066</v>
      </c>
      <c r="H332" s="102">
        <v>15</v>
      </c>
      <c r="I332" s="129">
        <v>44926</v>
      </c>
      <c r="J332" s="101">
        <v>28.24</v>
      </c>
      <c r="K332" s="101">
        <v>338.33</v>
      </c>
      <c r="L332" s="101">
        <v>3834.41</v>
      </c>
      <c r="M332" s="101">
        <v>1240.5899999999999</v>
      </c>
      <c r="N332" s="128" t="s">
        <v>1463</v>
      </c>
      <c r="O332" s="92" t="s">
        <v>1465</v>
      </c>
    </row>
    <row r="333" spans="1:17" ht="15" customHeight="1" x14ac:dyDescent="0.3">
      <c r="B333" s="128" t="s">
        <v>1426</v>
      </c>
      <c r="C333" s="128" t="s">
        <v>457</v>
      </c>
      <c r="D333" s="129">
        <v>40999</v>
      </c>
      <c r="E333" s="129">
        <v>40999</v>
      </c>
      <c r="F333" s="130">
        <v>699.53</v>
      </c>
      <c r="G333" s="128" t="s">
        <v>1066</v>
      </c>
      <c r="H333" s="102">
        <v>15</v>
      </c>
      <c r="I333" s="129">
        <v>44926</v>
      </c>
      <c r="J333" s="101">
        <v>3.85</v>
      </c>
      <c r="K333" s="101">
        <v>46.64</v>
      </c>
      <c r="L333" s="101">
        <v>501.38</v>
      </c>
      <c r="M333" s="101">
        <v>198.15</v>
      </c>
      <c r="N333" s="128" t="s">
        <v>1463</v>
      </c>
      <c r="O333" s="92" t="s">
        <v>1465</v>
      </c>
    </row>
    <row r="334" spans="1:17" ht="15" customHeight="1" x14ac:dyDescent="0.3">
      <c r="B334" s="128" t="s">
        <v>1427</v>
      </c>
      <c r="C334" s="128" t="s">
        <v>458</v>
      </c>
      <c r="D334" s="129">
        <v>40999</v>
      </c>
      <c r="E334" s="129">
        <v>40999</v>
      </c>
      <c r="F334" s="130">
        <v>610.5</v>
      </c>
      <c r="G334" s="128" t="s">
        <v>1066</v>
      </c>
      <c r="H334" s="102">
        <v>15</v>
      </c>
      <c r="I334" s="129">
        <v>44926</v>
      </c>
      <c r="J334" s="101">
        <v>3.41</v>
      </c>
      <c r="K334" s="101">
        <v>40.700000000000003</v>
      </c>
      <c r="L334" s="101">
        <v>437.53</v>
      </c>
      <c r="M334" s="101">
        <v>172.97</v>
      </c>
      <c r="N334" s="128" t="s">
        <v>1463</v>
      </c>
      <c r="O334" s="92" t="s">
        <v>1465</v>
      </c>
    </row>
    <row r="335" spans="1:17" ht="15" customHeight="1" x14ac:dyDescent="0.3">
      <c r="B335" s="128" t="s">
        <v>1428</v>
      </c>
      <c r="C335" s="128" t="s">
        <v>209</v>
      </c>
      <c r="D335" s="129">
        <v>41060</v>
      </c>
      <c r="E335" s="129">
        <v>41060</v>
      </c>
      <c r="F335" s="130">
        <v>1400</v>
      </c>
      <c r="G335" s="128" t="s">
        <v>1066</v>
      </c>
      <c r="H335" s="102">
        <v>10</v>
      </c>
      <c r="I335" s="129">
        <v>44712</v>
      </c>
      <c r="J335" s="101">
        <v>0</v>
      </c>
      <c r="K335" s="101">
        <v>58.33</v>
      </c>
      <c r="L335" s="101">
        <v>1400</v>
      </c>
      <c r="M335" s="101">
        <v>0</v>
      </c>
      <c r="N335" s="128" t="s">
        <v>1463</v>
      </c>
      <c r="O335" s="92" t="s">
        <v>1465</v>
      </c>
    </row>
    <row r="336" spans="1:17" ht="15" customHeight="1" x14ac:dyDescent="0.3">
      <c r="B336" s="128" t="s">
        <v>1429</v>
      </c>
      <c r="C336" s="128" t="s">
        <v>459</v>
      </c>
      <c r="D336" s="129">
        <v>41060</v>
      </c>
      <c r="E336" s="129">
        <v>41060</v>
      </c>
      <c r="F336" s="130">
        <v>1400</v>
      </c>
      <c r="G336" s="128" t="s">
        <v>1066</v>
      </c>
      <c r="H336" s="102">
        <v>10</v>
      </c>
      <c r="I336" s="129">
        <v>44712</v>
      </c>
      <c r="J336" s="101">
        <v>0</v>
      </c>
      <c r="K336" s="101">
        <v>58.33</v>
      </c>
      <c r="L336" s="101">
        <v>1400</v>
      </c>
      <c r="M336" s="101">
        <v>0</v>
      </c>
      <c r="N336" s="128" t="s">
        <v>1463</v>
      </c>
      <c r="O336" s="92" t="s">
        <v>1465</v>
      </c>
    </row>
    <row r="337" spans="2:15" ht="15" customHeight="1" x14ac:dyDescent="0.3">
      <c r="B337" s="128" t="s">
        <v>1430</v>
      </c>
      <c r="C337" s="128" t="s">
        <v>460</v>
      </c>
      <c r="D337" s="129">
        <v>41090</v>
      </c>
      <c r="E337" s="129">
        <v>41090</v>
      </c>
      <c r="F337" s="130">
        <v>17980</v>
      </c>
      <c r="G337" s="128" t="s">
        <v>1066</v>
      </c>
      <c r="H337" s="102">
        <v>10</v>
      </c>
      <c r="I337" s="129">
        <v>44742</v>
      </c>
      <c r="J337" s="101">
        <v>0</v>
      </c>
      <c r="K337" s="101">
        <v>899</v>
      </c>
      <c r="L337" s="101">
        <v>17980</v>
      </c>
      <c r="M337" s="101">
        <v>0</v>
      </c>
      <c r="N337" s="128" t="s">
        <v>1463</v>
      </c>
      <c r="O337" s="92" t="s">
        <v>1465</v>
      </c>
    </row>
    <row r="338" spans="2:15" ht="15" customHeight="1" x14ac:dyDescent="0.3">
      <c r="B338" s="128" t="s">
        <v>1431</v>
      </c>
      <c r="C338" s="128" t="s">
        <v>210</v>
      </c>
      <c r="D338" s="129">
        <v>41152</v>
      </c>
      <c r="E338" s="129">
        <v>41152</v>
      </c>
      <c r="F338" s="130">
        <v>3105.54</v>
      </c>
      <c r="G338" s="128" t="s">
        <v>1066</v>
      </c>
      <c r="H338" s="102">
        <v>7</v>
      </c>
      <c r="I338" s="129">
        <v>43708</v>
      </c>
      <c r="J338" s="101">
        <v>0</v>
      </c>
      <c r="K338" s="101">
        <v>0</v>
      </c>
      <c r="L338" s="101">
        <v>3105.54</v>
      </c>
      <c r="M338" s="101">
        <v>0</v>
      </c>
      <c r="N338" s="128" t="s">
        <v>1463</v>
      </c>
      <c r="O338" s="92" t="s">
        <v>1465</v>
      </c>
    </row>
    <row r="339" spans="2:15" ht="15" customHeight="1" x14ac:dyDescent="0.3">
      <c r="B339" s="128" t="s">
        <v>1432</v>
      </c>
      <c r="C339" s="128" t="s">
        <v>211</v>
      </c>
      <c r="D339" s="129">
        <v>41274</v>
      </c>
      <c r="E339" s="129">
        <v>41274</v>
      </c>
      <c r="F339" s="130">
        <v>1011.2</v>
      </c>
      <c r="G339" s="128" t="s">
        <v>1066</v>
      </c>
      <c r="H339" s="102">
        <v>10</v>
      </c>
      <c r="I339" s="129">
        <v>44926</v>
      </c>
      <c r="J339" s="101">
        <v>8.39</v>
      </c>
      <c r="K339" s="101">
        <v>101.12</v>
      </c>
      <c r="L339" s="101">
        <v>1011.2</v>
      </c>
      <c r="M339" s="101">
        <v>0</v>
      </c>
      <c r="N339" s="128" t="s">
        <v>1463</v>
      </c>
      <c r="O339" s="92" t="s">
        <v>1465</v>
      </c>
    </row>
    <row r="340" spans="2:15" ht="15" customHeight="1" x14ac:dyDescent="0.3">
      <c r="B340" s="128" t="s">
        <v>1433</v>
      </c>
      <c r="C340" s="128" t="s">
        <v>461</v>
      </c>
      <c r="D340" s="129">
        <v>41364</v>
      </c>
      <c r="E340" s="129">
        <v>41364</v>
      </c>
      <c r="F340" s="130">
        <v>224.64</v>
      </c>
      <c r="G340" s="128" t="s">
        <v>1066</v>
      </c>
      <c r="H340" s="102">
        <v>5</v>
      </c>
      <c r="I340" s="129">
        <v>43190</v>
      </c>
      <c r="J340" s="101">
        <v>0</v>
      </c>
      <c r="K340" s="101">
        <v>0</v>
      </c>
      <c r="L340" s="101">
        <v>224.64</v>
      </c>
      <c r="M340" s="101">
        <v>0</v>
      </c>
      <c r="N340" s="128" t="s">
        <v>1463</v>
      </c>
      <c r="O340" s="92" t="s">
        <v>1465</v>
      </c>
    </row>
    <row r="341" spans="2:15" ht="15" customHeight="1" x14ac:dyDescent="0.3">
      <c r="B341" s="128" t="s">
        <v>1434</v>
      </c>
      <c r="C341" s="128" t="s">
        <v>462</v>
      </c>
      <c r="D341" s="129">
        <v>41394</v>
      </c>
      <c r="E341" s="129">
        <v>41394</v>
      </c>
      <c r="F341" s="130">
        <v>3199.36</v>
      </c>
      <c r="G341" s="128" t="s">
        <v>1066</v>
      </c>
      <c r="H341" s="102">
        <v>10</v>
      </c>
      <c r="I341" s="129">
        <v>44926</v>
      </c>
      <c r="J341" s="101">
        <v>26.68</v>
      </c>
      <c r="K341" s="101">
        <v>319.94</v>
      </c>
      <c r="L341" s="101">
        <v>3092.75</v>
      </c>
      <c r="M341" s="101">
        <v>106.61</v>
      </c>
      <c r="N341" s="128" t="s">
        <v>1463</v>
      </c>
      <c r="O341" s="92" t="s">
        <v>1465</v>
      </c>
    </row>
    <row r="342" spans="2:15" ht="15" customHeight="1" x14ac:dyDescent="0.3">
      <c r="B342" s="128" t="s">
        <v>1435</v>
      </c>
      <c r="C342" s="128" t="s">
        <v>463</v>
      </c>
      <c r="D342" s="129">
        <v>41395</v>
      </c>
      <c r="E342" s="129">
        <v>41395</v>
      </c>
      <c r="F342" s="130">
        <v>3765.41</v>
      </c>
      <c r="G342" s="128" t="s">
        <v>1066</v>
      </c>
      <c r="H342" s="102">
        <v>10</v>
      </c>
      <c r="I342" s="129">
        <v>44926</v>
      </c>
      <c r="J342" s="101">
        <v>31.36</v>
      </c>
      <c r="K342" s="101">
        <v>376.54</v>
      </c>
      <c r="L342" s="101">
        <v>3639.89</v>
      </c>
      <c r="M342" s="101">
        <v>125.52</v>
      </c>
      <c r="N342" s="128" t="s">
        <v>1463</v>
      </c>
      <c r="O342" s="92" t="s">
        <v>1465</v>
      </c>
    </row>
    <row r="343" spans="2:15" ht="15" customHeight="1" x14ac:dyDescent="0.3">
      <c r="B343" s="128" t="s">
        <v>1436</v>
      </c>
      <c r="C343" s="128" t="s">
        <v>464</v>
      </c>
      <c r="D343" s="129">
        <v>41486</v>
      </c>
      <c r="E343" s="129">
        <v>41486</v>
      </c>
      <c r="F343" s="130">
        <v>3339.58</v>
      </c>
      <c r="G343" s="128" t="s">
        <v>1066</v>
      </c>
      <c r="H343" s="102">
        <v>10</v>
      </c>
      <c r="I343" s="129">
        <v>44926</v>
      </c>
      <c r="J343" s="101">
        <v>27.83</v>
      </c>
      <c r="K343" s="101">
        <v>333.96</v>
      </c>
      <c r="L343" s="101">
        <v>3144.79</v>
      </c>
      <c r="M343" s="101">
        <v>194.79</v>
      </c>
      <c r="N343" s="128" t="s">
        <v>1463</v>
      </c>
      <c r="O343" s="92" t="s">
        <v>1465</v>
      </c>
    </row>
    <row r="344" spans="2:15" ht="15" customHeight="1" x14ac:dyDescent="0.3">
      <c r="B344" s="128" t="s">
        <v>1437</v>
      </c>
      <c r="C344" s="128" t="s">
        <v>465</v>
      </c>
      <c r="D344" s="129">
        <v>41517</v>
      </c>
      <c r="E344" s="129">
        <v>41517</v>
      </c>
      <c r="F344" s="130">
        <v>11423.54</v>
      </c>
      <c r="G344" s="128" t="s">
        <v>1066</v>
      </c>
      <c r="H344" s="102">
        <v>10</v>
      </c>
      <c r="I344" s="129">
        <v>44926</v>
      </c>
      <c r="J344" s="101">
        <v>95.15</v>
      </c>
      <c r="K344" s="101">
        <v>1142.3499999999999</v>
      </c>
      <c r="L344" s="101">
        <v>10661.94</v>
      </c>
      <c r="M344" s="101">
        <v>761.6</v>
      </c>
      <c r="N344" s="128" t="s">
        <v>1463</v>
      </c>
      <c r="O344" s="92" t="s">
        <v>1465</v>
      </c>
    </row>
    <row r="345" spans="2:15" ht="15" customHeight="1" x14ac:dyDescent="0.3">
      <c r="B345" s="128" t="s">
        <v>1438</v>
      </c>
      <c r="C345" s="128" t="s">
        <v>466</v>
      </c>
      <c r="D345" s="129">
        <v>41851</v>
      </c>
      <c r="E345" s="129">
        <v>41851</v>
      </c>
      <c r="F345" s="130">
        <v>395</v>
      </c>
      <c r="G345" s="128" t="s">
        <v>1066</v>
      </c>
      <c r="H345" s="102">
        <v>10</v>
      </c>
      <c r="I345" s="129">
        <v>44926</v>
      </c>
      <c r="J345" s="101">
        <v>3.31</v>
      </c>
      <c r="K345" s="101">
        <v>39.5</v>
      </c>
      <c r="L345" s="101">
        <v>332.46</v>
      </c>
      <c r="M345" s="101">
        <v>62.54</v>
      </c>
      <c r="N345" s="128" t="s">
        <v>1463</v>
      </c>
      <c r="O345" s="92" t="s">
        <v>1465</v>
      </c>
    </row>
    <row r="346" spans="2:15" ht="15" customHeight="1" x14ac:dyDescent="0.3">
      <c r="B346" s="128" t="s">
        <v>1439</v>
      </c>
      <c r="C346" s="128" t="s">
        <v>467</v>
      </c>
      <c r="D346" s="129">
        <v>41882</v>
      </c>
      <c r="E346" s="129">
        <v>41882</v>
      </c>
      <c r="F346" s="130">
        <v>11525.53</v>
      </c>
      <c r="G346" s="128" t="s">
        <v>1066</v>
      </c>
      <c r="H346" s="102">
        <v>10</v>
      </c>
      <c r="I346" s="129">
        <v>44926</v>
      </c>
      <c r="J346" s="101">
        <v>96</v>
      </c>
      <c r="K346" s="101">
        <v>1152.55</v>
      </c>
      <c r="L346" s="101">
        <v>9604.58</v>
      </c>
      <c r="M346" s="101">
        <v>1920.95</v>
      </c>
      <c r="N346" s="128" t="s">
        <v>1463</v>
      </c>
      <c r="O346" s="92" t="s">
        <v>1465</v>
      </c>
    </row>
    <row r="347" spans="2:15" ht="15" customHeight="1" x14ac:dyDescent="0.3">
      <c r="B347" s="128" t="s">
        <v>1440</v>
      </c>
      <c r="C347" s="128" t="s">
        <v>468</v>
      </c>
      <c r="D347" s="129">
        <v>41912</v>
      </c>
      <c r="E347" s="129">
        <v>41912</v>
      </c>
      <c r="F347" s="130">
        <v>15000</v>
      </c>
      <c r="G347" s="128" t="s">
        <v>1066</v>
      </c>
      <c r="H347" s="102">
        <v>10</v>
      </c>
      <c r="I347" s="129">
        <v>44926</v>
      </c>
      <c r="J347" s="101">
        <v>125</v>
      </c>
      <c r="K347" s="101">
        <v>1500</v>
      </c>
      <c r="L347" s="101">
        <v>12375</v>
      </c>
      <c r="M347" s="101">
        <v>2625</v>
      </c>
      <c r="N347" s="128" t="s">
        <v>1463</v>
      </c>
      <c r="O347" s="92" t="s">
        <v>1465</v>
      </c>
    </row>
    <row r="348" spans="2:15" ht="15" customHeight="1" x14ac:dyDescent="0.3">
      <c r="B348" s="128" t="s">
        <v>1441</v>
      </c>
      <c r="C348" s="128" t="s">
        <v>469</v>
      </c>
      <c r="D348" s="129">
        <v>41973</v>
      </c>
      <c r="E348" s="129">
        <v>41973</v>
      </c>
      <c r="F348" s="130">
        <v>1895</v>
      </c>
      <c r="G348" s="128" t="s">
        <v>1066</v>
      </c>
      <c r="H348" s="102">
        <v>10</v>
      </c>
      <c r="I348" s="129">
        <v>44926</v>
      </c>
      <c r="J348" s="101">
        <v>15.81</v>
      </c>
      <c r="K348" s="101">
        <v>189.5</v>
      </c>
      <c r="L348" s="101">
        <v>1531.79</v>
      </c>
      <c r="M348" s="101">
        <v>363.21</v>
      </c>
      <c r="N348" s="128" t="s">
        <v>1463</v>
      </c>
      <c r="O348" s="92" t="s">
        <v>1465</v>
      </c>
    </row>
    <row r="349" spans="2:15" ht="15" customHeight="1" x14ac:dyDescent="0.3">
      <c r="B349" s="128" t="s">
        <v>1442</v>
      </c>
      <c r="C349" s="128" t="s">
        <v>470</v>
      </c>
      <c r="D349" s="129">
        <v>42004</v>
      </c>
      <c r="E349" s="129">
        <v>42004</v>
      </c>
      <c r="F349" s="130">
        <v>13352.51</v>
      </c>
      <c r="G349" s="128" t="s">
        <v>1066</v>
      </c>
      <c r="H349" s="102">
        <v>10</v>
      </c>
      <c r="I349" s="129">
        <v>44926</v>
      </c>
      <c r="J349" s="101">
        <v>111.28</v>
      </c>
      <c r="K349" s="101">
        <v>1335.25</v>
      </c>
      <c r="L349" s="101">
        <v>10682</v>
      </c>
      <c r="M349" s="101">
        <v>2670.51</v>
      </c>
      <c r="N349" s="128" t="s">
        <v>1463</v>
      </c>
      <c r="O349" s="92" t="s">
        <v>1465</v>
      </c>
    </row>
    <row r="350" spans="2:15" ht="15" customHeight="1" x14ac:dyDescent="0.3">
      <c r="B350" s="128" t="s">
        <v>1443</v>
      </c>
      <c r="C350" s="128" t="s">
        <v>471</v>
      </c>
      <c r="D350" s="129">
        <v>42004</v>
      </c>
      <c r="E350" s="129">
        <v>42004</v>
      </c>
      <c r="F350" s="130">
        <v>18975</v>
      </c>
      <c r="G350" s="128" t="s">
        <v>1066</v>
      </c>
      <c r="H350" s="102">
        <v>5</v>
      </c>
      <c r="I350" s="129">
        <v>43830</v>
      </c>
      <c r="J350" s="101">
        <v>0</v>
      </c>
      <c r="K350" s="101">
        <v>0</v>
      </c>
      <c r="L350" s="101">
        <v>18975</v>
      </c>
      <c r="M350" s="101">
        <v>0</v>
      </c>
      <c r="N350" s="128" t="s">
        <v>1463</v>
      </c>
      <c r="O350" s="92" t="s">
        <v>1465</v>
      </c>
    </row>
    <row r="351" spans="2:15" ht="15" customHeight="1" x14ac:dyDescent="0.3">
      <c r="B351" s="128" t="s">
        <v>1444</v>
      </c>
      <c r="C351" s="128" t="s">
        <v>472</v>
      </c>
      <c r="D351" s="129">
        <v>42004</v>
      </c>
      <c r="E351" s="129">
        <v>42004</v>
      </c>
      <c r="F351" s="130">
        <v>1041.8</v>
      </c>
      <c r="G351" s="128" t="s">
        <v>1066</v>
      </c>
      <c r="H351" s="102">
        <v>5</v>
      </c>
      <c r="I351" s="129">
        <v>43830</v>
      </c>
      <c r="J351" s="101">
        <v>0</v>
      </c>
      <c r="K351" s="101">
        <v>0</v>
      </c>
      <c r="L351" s="101">
        <v>1041.8</v>
      </c>
      <c r="M351" s="101">
        <v>0</v>
      </c>
      <c r="N351" s="128" t="s">
        <v>1463</v>
      </c>
      <c r="O351" s="92" t="s">
        <v>1465</v>
      </c>
    </row>
    <row r="352" spans="2:15" ht="15" customHeight="1" x14ac:dyDescent="0.3">
      <c r="B352" s="128" t="s">
        <v>1445</v>
      </c>
      <c r="C352" s="128" t="s">
        <v>473</v>
      </c>
      <c r="D352" s="129">
        <v>42247</v>
      </c>
      <c r="E352" s="129">
        <v>42247</v>
      </c>
      <c r="F352" s="130">
        <v>44510</v>
      </c>
      <c r="G352" s="128" t="s">
        <v>1066</v>
      </c>
      <c r="H352" s="102">
        <v>10</v>
      </c>
      <c r="I352" s="129">
        <v>44926</v>
      </c>
      <c r="J352" s="101">
        <v>370.88</v>
      </c>
      <c r="K352" s="101">
        <v>4451</v>
      </c>
      <c r="L352" s="101">
        <v>32640.67</v>
      </c>
      <c r="M352" s="101">
        <v>11869.33</v>
      </c>
      <c r="N352" s="128" t="s">
        <v>1463</v>
      </c>
      <c r="O352" s="92" t="s">
        <v>1465</v>
      </c>
    </row>
    <row r="353" spans="2:15" ht="15" customHeight="1" x14ac:dyDescent="0.3">
      <c r="B353" s="128" t="s">
        <v>1446</v>
      </c>
      <c r="C353" s="128" t="s">
        <v>474</v>
      </c>
      <c r="D353" s="129">
        <v>42277</v>
      </c>
      <c r="E353" s="129">
        <v>42277</v>
      </c>
      <c r="F353" s="130">
        <v>1228.95</v>
      </c>
      <c r="G353" s="128" t="s">
        <v>1066</v>
      </c>
      <c r="H353" s="102">
        <v>15</v>
      </c>
      <c r="I353" s="129">
        <v>44926</v>
      </c>
      <c r="J353" s="101">
        <v>6.8</v>
      </c>
      <c r="K353" s="101">
        <v>81.93</v>
      </c>
      <c r="L353" s="101">
        <v>593.99</v>
      </c>
      <c r="M353" s="101">
        <v>634.96</v>
      </c>
      <c r="N353" s="128" t="s">
        <v>1463</v>
      </c>
      <c r="O353" s="92" t="s">
        <v>1465</v>
      </c>
    </row>
    <row r="354" spans="2:15" ht="15" customHeight="1" x14ac:dyDescent="0.3">
      <c r="B354" s="128" t="s">
        <v>1447</v>
      </c>
      <c r="C354" s="128" t="s">
        <v>475</v>
      </c>
      <c r="D354" s="129">
        <v>42338</v>
      </c>
      <c r="E354" s="129">
        <v>42338</v>
      </c>
      <c r="F354" s="130">
        <v>17870</v>
      </c>
      <c r="G354" s="128" t="s">
        <v>1066</v>
      </c>
      <c r="H354" s="102">
        <v>5</v>
      </c>
      <c r="I354" s="129">
        <v>44165</v>
      </c>
      <c r="J354" s="101">
        <v>0</v>
      </c>
      <c r="K354" s="101">
        <v>0</v>
      </c>
      <c r="L354" s="101">
        <v>17870</v>
      </c>
      <c r="M354" s="101">
        <v>0</v>
      </c>
      <c r="N354" s="128" t="s">
        <v>1463</v>
      </c>
      <c r="O354" s="92" t="s">
        <v>1465</v>
      </c>
    </row>
    <row r="355" spans="2:15" ht="15" customHeight="1" x14ac:dyDescent="0.3">
      <c r="B355" s="128" t="s">
        <v>1448</v>
      </c>
      <c r="C355" s="128" t="s">
        <v>476</v>
      </c>
      <c r="D355" s="129">
        <v>42369</v>
      </c>
      <c r="E355" s="129">
        <v>42369</v>
      </c>
      <c r="F355" s="130">
        <v>26124.78</v>
      </c>
      <c r="G355" s="128" t="s">
        <v>1066</v>
      </c>
      <c r="H355" s="102">
        <v>10</v>
      </c>
      <c r="I355" s="129">
        <v>44926</v>
      </c>
      <c r="J355" s="101">
        <v>217.67</v>
      </c>
      <c r="K355" s="101">
        <v>2612.48</v>
      </c>
      <c r="L355" s="101">
        <v>18287.36</v>
      </c>
      <c r="M355" s="101">
        <v>7837.42</v>
      </c>
      <c r="N355" s="128" t="s">
        <v>1463</v>
      </c>
      <c r="O355" s="92" t="s">
        <v>1465</v>
      </c>
    </row>
    <row r="356" spans="2:15" ht="15" customHeight="1" x14ac:dyDescent="0.3">
      <c r="B356" s="128" t="s">
        <v>1449</v>
      </c>
      <c r="C356" s="128" t="s">
        <v>477</v>
      </c>
      <c r="D356" s="129">
        <v>42400</v>
      </c>
      <c r="E356" s="129">
        <v>42400</v>
      </c>
      <c r="F356" s="130">
        <v>98</v>
      </c>
      <c r="G356" s="128" t="s">
        <v>1066</v>
      </c>
      <c r="H356" s="102">
        <v>10</v>
      </c>
      <c r="I356" s="129">
        <v>44926</v>
      </c>
      <c r="J356" s="101">
        <v>0.78</v>
      </c>
      <c r="K356" s="101">
        <v>9.8000000000000007</v>
      </c>
      <c r="L356" s="101">
        <v>67.78</v>
      </c>
      <c r="M356" s="101">
        <v>30.22</v>
      </c>
      <c r="N356" s="128" t="s">
        <v>1463</v>
      </c>
      <c r="O356" s="92" t="s">
        <v>1465</v>
      </c>
    </row>
    <row r="357" spans="2:15" ht="15" customHeight="1" x14ac:dyDescent="0.3">
      <c r="B357" s="128" t="s">
        <v>1450</v>
      </c>
      <c r="C357" s="128" t="s">
        <v>478</v>
      </c>
      <c r="D357" s="129">
        <v>42400</v>
      </c>
      <c r="E357" s="129">
        <v>42400</v>
      </c>
      <c r="F357" s="130">
        <v>6316.93</v>
      </c>
      <c r="G357" s="128" t="s">
        <v>1066</v>
      </c>
      <c r="H357" s="102">
        <v>10</v>
      </c>
      <c r="I357" s="129">
        <v>44926</v>
      </c>
      <c r="J357" s="101">
        <v>52.65</v>
      </c>
      <c r="K357" s="101">
        <v>631.69000000000005</v>
      </c>
      <c r="L357" s="101">
        <v>4369.1899999999996</v>
      </c>
      <c r="M357" s="101">
        <v>1947.74</v>
      </c>
      <c r="N357" s="128" t="s">
        <v>1463</v>
      </c>
      <c r="O357" s="92" t="s">
        <v>1465</v>
      </c>
    </row>
    <row r="358" spans="2:15" ht="15" customHeight="1" x14ac:dyDescent="0.3">
      <c r="B358" s="128" t="s">
        <v>1451</v>
      </c>
      <c r="C358" s="128" t="s">
        <v>479</v>
      </c>
      <c r="D358" s="129">
        <v>42430</v>
      </c>
      <c r="E358" s="129">
        <v>42430</v>
      </c>
      <c r="F358" s="130">
        <v>56586.29</v>
      </c>
      <c r="G358" s="128" t="s">
        <v>1066</v>
      </c>
      <c r="H358" s="102">
        <v>5</v>
      </c>
      <c r="I358" s="129">
        <v>44256</v>
      </c>
      <c r="J358" s="101">
        <v>0</v>
      </c>
      <c r="K358" s="101">
        <v>0</v>
      </c>
      <c r="L358" s="101">
        <v>56586.29</v>
      </c>
      <c r="M358" s="101">
        <v>0</v>
      </c>
      <c r="N358" s="128" t="s">
        <v>1464</v>
      </c>
      <c r="O358" s="92" t="s">
        <v>1465</v>
      </c>
    </row>
    <row r="359" spans="2:15" ht="15" customHeight="1" x14ac:dyDescent="0.3">
      <c r="B359" s="128" t="s">
        <v>1452</v>
      </c>
      <c r="C359" s="128" t="s">
        <v>480</v>
      </c>
      <c r="D359" s="129">
        <v>42460</v>
      </c>
      <c r="E359" s="129">
        <v>42460</v>
      </c>
      <c r="F359" s="130">
        <v>14535.61</v>
      </c>
      <c r="G359" s="128" t="s">
        <v>1066</v>
      </c>
      <c r="H359" s="102">
        <v>10</v>
      </c>
      <c r="I359" s="129">
        <v>44926</v>
      </c>
      <c r="J359" s="101">
        <v>121.13</v>
      </c>
      <c r="K359" s="101">
        <v>1453.56</v>
      </c>
      <c r="L359" s="101">
        <v>9811.5300000000007</v>
      </c>
      <c r="M359" s="101">
        <v>4724.08</v>
      </c>
      <c r="N359" s="128" t="s">
        <v>1463</v>
      </c>
      <c r="O359" s="92" t="s">
        <v>1465</v>
      </c>
    </row>
    <row r="360" spans="2:15" ht="15" customHeight="1" x14ac:dyDescent="0.3">
      <c r="B360" s="128" t="s">
        <v>1453</v>
      </c>
      <c r="C360" s="128" t="s">
        <v>481</v>
      </c>
      <c r="D360" s="129">
        <v>42766</v>
      </c>
      <c r="E360" s="129">
        <v>42766</v>
      </c>
      <c r="F360" s="130">
        <v>1381.34</v>
      </c>
      <c r="G360" s="128" t="s">
        <v>1066</v>
      </c>
      <c r="H360" s="102">
        <v>10</v>
      </c>
      <c r="I360" s="129">
        <v>44926</v>
      </c>
      <c r="J360" s="101">
        <v>11.52</v>
      </c>
      <c r="K360" s="101">
        <v>138.13</v>
      </c>
      <c r="L360" s="101">
        <v>817.27</v>
      </c>
      <c r="M360" s="101">
        <v>564.07000000000005</v>
      </c>
      <c r="N360" s="128" t="s">
        <v>1463</v>
      </c>
      <c r="O360" s="92" t="s">
        <v>1465</v>
      </c>
    </row>
    <row r="361" spans="2:15" ht="15" customHeight="1" x14ac:dyDescent="0.3">
      <c r="B361" s="128" t="s">
        <v>1454</v>
      </c>
      <c r="C361" s="128" t="s">
        <v>482</v>
      </c>
      <c r="D361" s="129">
        <v>42825</v>
      </c>
      <c r="E361" s="129">
        <v>42825</v>
      </c>
      <c r="F361" s="130">
        <v>2228.62</v>
      </c>
      <c r="G361" s="128" t="s">
        <v>1066</v>
      </c>
      <c r="H361" s="102">
        <v>10</v>
      </c>
      <c r="I361" s="129">
        <v>44926</v>
      </c>
      <c r="J361" s="101">
        <v>18.59</v>
      </c>
      <c r="K361" s="101">
        <v>222.86</v>
      </c>
      <c r="L361" s="101">
        <v>1281.45</v>
      </c>
      <c r="M361" s="101">
        <v>947.17</v>
      </c>
      <c r="N361" s="128" t="s">
        <v>1463</v>
      </c>
      <c r="O361" s="92" t="s">
        <v>1465</v>
      </c>
    </row>
    <row r="362" spans="2:15" ht="15" customHeight="1" x14ac:dyDescent="0.3">
      <c r="B362" s="128" t="s">
        <v>1455</v>
      </c>
      <c r="C362" s="128" t="s">
        <v>483</v>
      </c>
      <c r="D362" s="129">
        <v>43039</v>
      </c>
      <c r="E362" s="129">
        <v>43039</v>
      </c>
      <c r="F362" s="130">
        <v>11299.31</v>
      </c>
      <c r="G362" s="128" t="s">
        <v>1066</v>
      </c>
      <c r="H362" s="102">
        <v>10</v>
      </c>
      <c r="I362" s="129">
        <v>44926</v>
      </c>
      <c r="J362" s="101">
        <v>94.17</v>
      </c>
      <c r="K362" s="101">
        <v>1129.93</v>
      </c>
      <c r="L362" s="101">
        <v>5837.97</v>
      </c>
      <c r="M362" s="101">
        <v>5461.34</v>
      </c>
      <c r="N362" s="128" t="s">
        <v>1463</v>
      </c>
      <c r="O362" s="92" t="s">
        <v>1465</v>
      </c>
    </row>
    <row r="363" spans="2:15" ht="15" customHeight="1" x14ac:dyDescent="0.3">
      <c r="B363" s="128" t="s">
        <v>1456</v>
      </c>
      <c r="C363" s="128" t="s">
        <v>484</v>
      </c>
      <c r="D363" s="129">
        <v>43159</v>
      </c>
      <c r="E363" s="129">
        <v>43159</v>
      </c>
      <c r="F363" s="130">
        <v>1377</v>
      </c>
      <c r="G363" s="128" t="s">
        <v>1066</v>
      </c>
      <c r="H363" s="102">
        <v>10</v>
      </c>
      <c r="I363" s="129">
        <v>44926</v>
      </c>
      <c r="J363" s="101">
        <v>11.42</v>
      </c>
      <c r="K363" s="101">
        <v>137.69999999999999</v>
      </c>
      <c r="L363" s="101">
        <v>665.55</v>
      </c>
      <c r="M363" s="101">
        <v>711.45</v>
      </c>
      <c r="N363" s="128" t="s">
        <v>1463</v>
      </c>
      <c r="O363" s="92" t="s">
        <v>1465</v>
      </c>
    </row>
    <row r="364" spans="2:15" ht="15" customHeight="1" x14ac:dyDescent="0.3">
      <c r="B364" s="128" t="s">
        <v>1457</v>
      </c>
      <c r="C364" s="128" t="s">
        <v>485</v>
      </c>
      <c r="D364" s="129">
        <v>43496</v>
      </c>
      <c r="E364" s="129">
        <v>43496</v>
      </c>
      <c r="F364" s="130">
        <v>2569.73</v>
      </c>
      <c r="G364" s="128" t="s">
        <v>1066</v>
      </c>
      <c r="H364" s="102">
        <v>10</v>
      </c>
      <c r="I364" s="129">
        <v>44926</v>
      </c>
      <c r="J364" s="101">
        <v>21.46</v>
      </c>
      <c r="K364" s="101">
        <v>256.97000000000003</v>
      </c>
      <c r="L364" s="101">
        <v>1006.47</v>
      </c>
      <c r="M364" s="101">
        <v>1563.26</v>
      </c>
      <c r="N364" s="128" t="s">
        <v>1463</v>
      </c>
      <c r="O364" s="92" t="s">
        <v>1465</v>
      </c>
    </row>
    <row r="365" spans="2:15" ht="15" customHeight="1" x14ac:dyDescent="0.3">
      <c r="B365" s="128" t="s">
        <v>1458</v>
      </c>
      <c r="C365" s="128" t="s">
        <v>486</v>
      </c>
      <c r="D365" s="129">
        <v>43524</v>
      </c>
      <c r="E365" s="129">
        <v>43524</v>
      </c>
      <c r="F365" s="130">
        <v>7037.3</v>
      </c>
      <c r="G365" s="128" t="s">
        <v>1066</v>
      </c>
      <c r="H365" s="102">
        <v>10</v>
      </c>
      <c r="I365" s="129">
        <v>44926</v>
      </c>
      <c r="J365" s="101">
        <v>58.69</v>
      </c>
      <c r="K365" s="101">
        <v>703.73</v>
      </c>
      <c r="L365" s="101">
        <v>2697.63</v>
      </c>
      <c r="M365" s="101">
        <v>4339.67</v>
      </c>
      <c r="N365" s="128" t="s">
        <v>1463</v>
      </c>
      <c r="O365" s="92" t="s">
        <v>1465</v>
      </c>
    </row>
    <row r="366" spans="2:15" ht="15" customHeight="1" x14ac:dyDescent="0.3">
      <c r="B366" s="128" t="s">
        <v>1459</v>
      </c>
      <c r="C366" s="128" t="s">
        <v>487</v>
      </c>
      <c r="D366" s="129">
        <v>43555</v>
      </c>
      <c r="E366" s="129">
        <v>43555</v>
      </c>
      <c r="F366" s="130">
        <v>1984.09</v>
      </c>
      <c r="G366" s="128" t="s">
        <v>1066</v>
      </c>
      <c r="H366" s="102">
        <v>10</v>
      </c>
      <c r="I366" s="129">
        <v>44926</v>
      </c>
      <c r="J366" s="101">
        <v>16.579999999999998</v>
      </c>
      <c r="K366" s="101">
        <v>198.41</v>
      </c>
      <c r="L366" s="101">
        <v>744.04</v>
      </c>
      <c r="M366" s="101">
        <v>1240.05</v>
      </c>
      <c r="N366" s="128" t="s">
        <v>1463</v>
      </c>
      <c r="O366" s="92" t="s">
        <v>1465</v>
      </c>
    </row>
    <row r="367" spans="2:15" ht="15" customHeight="1" x14ac:dyDescent="0.3">
      <c r="B367" s="128" t="s">
        <v>1460</v>
      </c>
      <c r="C367" s="128" t="s">
        <v>488</v>
      </c>
      <c r="D367" s="129">
        <v>43616</v>
      </c>
      <c r="E367" s="129">
        <v>43616</v>
      </c>
      <c r="F367" s="130">
        <v>3085</v>
      </c>
      <c r="G367" s="128" t="s">
        <v>1066</v>
      </c>
      <c r="H367" s="102">
        <v>10</v>
      </c>
      <c r="I367" s="129">
        <v>44926</v>
      </c>
      <c r="J367" s="101">
        <v>25.69</v>
      </c>
      <c r="K367" s="101">
        <v>308.5</v>
      </c>
      <c r="L367" s="101">
        <v>1105.46</v>
      </c>
      <c r="M367" s="101">
        <v>1979.54</v>
      </c>
      <c r="N367" s="128" t="s">
        <v>1463</v>
      </c>
      <c r="O367" s="92" t="s">
        <v>1465</v>
      </c>
    </row>
    <row r="368" spans="2:15" ht="15" customHeight="1" x14ac:dyDescent="0.3">
      <c r="B368" s="128" t="s">
        <v>1461</v>
      </c>
      <c r="C368" s="128" t="s">
        <v>489</v>
      </c>
      <c r="D368" s="129">
        <v>43921</v>
      </c>
      <c r="E368" s="129">
        <v>43921</v>
      </c>
      <c r="F368" s="130">
        <v>32862.32</v>
      </c>
      <c r="G368" s="128" t="s">
        <v>1066</v>
      </c>
      <c r="H368" s="102">
        <v>10</v>
      </c>
      <c r="I368" s="129">
        <v>44926</v>
      </c>
      <c r="J368" s="101">
        <v>273.88</v>
      </c>
      <c r="K368" s="101">
        <v>3286.23</v>
      </c>
      <c r="L368" s="101">
        <v>9037.1299999999992</v>
      </c>
      <c r="M368" s="101">
        <v>23825.19</v>
      </c>
      <c r="N368" s="128" t="s">
        <v>1463</v>
      </c>
      <c r="O368" s="92" t="s">
        <v>1465</v>
      </c>
    </row>
    <row r="369" spans="2:15" ht="15" customHeight="1" x14ac:dyDescent="0.3">
      <c r="B369" s="128" t="s">
        <v>1462</v>
      </c>
      <c r="C369" s="128" t="s">
        <v>1002</v>
      </c>
      <c r="D369" s="129">
        <v>44742</v>
      </c>
      <c r="E369" s="129">
        <v>44742</v>
      </c>
      <c r="F369" s="130">
        <v>3410</v>
      </c>
      <c r="G369" s="128" t="s">
        <v>1066</v>
      </c>
      <c r="H369" s="102">
        <v>5</v>
      </c>
      <c r="I369" s="129">
        <v>44926</v>
      </c>
      <c r="J369" s="101">
        <v>56.85</v>
      </c>
      <c r="K369" s="101">
        <v>341</v>
      </c>
      <c r="L369" s="101">
        <v>341</v>
      </c>
      <c r="M369" s="101">
        <v>3069</v>
      </c>
      <c r="N369" s="128" t="s">
        <v>1464</v>
      </c>
      <c r="O369" s="92" t="s">
        <v>1465</v>
      </c>
    </row>
    <row r="370" spans="2:15" ht="15" customHeight="1" x14ac:dyDescent="0.3">
      <c r="B370" s="128" t="s">
        <v>1466</v>
      </c>
      <c r="C370" s="128" t="s">
        <v>89</v>
      </c>
      <c r="D370" s="129">
        <v>37257</v>
      </c>
      <c r="E370" s="129">
        <v>37257</v>
      </c>
      <c r="F370" s="130">
        <v>78324</v>
      </c>
      <c r="G370" s="128" t="s">
        <v>1066</v>
      </c>
      <c r="H370" s="102">
        <v>35</v>
      </c>
      <c r="I370" s="129">
        <v>41820</v>
      </c>
      <c r="J370" s="101">
        <v>0</v>
      </c>
      <c r="K370" s="101">
        <v>0</v>
      </c>
      <c r="L370" s="101">
        <v>78324</v>
      </c>
      <c r="M370" s="101">
        <v>0</v>
      </c>
      <c r="N370" s="128" t="s">
        <v>1476</v>
      </c>
      <c r="O370" s="92" t="s">
        <v>1477</v>
      </c>
    </row>
    <row r="371" spans="2:15" ht="15" customHeight="1" x14ac:dyDescent="0.3">
      <c r="B371" s="128" t="s">
        <v>1467</v>
      </c>
      <c r="C371" s="128" t="s">
        <v>100</v>
      </c>
      <c r="D371" s="129">
        <v>39644</v>
      </c>
      <c r="E371" s="129">
        <v>39644</v>
      </c>
      <c r="F371" s="130">
        <v>1582.5</v>
      </c>
      <c r="G371" s="128" t="s">
        <v>1066</v>
      </c>
      <c r="H371" s="102">
        <v>10</v>
      </c>
      <c r="I371" s="129">
        <v>43281</v>
      </c>
      <c r="J371" s="101">
        <v>0</v>
      </c>
      <c r="K371" s="101">
        <v>0</v>
      </c>
      <c r="L371" s="101">
        <v>1582.5</v>
      </c>
      <c r="M371" s="101">
        <v>0</v>
      </c>
      <c r="N371" s="128" t="s">
        <v>1476</v>
      </c>
      <c r="O371" s="92" t="s">
        <v>1477</v>
      </c>
    </row>
    <row r="372" spans="2:15" ht="15" customHeight="1" x14ac:dyDescent="0.3">
      <c r="B372" s="128" t="s">
        <v>1468</v>
      </c>
      <c r="C372" s="128" t="s">
        <v>139</v>
      </c>
      <c r="D372" s="129">
        <v>39814</v>
      </c>
      <c r="E372" s="129">
        <v>39814</v>
      </c>
      <c r="F372" s="130">
        <v>11614.96</v>
      </c>
      <c r="G372" s="128" t="s">
        <v>1066</v>
      </c>
      <c r="H372" s="102">
        <v>25</v>
      </c>
      <c r="I372" s="129">
        <v>44926</v>
      </c>
      <c r="J372" s="101">
        <v>38.68</v>
      </c>
      <c r="K372" s="101">
        <v>464.6</v>
      </c>
      <c r="L372" s="101">
        <v>6504.4</v>
      </c>
      <c r="M372" s="101">
        <v>5110.5600000000004</v>
      </c>
      <c r="N372" s="128" t="s">
        <v>1476</v>
      </c>
      <c r="O372" s="92" t="s">
        <v>1477</v>
      </c>
    </row>
    <row r="373" spans="2:15" ht="15" customHeight="1" x14ac:dyDescent="0.3">
      <c r="B373" s="128" t="s">
        <v>1469</v>
      </c>
      <c r="C373" s="128" t="s">
        <v>175</v>
      </c>
      <c r="D373" s="129">
        <v>40210</v>
      </c>
      <c r="E373" s="129">
        <v>40210</v>
      </c>
      <c r="F373" s="130">
        <v>1017.24</v>
      </c>
      <c r="G373" s="128" t="s">
        <v>1066</v>
      </c>
      <c r="H373" s="102">
        <v>5</v>
      </c>
      <c r="I373" s="129">
        <v>42035</v>
      </c>
      <c r="J373" s="101">
        <v>0</v>
      </c>
      <c r="K373" s="101">
        <v>0</v>
      </c>
      <c r="L373" s="101">
        <v>1017.24</v>
      </c>
      <c r="M373" s="101">
        <v>0</v>
      </c>
      <c r="N373" s="128" t="s">
        <v>1476</v>
      </c>
      <c r="O373" s="92" t="s">
        <v>1477</v>
      </c>
    </row>
    <row r="374" spans="2:15" ht="15" customHeight="1" x14ac:dyDescent="0.3">
      <c r="B374" s="128" t="s">
        <v>1470</v>
      </c>
      <c r="C374" s="128" t="s">
        <v>176</v>
      </c>
      <c r="D374" s="129">
        <v>40421</v>
      </c>
      <c r="E374" s="129">
        <v>40421</v>
      </c>
      <c r="F374" s="130">
        <v>6368.52</v>
      </c>
      <c r="G374" s="128" t="s">
        <v>1066</v>
      </c>
      <c r="H374" s="102">
        <v>25</v>
      </c>
      <c r="I374" s="129">
        <v>44926</v>
      </c>
      <c r="J374" s="101">
        <v>21.21</v>
      </c>
      <c r="K374" s="101">
        <v>254.74</v>
      </c>
      <c r="L374" s="101">
        <v>3141.79</v>
      </c>
      <c r="M374" s="101">
        <v>3226.73</v>
      </c>
      <c r="N374" s="128" t="s">
        <v>1476</v>
      </c>
      <c r="O374" s="92" t="s">
        <v>1477</v>
      </c>
    </row>
    <row r="375" spans="2:15" ht="15" customHeight="1" x14ac:dyDescent="0.3">
      <c r="B375" s="128" t="s">
        <v>1471</v>
      </c>
      <c r="C375" s="128" t="s">
        <v>193</v>
      </c>
      <c r="D375" s="129">
        <v>40694</v>
      </c>
      <c r="E375" s="129">
        <v>40694</v>
      </c>
      <c r="F375" s="130">
        <v>19044.150000000001</v>
      </c>
      <c r="G375" s="128" t="s">
        <v>1066</v>
      </c>
      <c r="H375" s="102">
        <v>35</v>
      </c>
      <c r="I375" s="129">
        <v>44926</v>
      </c>
      <c r="J375" s="101">
        <v>45.38</v>
      </c>
      <c r="K375" s="101">
        <v>544.12</v>
      </c>
      <c r="L375" s="101">
        <v>6302.72</v>
      </c>
      <c r="M375" s="101">
        <v>12741.43</v>
      </c>
      <c r="N375" s="128" t="s">
        <v>1476</v>
      </c>
      <c r="O375" s="92" t="s">
        <v>1477</v>
      </c>
    </row>
    <row r="376" spans="2:15" ht="15" customHeight="1" x14ac:dyDescent="0.3">
      <c r="B376" s="128" t="s">
        <v>1472</v>
      </c>
      <c r="C376" s="128" t="s">
        <v>490</v>
      </c>
      <c r="D376" s="129">
        <v>43100</v>
      </c>
      <c r="E376" s="129">
        <v>43100</v>
      </c>
      <c r="F376" s="130">
        <v>424077.48</v>
      </c>
      <c r="G376" s="128" t="s">
        <v>1066</v>
      </c>
      <c r="H376" s="102">
        <v>25</v>
      </c>
      <c r="I376" s="129">
        <v>44926</v>
      </c>
      <c r="J376" s="101">
        <v>1413.61</v>
      </c>
      <c r="K376" s="101">
        <v>16963.099999999999</v>
      </c>
      <c r="L376" s="101">
        <v>84815.5</v>
      </c>
      <c r="M376" s="101">
        <v>339261.98</v>
      </c>
      <c r="N376" s="128" t="s">
        <v>1476</v>
      </c>
      <c r="O376" s="92" t="s">
        <v>1477</v>
      </c>
    </row>
    <row r="377" spans="2:15" ht="15" customHeight="1" x14ac:dyDescent="0.3">
      <c r="B377" s="128" t="s">
        <v>1473</v>
      </c>
      <c r="C377" s="128" t="s">
        <v>491</v>
      </c>
      <c r="D377" s="129">
        <v>43100</v>
      </c>
      <c r="E377" s="129">
        <v>43100</v>
      </c>
      <c r="F377" s="130">
        <v>240434.88</v>
      </c>
      <c r="G377" s="128" t="s">
        <v>1066</v>
      </c>
      <c r="H377" s="102">
        <v>25</v>
      </c>
      <c r="I377" s="129">
        <v>44926</v>
      </c>
      <c r="J377" s="101">
        <v>801.45</v>
      </c>
      <c r="K377" s="101">
        <v>9617.4</v>
      </c>
      <c r="L377" s="101">
        <v>48087</v>
      </c>
      <c r="M377" s="101">
        <v>192347.88</v>
      </c>
      <c r="N377" s="128" t="s">
        <v>1476</v>
      </c>
      <c r="O377" s="92" t="s">
        <v>1477</v>
      </c>
    </row>
    <row r="378" spans="2:15" ht="15" customHeight="1" x14ac:dyDescent="0.3">
      <c r="B378" s="128" t="s">
        <v>1474</v>
      </c>
      <c r="C378" s="128" t="s">
        <v>492</v>
      </c>
      <c r="D378" s="129">
        <v>44530</v>
      </c>
      <c r="E378" s="129">
        <v>44530</v>
      </c>
      <c r="F378" s="130">
        <v>44914.68</v>
      </c>
      <c r="G378" s="128" t="s">
        <v>1066</v>
      </c>
      <c r="H378" s="102">
        <v>25</v>
      </c>
      <c r="I378" s="129">
        <v>44926</v>
      </c>
      <c r="J378" s="101">
        <v>149.66999999999999</v>
      </c>
      <c r="K378" s="101">
        <v>1796.59</v>
      </c>
      <c r="L378" s="101">
        <v>1946.31</v>
      </c>
      <c r="M378" s="101">
        <v>42968.37</v>
      </c>
      <c r="N378" s="128" t="s">
        <v>1476</v>
      </c>
      <c r="O378" s="92" t="s">
        <v>1477</v>
      </c>
    </row>
    <row r="379" spans="2:15" ht="15" customHeight="1" x14ac:dyDescent="0.3">
      <c r="B379" s="128" t="s">
        <v>1475</v>
      </c>
      <c r="C379" s="128" t="s">
        <v>1003</v>
      </c>
      <c r="D379" s="129">
        <v>44620</v>
      </c>
      <c r="E379" s="129">
        <v>44620</v>
      </c>
      <c r="F379" s="130">
        <v>274219.55</v>
      </c>
      <c r="G379" s="128" t="s">
        <v>1066</v>
      </c>
      <c r="H379" s="102">
        <v>25</v>
      </c>
      <c r="I379" s="129">
        <v>44926</v>
      </c>
      <c r="J379" s="101">
        <v>914.02</v>
      </c>
      <c r="K379" s="101">
        <v>9140.65</v>
      </c>
      <c r="L379" s="101">
        <v>9140.65</v>
      </c>
      <c r="M379" s="101">
        <v>265078.90000000002</v>
      </c>
      <c r="N379" s="128" t="s">
        <v>1476</v>
      </c>
      <c r="O379" s="92" t="s">
        <v>1477</v>
      </c>
    </row>
    <row r="380" spans="2:15" ht="15" customHeight="1" x14ac:dyDescent="0.3">
      <c r="B380" s="128" t="s">
        <v>1478</v>
      </c>
      <c r="C380" s="128" t="s">
        <v>145</v>
      </c>
      <c r="D380" s="129">
        <v>36892</v>
      </c>
      <c r="E380" s="129">
        <v>36892</v>
      </c>
      <c r="F380" s="130">
        <v>4500</v>
      </c>
      <c r="G380" s="128" t="s">
        <v>1068</v>
      </c>
      <c r="H380" s="102">
        <v>13</v>
      </c>
      <c r="I380" s="129">
        <v>41913</v>
      </c>
      <c r="J380" s="101">
        <v>0</v>
      </c>
      <c r="K380" s="101">
        <v>0</v>
      </c>
      <c r="L380" s="101">
        <v>4500</v>
      </c>
      <c r="M380" s="101">
        <v>0</v>
      </c>
      <c r="N380" s="128" t="s">
        <v>1568</v>
      </c>
      <c r="O380" s="92" t="s">
        <v>1573</v>
      </c>
    </row>
    <row r="381" spans="2:15" ht="15" customHeight="1" x14ac:dyDescent="0.3">
      <c r="B381" s="128" t="s">
        <v>1479</v>
      </c>
      <c r="C381" s="128" t="s">
        <v>147</v>
      </c>
      <c r="D381" s="129">
        <v>39782</v>
      </c>
      <c r="E381" s="129">
        <v>39782</v>
      </c>
      <c r="F381" s="130">
        <v>4878.8</v>
      </c>
      <c r="G381" s="128" t="s">
        <v>1066</v>
      </c>
      <c r="H381" s="102">
        <v>10</v>
      </c>
      <c r="I381" s="129">
        <v>43434</v>
      </c>
      <c r="J381" s="101">
        <v>0</v>
      </c>
      <c r="K381" s="101">
        <v>0</v>
      </c>
      <c r="L381" s="101">
        <v>4878.8</v>
      </c>
      <c r="M381" s="101">
        <v>0</v>
      </c>
      <c r="N381" s="128" t="s">
        <v>1569</v>
      </c>
      <c r="O381" s="92" t="s">
        <v>1573</v>
      </c>
    </row>
    <row r="382" spans="2:15" ht="15" customHeight="1" x14ac:dyDescent="0.3">
      <c r="B382" s="128" t="s">
        <v>1480</v>
      </c>
      <c r="C382" s="128" t="s">
        <v>146</v>
      </c>
      <c r="D382" s="129">
        <v>39576</v>
      </c>
      <c r="E382" s="129">
        <v>39576</v>
      </c>
      <c r="F382" s="130">
        <v>4575</v>
      </c>
      <c r="G382" s="128" t="s">
        <v>1066</v>
      </c>
      <c r="H382" s="102">
        <v>10</v>
      </c>
      <c r="I382" s="129">
        <v>43220</v>
      </c>
      <c r="J382" s="101">
        <v>0</v>
      </c>
      <c r="K382" s="101">
        <v>0</v>
      </c>
      <c r="L382" s="101">
        <v>4575</v>
      </c>
      <c r="M382" s="101">
        <v>0</v>
      </c>
      <c r="N382" s="128" t="s">
        <v>1569</v>
      </c>
      <c r="O382" s="92" t="s">
        <v>1573</v>
      </c>
    </row>
    <row r="383" spans="2:15" ht="15" customHeight="1" x14ac:dyDescent="0.3">
      <c r="B383" s="128" t="s">
        <v>1481</v>
      </c>
      <c r="C383" s="128" t="s">
        <v>144</v>
      </c>
      <c r="D383" s="129">
        <v>38412</v>
      </c>
      <c r="E383" s="129">
        <v>38412</v>
      </c>
      <c r="F383" s="130">
        <v>3009.57</v>
      </c>
      <c r="G383" s="128" t="s">
        <v>1068</v>
      </c>
      <c r="H383" s="102">
        <v>20</v>
      </c>
      <c r="I383" s="129">
        <v>44926</v>
      </c>
      <c r="J383" s="101">
        <v>8.77</v>
      </c>
      <c r="K383" s="101">
        <v>105.79</v>
      </c>
      <c r="L383" s="101">
        <v>2771.89</v>
      </c>
      <c r="M383" s="101">
        <v>237.68</v>
      </c>
      <c r="N383" s="128" t="s">
        <v>1568</v>
      </c>
      <c r="O383" s="92" t="s">
        <v>1573</v>
      </c>
    </row>
    <row r="384" spans="2:15" ht="15" customHeight="1" x14ac:dyDescent="0.3">
      <c r="B384" s="128" t="s">
        <v>1482</v>
      </c>
      <c r="C384" s="128" t="s">
        <v>493</v>
      </c>
      <c r="D384" s="129">
        <v>40178</v>
      </c>
      <c r="E384" s="129">
        <v>40178</v>
      </c>
      <c r="F384" s="130">
        <v>460.51</v>
      </c>
      <c r="G384" s="128" t="s">
        <v>1066</v>
      </c>
      <c r="H384" s="102">
        <v>10</v>
      </c>
      <c r="I384" s="129">
        <v>43830</v>
      </c>
      <c r="J384" s="101">
        <v>0</v>
      </c>
      <c r="K384" s="101">
        <v>0</v>
      </c>
      <c r="L384" s="101">
        <v>460.51</v>
      </c>
      <c r="M384" s="101">
        <v>0</v>
      </c>
      <c r="N384" s="128" t="s">
        <v>1570</v>
      </c>
      <c r="O384" s="92" t="s">
        <v>1573</v>
      </c>
    </row>
    <row r="385" spans="2:15" ht="15" customHeight="1" x14ac:dyDescent="0.3">
      <c r="B385" s="128" t="s">
        <v>1483</v>
      </c>
      <c r="C385" s="128" t="s">
        <v>494</v>
      </c>
      <c r="D385" s="129">
        <v>40179</v>
      </c>
      <c r="E385" s="129">
        <v>40179</v>
      </c>
      <c r="F385" s="130">
        <v>691.68</v>
      </c>
      <c r="G385" s="128" t="s">
        <v>1066</v>
      </c>
      <c r="H385" s="102">
        <v>10</v>
      </c>
      <c r="I385" s="129">
        <v>43830</v>
      </c>
      <c r="J385" s="101">
        <v>0</v>
      </c>
      <c r="K385" s="101">
        <v>0</v>
      </c>
      <c r="L385" s="101">
        <v>691.68</v>
      </c>
      <c r="M385" s="101">
        <v>0</v>
      </c>
      <c r="N385" s="128" t="s">
        <v>1570</v>
      </c>
      <c r="O385" s="92" t="s">
        <v>1573</v>
      </c>
    </row>
    <row r="386" spans="2:15" ht="15" customHeight="1" x14ac:dyDescent="0.3">
      <c r="B386" s="128" t="s">
        <v>1484</v>
      </c>
      <c r="C386" s="128" t="s">
        <v>178</v>
      </c>
      <c r="D386" s="129">
        <v>40359</v>
      </c>
      <c r="E386" s="129">
        <v>40359</v>
      </c>
      <c r="F386" s="130">
        <v>287.52</v>
      </c>
      <c r="G386" s="128" t="s">
        <v>1066</v>
      </c>
      <c r="H386" s="102">
        <v>5</v>
      </c>
      <c r="I386" s="129">
        <v>42185</v>
      </c>
      <c r="J386" s="101">
        <v>0</v>
      </c>
      <c r="K386" s="101">
        <v>0</v>
      </c>
      <c r="L386" s="101">
        <v>287.52</v>
      </c>
      <c r="M386" s="101">
        <v>0</v>
      </c>
      <c r="N386" s="128" t="s">
        <v>1571</v>
      </c>
      <c r="O386" s="92" t="s">
        <v>1573</v>
      </c>
    </row>
    <row r="387" spans="2:15" ht="15" customHeight="1" x14ac:dyDescent="0.3">
      <c r="B387" s="128" t="s">
        <v>1485</v>
      </c>
      <c r="C387" s="128" t="s">
        <v>179</v>
      </c>
      <c r="D387" s="129">
        <v>40389</v>
      </c>
      <c r="E387" s="129">
        <v>40389</v>
      </c>
      <c r="F387" s="130">
        <v>3850.34</v>
      </c>
      <c r="G387" s="128" t="s">
        <v>1066</v>
      </c>
      <c r="H387" s="102">
        <v>10</v>
      </c>
      <c r="I387" s="129">
        <v>44043</v>
      </c>
      <c r="J387" s="101">
        <v>0</v>
      </c>
      <c r="K387" s="101">
        <v>0</v>
      </c>
      <c r="L387" s="101">
        <v>3850.34</v>
      </c>
      <c r="M387" s="101">
        <v>0</v>
      </c>
      <c r="N387" s="128" t="s">
        <v>1569</v>
      </c>
      <c r="O387" s="92" t="s">
        <v>1573</v>
      </c>
    </row>
    <row r="388" spans="2:15" ht="15" customHeight="1" x14ac:dyDescent="0.3">
      <c r="B388" s="128" t="s">
        <v>1486</v>
      </c>
      <c r="C388" s="128" t="s">
        <v>180</v>
      </c>
      <c r="D388" s="129">
        <v>40421</v>
      </c>
      <c r="E388" s="129">
        <v>40421</v>
      </c>
      <c r="F388" s="130">
        <v>1504</v>
      </c>
      <c r="G388" s="128" t="s">
        <v>1066</v>
      </c>
      <c r="H388" s="102">
        <v>10</v>
      </c>
      <c r="I388" s="129">
        <v>44074</v>
      </c>
      <c r="J388" s="101">
        <v>0</v>
      </c>
      <c r="K388" s="101">
        <v>0</v>
      </c>
      <c r="L388" s="101">
        <v>1504</v>
      </c>
      <c r="M388" s="101">
        <v>0</v>
      </c>
      <c r="N388" s="128" t="s">
        <v>1569</v>
      </c>
      <c r="O388" s="92" t="s">
        <v>1573</v>
      </c>
    </row>
    <row r="389" spans="2:15" ht="15" customHeight="1" x14ac:dyDescent="0.3">
      <c r="B389" s="128" t="s">
        <v>1487</v>
      </c>
      <c r="C389" s="128" t="s">
        <v>181</v>
      </c>
      <c r="D389" s="129">
        <v>40543</v>
      </c>
      <c r="E389" s="129">
        <v>40543</v>
      </c>
      <c r="F389" s="130">
        <v>3701.25</v>
      </c>
      <c r="G389" s="128" t="s">
        <v>1066</v>
      </c>
      <c r="H389" s="102">
        <v>10</v>
      </c>
      <c r="I389" s="129">
        <v>44196</v>
      </c>
      <c r="J389" s="101">
        <v>0</v>
      </c>
      <c r="K389" s="101">
        <v>0</v>
      </c>
      <c r="L389" s="101">
        <v>3701.25</v>
      </c>
      <c r="M389" s="101">
        <v>0</v>
      </c>
      <c r="N389" s="128" t="s">
        <v>1569</v>
      </c>
      <c r="O389" s="92" t="s">
        <v>1573</v>
      </c>
    </row>
    <row r="390" spans="2:15" ht="15" customHeight="1" x14ac:dyDescent="0.3">
      <c r="B390" s="128" t="s">
        <v>1488</v>
      </c>
      <c r="C390" s="128" t="s">
        <v>495</v>
      </c>
      <c r="D390" s="129">
        <v>41060</v>
      </c>
      <c r="E390" s="129">
        <v>41060</v>
      </c>
      <c r="F390" s="130">
        <v>263.52</v>
      </c>
      <c r="G390" s="128" t="s">
        <v>1066</v>
      </c>
      <c r="H390" s="102">
        <v>5</v>
      </c>
      <c r="I390" s="129">
        <v>42886</v>
      </c>
      <c r="J390" s="101">
        <v>0</v>
      </c>
      <c r="K390" s="101">
        <v>0</v>
      </c>
      <c r="L390" s="101">
        <v>263.52</v>
      </c>
      <c r="M390" s="101">
        <v>0</v>
      </c>
      <c r="N390" s="128" t="s">
        <v>1571</v>
      </c>
      <c r="O390" s="92" t="s">
        <v>1573</v>
      </c>
    </row>
    <row r="391" spans="2:15" ht="15" customHeight="1" x14ac:dyDescent="0.3">
      <c r="B391" s="128" t="s">
        <v>1489</v>
      </c>
      <c r="C391" s="128" t="s">
        <v>496</v>
      </c>
      <c r="D391" s="129">
        <v>41121</v>
      </c>
      <c r="E391" s="129">
        <v>41121</v>
      </c>
      <c r="F391" s="130">
        <v>1590.63</v>
      </c>
      <c r="G391" s="128" t="s">
        <v>1066</v>
      </c>
      <c r="H391" s="102">
        <v>10</v>
      </c>
      <c r="I391" s="129">
        <v>44773</v>
      </c>
      <c r="J391" s="101">
        <v>0</v>
      </c>
      <c r="K391" s="101">
        <v>92.81</v>
      </c>
      <c r="L391" s="101">
        <v>1590.63</v>
      </c>
      <c r="M391" s="101">
        <v>0</v>
      </c>
      <c r="N391" s="128" t="s">
        <v>1572</v>
      </c>
      <c r="O391" s="92" t="s">
        <v>1573</v>
      </c>
    </row>
    <row r="392" spans="2:15" ht="15" customHeight="1" x14ac:dyDescent="0.3">
      <c r="B392" s="128" t="s">
        <v>1490</v>
      </c>
      <c r="C392" s="128" t="s">
        <v>212</v>
      </c>
      <c r="D392" s="129">
        <v>41152</v>
      </c>
      <c r="E392" s="129">
        <v>41152</v>
      </c>
      <c r="F392" s="130">
        <v>710.15</v>
      </c>
      <c r="G392" s="128" t="s">
        <v>1066</v>
      </c>
      <c r="H392" s="102">
        <v>10</v>
      </c>
      <c r="I392" s="129">
        <v>44804</v>
      </c>
      <c r="J392" s="101">
        <v>0</v>
      </c>
      <c r="K392" s="101">
        <v>47.3</v>
      </c>
      <c r="L392" s="101">
        <v>710.15</v>
      </c>
      <c r="M392" s="101">
        <v>0</v>
      </c>
      <c r="N392" s="128" t="s">
        <v>1569</v>
      </c>
      <c r="O392" s="92" t="s">
        <v>1573</v>
      </c>
    </row>
    <row r="393" spans="2:15" ht="15" customHeight="1" x14ac:dyDescent="0.3">
      <c r="B393" s="128" t="s">
        <v>1491</v>
      </c>
      <c r="C393" s="128" t="s">
        <v>212</v>
      </c>
      <c r="D393" s="129">
        <v>41152</v>
      </c>
      <c r="E393" s="129">
        <v>41152</v>
      </c>
      <c r="F393" s="130">
        <v>674.48</v>
      </c>
      <c r="G393" s="128" t="s">
        <v>1066</v>
      </c>
      <c r="H393" s="102">
        <v>10</v>
      </c>
      <c r="I393" s="129">
        <v>44804</v>
      </c>
      <c r="J393" s="101">
        <v>0</v>
      </c>
      <c r="K393" s="101">
        <v>44.95</v>
      </c>
      <c r="L393" s="101">
        <v>674.48</v>
      </c>
      <c r="M393" s="101">
        <v>0</v>
      </c>
      <c r="N393" s="128" t="s">
        <v>1569</v>
      </c>
      <c r="O393" s="92" t="s">
        <v>1573</v>
      </c>
    </row>
    <row r="394" spans="2:15" ht="15" customHeight="1" x14ac:dyDescent="0.3">
      <c r="B394" s="128" t="s">
        <v>1492</v>
      </c>
      <c r="C394" s="128" t="s">
        <v>497</v>
      </c>
      <c r="D394" s="129">
        <v>41364</v>
      </c>
      <c r="E394" s="129">
        <v>41364</v>
      </c>
      <c r="F394" s="130">
        <v>371.4</v>
      </c>
      <c r="G394" s="128" t="s">
        <v>1066</v>
      </c>
      <c r="H394" s="102">
        <v>5</v>
      </c>
      <c r="I394" s="129">
        <v>43190</v>
      </c>
      <c r="J394" s="101">
        <v>0</v>
      </c>
      <c r="K394" s="101">
        <v>0</v>
      </c>
      <c r="L394" s="101">
        <v>371.4</v>
      </c>
      <c r="M394" s="101">
        <v>0</v>
      </c>
      <c r="N394" s="128" t="s">
        <v>1571</v>
      </c>
      <c r="O394" s="92" t="s">
        <v>1573</v>
      </c>
    </row>
    <row r="395" spans="2:15" ht="15" customHeight="1" x14ac:dyDescent="0.3">
      <c r="B395" s="128" t="s">
        <v>1493</v>
      </c>
      <c r="C395" s="128" t="s">
        <v>498</v>
      </c>
      <c r="D395" s="129">
        <v>41364</v>
      </c>
      <c r="E395" s="129">
        <v>41364</v>
      </c>
      <c r="F395" s="130">
        <v>361.84</v>
      </c>
      <c r="G395" s="128" t="s">
        <v>1066</v>
      </c>
      <c r="H395" s="102">
        <v>5</v>
      </c>
      <c r="I395" s="129">
        <v>43190</v>
      </c>
      <c r="J395" s="101">
        <v>0</v>
      </c>
      <c r="K395" s="101">
        <v>0</v>
      </c>
      <c r="L395" s="101">
        <v>361.84</v>
      </c>
      <c r="M395" s="101">
        <v>0</v>
      </c>
      <c r="N395" s="128" t="s">
        <v>1571</v>
      </c>
      <c r="O395" s="92" t="s">
        <v>1573</v>
      </c>
    </row>
    <row r="396" spans="2:15" ht="15" customHeight="1" x14ac:dyDescent="0.3">
      <c r="B396" s="128" t="s">
        <v>1494</v>
      </c>
      <c r="C396" s="128" t="s">
        <v>499</v>
      </c>
      <c r="D396" s="129">
        <v>41275</v>
      </c>
      <c r="E396" s="129">
        <v>41275</v>
      </c>
      <c r="F396" s="130">
        <v>1178.43</v>
      </c>
      <c r="G396" s="128" t="s">
        <v>1066</v>
      </c>
      <c r="H396" s="102">
        <v>10</v>
      </c>
      <c r="I396" s="129">
        <v>44926</v>
      </c>
      <c r="J396" s="101">
        <v>9.85</v>
      </c>
      <c r="K396" s="101">
        <v>117.87</v>
      </c>
      <c r="L396" s="101">
        <v>1178.43</v>
      </c>
      <c r="M396" s="101">
        <v>0</v>
      </c>
      <c r="N396" s="128" t="s">
        <v>1572</v>
      </c>
      <c r="O396" s="92" t="s">
        <v>1573</v>
      </c>
    </row>
    <row r="397" spans="2:15" ht="15" customHeight="1" x14ac:dyDescent="0.3">
      <c r="B397" s="128" t="s">
        <v>1495</v>
      </c>
      <c r="C397" s="128" t="s">
        <v>500</v>
      </c>
      <c r="D397" s="129">
        <v>41275</v>
      </c>
      <c r="E397" s="129">
        <v>41275</v>
      </c>
      <c r="F397" s="130">
        <v>22039.72</v>
      </c>
      <c r="G397" s="128" t="s">
        <v>1066</v>
      </c>
      <c r="H397" s="102">
        <v>10</v>
      </c>
      <c r="I397" s="129">
        <v>44926</v>
      </c>
      <c r="J397" s="101">
        <v>183.62</v>
      </c>
      <c r="K397" s="101">
        <v>2203.9899999999998</v>
      </c>
      <c r="L397" s="101">
        <v>22039.72</v>
      </c>
      <c r="M397" s="101">
        <v>0</v>
      </c>
      <c r="N397" s="128" t="s">
        <v>1569</v>
      </c>
      <c r="O397" s="92" t="s">
        <v>1573</v>
      </c>
    </row>
    <row r="398" spans="2:15" ht="15" customHeight="1" x14ac:dyDescent="0.3">
      <c r="B398" s="128" t="s">
        <v>1496</v>
      </c>
      <c r="C398" s="128" t="s">
        <v>501</v>
      </c>
      <c r="D398" s="129">
        <v>41547</v>
      </c>
      <c r="E398" s="129">
        <v>41547</v>
      </c>
      <c r="F398" s="130">
        <v>720.32</v>
      </c>
      <c r="G398" s="128" t="s">
        <v>1066</v>
      </c>
      <c r="H398" s="102">
        <v>10</v>
      </c>
      <c r="I398" s="129">
        <v>44926</v>
      </c>
      <c r="J398" s="101">
        <v>6.03</v>
      </c>
      <c r="K398" s="101">
        <v>72.03</v>
      </c>
      <c r="L398" s="101">
        <v>666.28</v>
      </c>
      <c r="M398" s="101">
        <v>54.04</v>
      </c>
      <c r="N398" s="128" t="s">
        <v>1570</v>
      </c>
      <c r="O398" s="92" t="s">
        <v>1573</v>
      </c>
    </row>
    <row r="399" spans="2:15" ht="15" customHeight="1" x14ac:dyDescent="0.3">
      <c r="B399" s="128" t="s">
        <v>1497</v>
      </c>
      <c r="C399" s="128" t="s">
        <v>502</v>
      </c>
      <c r="D399" s="129">
        <v>41639</v>
      </c>
      <c r="E399" s="129">
        <v>41639</v>
      </c>
      <c r="F399" s="130">
        <v>5976.65</v>
      </c>
      <c r="G399" s="128" t="s">
        <v>1066</v>
      </c>
      <c r="H399" s="102">
        <v>10</v>
      </c>
      <c r="I399" s="129">
        <v>44926</v>
      </c>
      <c r="J399" s="101">
        <v>49.76</v>
      </c>
      <c r="K399" s="101">
        <v>597.66999999999996</v>
      </c>
      <c r="L399" s="101">
        <v>5379.03</v>
      </c>
      <c r="M399" s="101">
        <v>597.62</v>
      </c>
      <c r="N399" s="128" t="s">
        <v>1569</v>
      </c>
      <c r="O399" s="92" t="s">
        <v>1573</v>
      </c>
    </row>
    <row r="400" spans="2:15" ht="15" customHeight="1" x14ac:dyDescent="0.3">
      <c r="B400" s="128" t="s">
        <v>1498</v>
      </c>
      <c r="C400" s="128" t="s">
        <v>503</v>
      </c>
      <c r="D400" s="129">
        <v>41790</v>
      </c>
      <c r="E400" s="129">
        <v>41790</v>
      </c>
      <c r="F400" s="130">
        <v>683.85</v>
      </c>
      <c r="G400" s="128" t="s">
        <v>1066</v>
      </c>
      <c r="H400" s="102">
        <v>10</v>
      </c>
      <c r="I400" s="129">
        <v>44926</v>
      </c>
      <c r="J400" s="101">
        <v>5.69</v>
      </c>
      <c r="K400" s="101">
        <v>68.39</v>
      </c>
      <c r="L400" s="101">
        <v>587.01</v>
      </c>
      <c r="M400" s="101">
        <v>96.84</v>
      </c>
      <c r="N400" s="128" t="s">
        <v>1570</v>
      </c>
      <c r="O400" s="92" t="s">
        <v>1573</v>
      </c>
    </row>
    <row r="401" spans="2:15" ht="15" customHeight="1" x14ac:dyDescent="0.3">
      <c r="B401" s="128" t="s">
        <v>1499</v>
      </c>
      <c r="C401" s="128" t="s">
        <v>504</v>
      </c>
      <c r="D401" s="129">
        <v>41790</v>
      </c>
      <c r="E401" s="129">
        <v>41790</v>
      </c>
      <c r="F401" s="130">
        <v>2795.58</v>
      </c>
      <c r="G401" s="128" t="s">
        <v>1066</v>
      </c>
      <c r="H401" s="102">
        <v>10</v>
      </c>
      <c r="I401" s="129">
        <v>44926</v>
      </c>
      <c r="J401" s="101">
        <v>23.26</v>
      </c>
      <c r="K401" s="101">
        <v>279.56</v>
      </c>
      <c r="L401" s="101">
        <v>2399.56</v>
      </c>
      <c r="M401" s="101">
        <v>396.02</v>
      </c>
      <c r="N401" s="128" t="s">
        <v>1570</v>
      </c>
      <c r="O401" s="92" t="s">
        <v>1573</v>
      </c>
    </row>
    <row r="402" spans="2:15" ht="15" customHeight="1" x14ac:dyDescent="0.3">
      <c r="B402" s="128" t="s">
        <v>1500</v>
      </c>
      <c r="C402" s="128" t="s">
        <v>505</v>
      </c>
      <c r="D402" s="129">
        <v>41821</v>
      </c>
      <c r="E402" s="129">
        <v>41821</v>
      </c>
      <c r="F402" s="130">
        <v>5498.35</v>
      </c>
      <c r="G402" s="128" t="s">
        <v>1066</v>
      </c>
      <c r="H402" s="102">
        <v>10</v>
      </c>
      <c r="I402" s="129">
        <v>44926</v>
      </c>
      <c r="J402" s="101">
        <v>45.82</v>
      </c>
      <c r="K402" s="101">
        <v>549.84</v>
      </c>
      <c r="L402" s="101">
        <v>4673.6400000000003</v>
      </c>
      <c r="M402" s="101">
        <v>824.71</v>
      </c>
      <c r="N402" s="128" t="s">
        <v>1569</v>
      </c>
      <c r="O402" s="92" t="s">
        <v>1573</v>
      </c>
    </row>
    <row r="403" spans="2:15" ht="15" customHeight="1" x14ac:dyDescent="0.3">
      <c r="B403" s="128" t="s">
        <v>1501</v>
      </c>
      <c r="C403" s="128" t="s">
        <v>506</v>
      </c>
      <c r="D403" s="129">
        <v>41851</v>
      </c>
      <c r="E403" s="129">
        <v>41851</v>
      </c>
      <c r="F403" s="130">
        <v>982.26</v>
      </c>
      <c r="G403" s="128" t="s">
        <v>1066</v>
      </c>
      <c r="H403" s="102">
        <v>5</v>
      </c>
      <c r="I403" s="129">
        <v>43677</v>
      </c>
      <c r="J403" s="101">
        <v>0</v>
      </c>
      <c r="K403" s="101">
        <v>0</v>
      </c>
      <c r="L403" s="101">
        <v>982.26</v>
      </c>
      <c r="M403" s="101">
        <v>0</v>
      </c>
      <c r="N403" s="128" t="s">
        <v>1571</v>
      </c>
      <c r="O403" s="92" t="s">
        <v>1573</v>
      </c>
    </row>
    <row r="404" spans="2:15" ht="15" customHeight="1" x14ac:dyDescent="0.3">
      <c r="B404" s="128" t="s">
        <v>1502</v>
      </c>
      <c r="C404" s="128" t="s">
        <v>507</v>
      </c>
      <c r="D404" s="129">
        <v>41851</v>
      </c>
      <c r="E404" s="129">
        <v>41851</v>
      </c>
      <c r="F404" s="130">
        <v>357.1</v>
      </c>
      <c r="G404" s="128" t="s">
        <v>1066</v>
      </c>
      <c r="H404" s="102">
        <v>5</v>
      </c>
      <c r="I404" s="129">
        <v>43677</v>
      </c>
      <c r="J404" s="101">
        <v>0</v>
      </c>
      <c r="K404" s="101">
        <v>0</v>
      </c>
      <c r="L404" s="101">
        <v>357.1</v>
      </c>
      <c r="M404" s="101">
        <v>0</v>
      </c>
      <c r="N404" s="128" t="s">
        <v>1571</v>
      </c>
      <c r="O404" s="92" t="s">
        <v>1573</v>
      </c>
    </row>
    <row r="405" spans="2:15" ht="15" customHeight="1" x14ac:dyDescent="0.3">
      <c r="B405" s="128" t="s">
        <v>1503</v>
      </c>
      <c r="C405" s="128" t="s">
        <v>508</v>
      </c>
      <c r="D405" s="129">
        <v>41852</v>
      </c>
      <c r="E405" s="129">
        <v>41852</v>
      </c>
      <c r="F405" s="130">
        <v>349.46</v>
      </c>
      <c r="G405" s="128" t="s">
        <v>1066</v>
      </c>
      <c r="H405" s="102">
        <v>10</v>
      </c>
      <c r="I405" s="129">
        <v>44926</v>
      </c>
      <c r="J405" s="101">
        <v>2.94</v>
      </c>
      <c r="K405" s="101">
        <v>34.950000000000003</v>
      </c>
      <c r="L405" s="101">
        <v>294.16000000000003</v>
      </c>
      <c r="M405" s="101">
        <v>55.3</v>
      </c>
      <c r="N405" s="128" t="s">
        <v>1569</v>
      </c>
      <c r="O405" s="92" t="s">
        <v>1573</v>
      </c>
    </row>
    <row r="406" spans="2:15" ht="15" customHeight="1" x14ac:dyDescent="0.3">
      <c r="B406" s="128" t="s">
        <v>1504</v>
      </c>
      <c r="C406" s="128" t="s">
        <v>509</v>
      </c>
      <c r="D406" s="129">
        <v>42004</v>
      </c>
      <c r="E406" s="129">
        <v>42004</v>
      </c>
      <c r="F406" s="130">
        <v>1164.29</v>
      </c>
      <c r="G406" s="128" t="s">
        <v>1066</v>
      </c>
      <c r="H406" s="102">
        <v>10</v>
      </c>
      <c r="I406" s="129">
        <v>44926</v>
      </c>
      <c r="J406" s="101">
        <v>9.73</v>
      </c>
      <c r="K406" s="101">
        <v>116.43</v>
      </c>
      <c r="L406" s="101">
        <v>931.44</v>
      </c>
      <c r="M406" s="101">
        <v>232.85</v>
      </c>
      <c r="N406" s="128" t="s">
        <v>1570</v>
      </c>
      <c r="O406" s="92" t="s">
        <v>1573</v>
      </c>
    </row>
    <row r="407" spans="2:15" ht="15" customHeight="1" x14ac:dyDescent="0.3">
      <c r="B407" s="128" t="s">
        <v>1505</v>
      </c>
      <c r="C407" s="128" t="s">
        <v>510</v>
      </c>
      <c r="D407" s="129">
        <v>42035</v>
      </c>
      <c r="E407" s="129">
        <v>42035</v>
      </c>
      <c r="F407" s="130">
        <v>2194.23</v>
      </c>
      <c r="G407" s="128" t="s">
        <v>1066</v>
      </c>
      <c r="H407" s="102">
        <v>10</v>
      </c>
      <c r="I407" s="129">
        <v>44926</v>
      </c>
      <c r="J407" s="101">
        <v>18.23</v>
      </c>
      <c r="K407" s="101">
        <v>219.42</v>
      </c>
      <c r="L407" s="101">
        <v>1737.08</v>
      </c>
      <c r="M407" s="101">
        <v>457.15</v>
      </c>
      <c r="N407" s="128" t="s">
        <v>1570</v>
      </c>
      <c r="O407" s="92" t="s">
        <v>1573</v>
      </c>
    </row>
    <row r="408" spans="2:15" ht="15" customHeight="1" x14ac:dyDescent="0.3">
      <c r="B408" s="128" t="s">
        <v>1506</v>
      </c>
      <c r="C408" s="128" t="s">
        <v>511</v>
      </c>
      <c r="D408" s="129">
        <v>42064</v>
      </c>
      <c r="E408" s="129">
        <v>42064</v>
      </c>
      <c r="F408" s="130">
        <v>2910.55</v>
      </c>
      <c r="G408" s="128" t="s">
        <v>1066</v>
      </c>
      <c r="H408" s="102">
        <v>20</v>
      </c>
      <c r="I408" s="129">
        <v>44926</v>
      </c>
      <c r="J408" s="101">
        <v>12.1</v>
      </c>
      <c r="K408" s="101">
        <v>145.53</v>
      </c>
      <c r="L408" s="101">
        <v>1139.98</v>
      </c>
      <c r="M408" s="101">
        <v>1770.57</v>
      </c>
      <c r="N408" s="128" t="s">
        <v>1568</v>
      </c>
      <c r="O408" s="92" t="s">
        <v>1573</v>
      </c>
    </row>
    <row r="409" spans="2:15" ht="15" customHeight="1" x14ac:dyDescent="0.3">
      <c r="B409" s="128" t="s">
        <v>1507</v>
      </c>
      <c r="C409" s="128" t="s">
        <v>512</v>
      </c>
      <c r="D409" s="129">
        <v>42185</v>
      </c>
      <c r="E409" s="129">
        <v>42185</v>
      </c>
      <c r="F409" s="130">
        <v>332.93</v>
      </c>
      <c r="G409" s="128" t="s">
        <v>1066</v>
      </c>
      <c r="H409" s="102">
        <v>5</v>
      </c>
      <c r="I409" s="129">
        <v>44012</v>
      </c>
      <c r="J409" s="101">
        <v>0</v>
      </c>
      <c r="K409" s="101">
        <v>0</v>
      </c>
      <c r="L409" s="101">
        <v>332.93</v>
      </c>
      <c r="M409" s="101">
        <v>0</v>
      </c>
      <c r="N409" s="128" t="s">
        <v>1571</v>
      </c>
      <c r="O409" s="92" t="s">
        <v>1573</v>
      </c>
    </row>
    <row r="410" spans="2:15" ht="15" customHeight="1" x14ac:dyDescent="0.3">
      <c r="B410" s="128" t="s">
        <v>1508</v>
      </c>
      <c r="C410" s="128" t="s">
        <v>513</v>
      </c>
      <c r="D410" s="129">
        <v>42185</v>
      </c>
      <c r="E410" s="129">
        <v>42185</v>
      </c>
      <c r="F410" s="130">
        <v>332.93</v>
      </c>
      <c r="G410" s="128" t="s">
        <v>1066</v>
      </c>
      <c r="H410" s="102">
        <v>5</v>
      </c>
      <c r="I410" s="129">
        <v>44012</v>
      </c>
      <c r="J410" s="101">
        <v>0</v>
      </c>
      <c r="K410" s="101">
        <v>0</v>
      </c>
      <c r="L410" s="101">
        <v>332.93</v>
      </c>
      <c r="M410" s="101">
        <v>0</v>
      </c>
      <c r="N410" s="128" t="s">
        <v>1571</v>
      </c>
      <c r="O410" s="92" t="s">
        <v>1573</v>
      </c>
    </row>
    <row r="411" spans="2:15" ht="15" customHeight="1" x14ac:dyDescent="0.3">
      <c r="B411" s="128" t="s">
        <v>1509</v>
      </c>
      <c r="C411" s="128" t="s">
        <v>514</v>
      </c>
      <c r="D411" s="129">
        <v>42185</v>
      </c>
      <c r="E411" s="129">
        <v>42185</v>
      </c>
      <c r="F411" s="130">
        <v>1054.5</v>
      </c>
      <c r="G411" s="128" t="s">
        <v>1066</v>
      </c>
      <c r="H411" s="102">
        <v>5</v>
      </c>
      <c r="I411" s="129">
        <v>44012</v>
      </c>
      <c r="J411" s="101">
        <v>0</v>
      </c>
      <c r="K411" s="101">
        <v>0</v>
      </c>
      <c r="L411" s="101">
        <v>1054.5</v>
      </c>
      <c r="M411" s="101">
        <v>0</v>
      </c>
      <c r="N411" s="128" t="s">
        <v>1571</v>
      </c>
      <c r="O411" s="92" t="s">
        <v>1573</v>
      </c>
    </row>
    <row r="412" spans="2:15" ht="15" customHeight="1" x14ac:dyDescent="0.3">
      <c r="B412" s="128" t="s">
        <v>1510</v>
      </c>
      <c r="C412" s="128" t="s">
        <v>515</v>
      </c>
      <c r="D412" s="129">
        <v>42185</v>
      </c>
      <c r="E412" s="129">
        <v>42185</v>
      </c>
      <c r="F412" s="130">
        <v>2822.06</v>
      </c>
      <c r="G412" s="128" t="s">
        <v>1066</v>
      </c>
      <c r="H412" s="102">
        <v>10</v>
      </c>
      <c r="I412" s="129">
        <v>44926</v>
      </c>
      <c r="J412" s="101">
        <v>23.49</v>
      </c>
      <c r="K412" s="101">
        <v>282.20999999999998</v>
      </c>
      <c r="L412" s="101">
        <v>2116.5700000000002</v>
      </c>
      <c r="M412" s="101">
        <v>705.49</v>
      </c>
      <c r="N412" s="128" t="s">
        <v>1572</v>
      </c>
      <c r="O412" s="92" t="s">
        <v>1573</v>
      </c>
    </row>
    <row r="413" spans="2:15" ht="15" customHeight="1" x14ac:dyDescent="0.3">
      <c r="B413" s="128" t="s">
        <v>1511</v>
      </c>
      <c r="C413" s="128" t="s">
        <v>516</v>
      </c>
      <c r="D413" s="129">
        <v>42247</v>
      </c>
      <c r="E413" s="129">
        <v>42247</v>
      </c>
      <c r="F413" s="130">
        <v>6173.83</v>
      </c>
      <c r="G413" s="128" t="s">
        <v>1066</v>
      </c>
      <c r="H413" s="102">
        <v>20</v>
      </c>
      <c r="I413" s="129">
        <v>44926</v>
      </c>
      <c r="J413" s="101">
        <v>25.77</v>
      </c>
      <c r="K413" s="101">
        <v>308.69</v>
      </c>
      <c r="L413" s="101">
        <v>2263.73</v>
      </c>
      <c r="M413" s="101">
        <v>3910.1</v>
      </c>
      <c r="N413" s="128" t="s">
        <v>1568</v>
      </c>
      <c r="O413" s="92" t="s">
        <v>1573</v>
      </c>
    </row>
    <row r="414" spans="2:15" ht="15" customHeight="1" x14ac:dyDescent="0.3">
      <c r="B414" s="128" t="s">
        <v>1512</v>
      </c>
      <c r="C414" s="128" t="s">
        <v>517</v>
      </c>
      <c r="D414" s="129">
        <v>42400</v>
      </c>
      <c r="E414" s="129">
        <v>42400</v>
      </c>
      <c r="F414" s="130">
        <v>2172.89</v>
      </c>
      <c r="G414" s="128" t="s">
        <v>1066</v>
      </c>
      <c r="H414" s="102">
        <v>10</v>
      </c>
      <c r="I414" s="129">
        <v>44926</v>
      </c>
      <c r="J414" s="101">
        <v>18.079999999999998</v>
      </c>
      <c r="K414" s="101">
        <v>217.29</v>
      </c>
      <c r="L414" s="101">
        <v>1502.92</v>
      </c>
      <c r="M414" s="101">
        <v>669.97</v>
      </c>
      <c r="N414" s="128" t="s">
        <v>1572</v>
      </c>
      <c r="O414" s="92" t="s">
        <v>1573</v>
      </c>
    </row>
    <row r="415" spans="2:15" ht="15" customHeight="1" x14ac:dyDescent="0.3">
      <c r="B415" s="128" t="s">
        <v>1513</v>
      </c>
      <c r="C415" s="128" t="s">
        <v>518</v>
      </c>
      <c r="D415" s="129">
        <v>42401</v>
      </c>
      <c r="E415" s="129">
        <v>42401</v>
      </c>
      <c r="F415" s="130">
        <v>619.41999999999996</v>
      </c>
      <c r="G415" s="128" t="s">
        <v>1066</v>
      </c>
      <c r="H415" s="102">
        <v>10</v>
      </c>
      <c r="I415" s="129">
        <v>44926</v>
      </c>
      <c r="J415" s="101">
        <v>5.18</v>
      </c>
      <c r="K415" s="101">
        <v>61.94</v>
      </c>
      <c r="L415" s="101">
        <v>428.42</v>
      </c>
      <c r="M415" s="101">
        <v>191</v>
      </c>
      <c r="N415" s="128" t="s">
        <v>1572</v>
      </c>
      <c r="O415" s="92" t="s">
        <v>1573</v>
      </c>
    </row>
    <row r="416" spans="2:15" ht="15" customHeight="1" x14ac:dyDescent="0.3">
      <c r="B416" s="128" t="s">
        <v>1514</v>
      </c>
      <c r="C416" s="128" t="s">
        <v>519</v>
      </c>
      <c r="D416" s="129">
        <v>42429</v>
      </c>
      <c r="E416" s="129">
        <v>42429</v>
      </c>
      <c r="F416" s="130">
        <v>421.15</v>
      </c>
      <c r="G416" s="128" t="s">
        <v>1066</v>
      </c>
      <c r="H416" s="102">
        <v>10</v>
      </c>
      <c r="I416" s="129">
        <v>44926</v>
      </c>
      <c r="J416" s="101">
        <v>3.51</v>
      </c>
      <c r="K416" s="101">
        <v>42.12</v>
      </c>
      <c r="L416" s="101">
        <v>287.82</v>
      </c>
      <c r="M416" s="101">
        <v>133.33000000000001</v>
      </c>
      <c r="N416" s="128" t="s">
        <v>1569</v>
      </c>
      <c r="O416" s="92" t="s">
        <v>1573</v>
      </c>
    </row>
    <row r="417" spans="2:15" ht="15" customHeight="1" x14ac:dyDescent="0.3">
      <c r="B417" s="128" t="s">
        <v>1515</v>
      </c>
      <c r="C417" s="128" t="s">
        <v>520</v>
      </c>
      <c r="D417" s="129">
        <v>42460</v>
      </c>
      <c r="E417" s="129">
        <v>42460</v>
      </c>
      <c r="F417" s="130">
        <v>1654.45</v>
      </c>
      <c r="G417" s="128" t="s">
        <v>1066</v>
      </c>
      <c r="H417" s="102">
        <v>10</v>
      </c>
      <c r="I417" s="129">
        <v>44926</v>
      </c>
      <c r="J417" s="101">
        <v>13.76</v>
      </c>
      <c r="K417" s="101">
        <v>165.45</v>
      </c>
      <c r="L417" s="101">
        <v>1116.78</v>
      </c>
      <c r="M417" s="101">
        <v>537.66999999999996</v>
      </c>
      <c r="N417" s="128" t="s">
        <v>1570</v>
      </c>
      <c r="O417" s="92" t="s">
        <v>1573</v>
      </c>
    </row>
    <row r="418" spans="2:15" ht="15" customHeight="1" x14ac:dyDescent="0.3">
      <c r="B418" s="128" t="s">
        <v>1516</v>
      </c>
      <c r="C418" s="128" t="s">
        <v>521</v>
      </c>
      <c r="D418" s="129">
        <v>42460</v>
      </c>
      <c r="E418" s="129">
        <v>42460</v>
      </c>
      <c r="F418" s="130">
        <v>3920</v>
      </c>
      <c r="G418" s="128" t="s">
        <v>1066</v>
      </c>
      <c r="H418" s="102">
        <v>10</v>
      </c>
      <c r="I418" s="129">
        <v>44926</v>
      </c>
      <c r="J418" s="101">
        <v>32.630000000000003</v>
      </c>
      <c r="K418" s="101">
        <v>392</v>
      </c>
      <c r="L418" s="101">
        <v>2646</v>
      </c>
      <c r="M418" s="101">
        <v>1274</v>
      </c>
      <c r="N418" s="128" t="s">
        <v>1569</v>
      </c>
      <c r="O418" s="92" t="s">
        <v>1573</v>
      </c>
    </row>
    <row r="419" spans="2:15" ht="15" customHeight="1" x14ac:dyDescent="0.3">
      <c r="B419" s="128" t="s">
        <v>1517</v>
      </c>
      <c r="C419" s="128" t="s">
        <v>522</v>
      </c>
      <c r="D419" s="129">
        <v>42460</v>
      </c>
      <c r="E419" s="129">
        <v>42460</v>
      </c>
      <c r="F419" s="130">
        <v>747.83</v>
      </c>
      <c r="G419" s="128" t="s">
        <v>1066</v>
      </c>
      <c r="H419" s="102">
        <v>10</v>
      </c>
      <c r="I419" s="129">
        <v>44926</v>
      </c>
      <c r="J419" s="101">
        <v>6.25</v>
      </c>
      <c r="K419" s="101">
        <v>74.78</v>
      </c>
      <c r="L419" s="101">
        <v>504.77</v>
      </c>
      <c r="M419" s="101">
        <v>243.06</v>
      </c>
      <c r="N419" s="128" t="s">
        <v>1570</v>
      </c>
      <c r="O419" s="92" t="s">
        <v>1573</v>
      </c>
    </row>
    <row r="420" spans="2:15" ht="15" customHeight="1" x14ac:dyDescent="0.3">
      <c r="B420" s="128" t="s">
        <v>1518</v>
      </c>
      <c r="C420" s="128" t="s">
        <v>523</v>
      </c>
      <c r="D420" s="129">
        <v>42460</v>
      </c>
      <c r="E420" s="129">
        <v>42460</v>
      </c>
      <c r="F420" s="130">
        <v>490</v>
      </c>
      <c r="G420" s="128" t="s">
        <v>1066</v>
      </c>
      <c r="H420" s="102">
        <v>10</v>
      </c>
      <c r="I420" s="129">
        <v>44926</v>
      </c>
      <c r="J420" s="101">
        <v>4.12</v>
      </c>
      <c r="K420" s="101">
        <v>49</v>
      </c>
      <c r="L420" s="101">
        <v>330.75</v>
      </c>
      <c r="M420" s="101">
        <v>159.25</v>
      </c>
      <c r="N420" s="128" t="s">
        <v>1570</v>
      </c>
      <c r="O420" s="92" t="s">
        <v>1573</v>
      </c>
    </row>
    <row r="421" spans="2:15" ht="15" customHeight="1" x14ac:dyDescent="0.3">
      <c r="B421" s="128" t="s">
        <v>1519</v>
      </c>
      <c r="C421" s="128" t="s">
        <v>524</v>
      </c>
      <c r="D421" s="129">
        <v>42430</v>
      </c>
      <c r="E421" s="129">
        <v>42430</v>
      </c>
      <c r="F421" s="130">
        <v>6754.77</v>
      </c>
      <c r="G421" s="128" t="s">
        <v>1066</v>
      </c>
      <c r="H421" s="102">
        <v>10</v>
      </c>
      <c r="I421" s="129">
        <v>44926</v>
      </c>
      <c r="J421" s="101">
        <v>56.29</v>
      </c>
      <c r="K421" s="101">
        <v>675.48</v>
      </c>
      <c r="L421" s="101">
        <v>4615.78</v>
      </c>
      <c r="M421" s="101">
        <v>2138.9899999999998</v>
      </c>
      <c r="N421" s="128" t="s">
        <v>1570</v>
      </c>
      <c r="O421" s="92" t="s">
        <v>1573</v>
      </c>
    </row>
    <row r="422" spans="2:15" ht="15" customHeight="1" x14ac:dyDescent="0.3">
      <c r="B422" s="128" t="s">
        <v>1520</v>
      </c>
      <c r="C422" s="128" t="s">
        <v>525</v>
      </c>
      <c r="D422" s="129">
        <v>42430</v>
      </c>
      <c r="E422" s="129">
        <v>42430</v>
      </c>
      <c r="F422" s="130">
        <v>4287.76</v>
      </c>
      <c r="G422" s="128" t="s">
        <v>1066</v>
      </c>
      <c r="H422" s="102">
        <v>5</v>
      </c>
      <c r="I422" s="129">
        <v>44256</v>
      </c>
      <c r="J422" s="101">
        <v>0</v>
      </c>
      <c r="K422" s="101">
        <v>0</v>
      </c>
      <c r="L422" s="101">
        <v>4287.76</v>
      </c>
      <c r="M422" s="101">
        <v>0</v>
      </c>
      <c r="N422" s="128" t="s">
        <v>1571</v>
      </c>
      <c r="O422" s="92" t="s">
        <v>1573</v>
      </c>
    </row>
    <row r="423" spans="2:15" ht="15" customHeight="1" x14ac:dyDescent="0.3">
      <c r="B423" s="128" t="s">
        <v>1521</v>
      </c>
      <c r="C423" s="128" t="s">
        <v>526</v>
      </c>
      <c r="D423" s="129">
        <v>42430</v>
      </c>
      <c r="E423" s="129">
        <v>42430</v>
      </c>
      <c r="F423" s="130">
        <v>9490.2800000000007</v>
      </c>
      <c r="G423" s="128" t="s">
        <v>1066</v>
      </c>
      <c r="H423" s="102">
        <v>10</v>
      </c>
      <c r="I423" s="129">
        <v>44926</v>
      </c>
      <c r="J423" s="101">
        <v>79.040000000000006</v>
      </c>
      <c r="K423" s="101">
        <v>949.03</v>
      </c>
      <c r="L423" s="101">
        <v>6485.04</v>
      </c>
      <c r="M423" s="101">
        <v>3005.24</v>
      </c>
      <c r="N423" s="128" t="s">
        <v>1569</v>
      </c>
      <c r="O423" s="92" t="s">
        <v>1573</v>
      </c>
    </row>
    <row r="424" spans="2:15" ht="15" customHeight="1" x14ac:dyDescent="0.3">
      <c r="B424" s="128" t="s">
        <v>1522</v>
      </c>
      <c r="C424" s="128" t="s">
        <v>527</v>
      </c>
      <c r="D424" s="129">
        <v>42430</v>
      </c>
      <c r="E424" s="129">
        <v>42430</v>
      </c>
      <c r="F424" s="130">
        <v>2403.39</v>
      </c>
      <c r="G424" s="128" t="s">
        <v>1066</v>
      </c>
      <c r="H424" s="102">
        <v>10</v>
      </c>
      <c r="I424" s="129">
        <v>44926</v>
      </c>
      <c r="J424" s="101">
        <v>20.010000000000002</v>
      </c>
      <c r="K424" s="101">
        <v>240.34</v>
      </c>
      <c r="L424" s="101">
        <v>1642.32</v>
      </c>
      <c r="M424" s="101">
        <v>761.07</v>
      </c>
      <c r="N424" s="128" t="s">
        <v>1569</v>
      </c>
      <c r="O424" s="92" t="s">
        <v>1573</v>
      </c>
    </row>
    <row r="425" spans="2:15" ht="15" customHeight="1" x14ac:dyDescent="0.3">
      <c r="B425" s="128" t="s">
        <v>1523</v>
      </c>
      <c r="C425" s="128" t="s">
        <v>528</v>
      </c>
      <c r="D425" s="129">
        <v>42430</v>
      </c>
      <c r="E425" s="129">
        <v>42430</v>
      </c>
      <c r="F425" s="130">
        <v>5259.01</v>
      </c>
      <c r="G425" s="128" t="s">
        <v>1066</v>
      </c>
      <c r="H425" s="102">
        <v>5</v>
      </c>
      <c r="I425" s="129">
        <v>44256</v>
      </c>
      <c r="J425" s="101">
        <v>0</v>
      </c>
      <c r="K425" s="101">
        <v>0</v>
      </c>
      <c r="L425" s="101">
        <v>5259.01</v>
      </c>
      <c r="M425" s="101">
        <v>0</v>
      </c>
      <c r="N425" s="128" t="s">
        <v>1571</v>
      </c>
      <c r="O425" s="92" t="s">
        <v>1573</v>
      </c>
    </row>
    <row r="426" spans="2:15" ht="15" customHeight="1" x14ac:dyDescent="0.3">
      <c r="B426" s="128" t="s">
        <v>1524</v>
      </c>
      <c r="C426" s="128" t="s">
        <v>529</v>
      </c>
      <c r="D426" s="129">
        <v>42551</v>
      </c>
      <c r="E426" s="129">
        <v>42551</v>
      </c>
      <c r="F426" s="130">
        <v>86.88</v>
      </c>
      <c r="G426" s="128" t="s">
        <v>1066</v>
      </c>
      <c r="H426" s="102">
        <v>10</v>
      </c>
      <c r="I426" s="129">
        <v>44926</v>
      </c>
      <c r="J426" s="101">
        <v>0.77</v>
      </c>
      <c r="K426" s="101">
        <v>8.69</v>
      </c>
      <c r="L426" s="101">
        <v>56.48</v>
      </c>
      <c r="M426" s="101">
        <v>30.4</v>
      </c>
      <c r="N426" s="128" t="s">
        <v>1569</v>
      </c>
      <c r="O426" s="92" t="s">
        <v>1573</v>
      </c>
    </row>
    <row r="427" spans="2:15" ht="15" customHeight="1" x14ac:dyDescent="0.3">
      <c r="B427" s="128" t="s">
        <v>1525</v>
      </c>
      <c r="C427" s="128" t="s">
        <v>530</v>
      </c>
      <c r="D427" s="129">
        <v>42551</v>
      </c>
      <c r="E427" s="129">
        <v>42551</v>
      </c>
      <c r="F427" s="130">
        <v>1681.82</v>
      </c>
      <c r="G427" s="128" t="s">
        <v>1066</v>
      </c>
      <c r="H427" s="102">
        <v>10</v>
      </c>
      <c r="I427" s="129">
        <v>44926</v>
      </c>
      <c r="J427" s="101">
        <v>13.96</v>
      </c>
      <c r="K427" s="101">
        <v>168.18</v>
      </c>
      <c r="L427" s="101">
        <v>1093.17</v>
      </c>
      <c r="M427" s="101">
        <v>588.65</v>
      </c>
      <c r="N427" s="128" t="s">
        <v>1570</v>
      </c>
      <c r="O427" s="92" t="s">
        <v>1573</v>
      </c>
    </row>
    <row r="428" spans="2:15" ht="15" customHeight="1" x14ac:dyDescent="0.3">
      <c r="B428" s="128" t="s">
        <v>1526</v>
      </c>
      <c r="C428" s="128" t="s">
        <v>531</v>
      </c>
      <c r="D428" s="129">
        <v>42551</v>
      </c>
      <c r="E428" s="129">
        <v>42551</v>
      </c>
      <c r="F428" s="130">
        <v>223.25</v>
      </c>
      <c r="G428" s="128" t="s">
        <v>1066</v>
      </c>
      <c r="H428" s="102">
        <v>5</v>
      </c>
      <c r="I428" s="129">
        <v>44377</v>
      </c>
      <c r="J428" s="101">
        <v>0</v>
      </c>
      <c r="K428" s="101">
        <v>0</v>
      </c>
      <c r="L428" s="101">
        <v>223.25</v>
      </c>
      <c r="M428" s="101">
        <v>0</v>
      </c>
      <c r="N428" s="128" t="s">
        <v>1571</v>
      </c>
      <c r="O428" s="92" t="s">
        <v>1573</v>
      </c>
    </row>
    <row r="429" spans="2:15" ht="15" customHeight="1" x14ac:dyDescent="0.3">
      <c r="B429" s="128" t="s">
        <v>1527</v>
      </c>
      <c r="C429" s="128" t="s">
        <v>532</v>
      </c>
      <c r="D429" s="129">
        <v>42552</v>
      </c>
      <c r="E429" s="129">
        <v>42552</v>
      </c>
      <c r="F429" s="130">
        <v>103.77</v>
      </c>
      <c r="G429" s="128" t="s">
        <v>1066</v>
      </c>
      <c r="H429" s="102">
        <v>10</v>
      </c>
      <c r="I429" s="129">
        <v>44926</v>
      </c>
      <c r="J429" s="101">
        <v>0.92</v>
      </c>
      <c r="K429" s="101">
        <v>10.38</v>
      </c>
      <c r="L429" s="101">
        <v>67.47</v>
      </c>
      <c r="M429" s="101">
        <v>36.299999999999997</v>
      </c>
      <c r="N429" s="128" t="s">
        <v>1570</v>
      </c>
      <c r="O429" s="92" t="s">
        <v>1573</v>
      </c>
    </row>
    <row r="430" spans="2:15" ht="15" customHeight="1" x14ac:dyDescent="0.3">
      <c r="B430" s="128" t="s">
        <v>1528</v>
      </c>
      <c r="C430" s="128" t="s">
        <v>533</v>
      </c>
      <c r="D430" s="129">
        <v>42948</v>
      </c>
      <c r="E430" s="129">
        <v>42948</v>
      </c>
      <c r="F430" s="130">
        <v>1233</v>
      </c>
      <c r="G430" s="128" t="s">
        <v>1066</v>
      </c>
      <c r="H430" s="102">
        <v>20</v>
      </c>
      <c r="I430" s="129">
        <v>44926</v>
      </c>
      <c r="J430" s="101">
        <v>5.1100000000000003</v>
      </c>
      <c r="K430" s="101">
        <v>61.65</v>
      </c>
      <c r="L430" s="101">
        <v>333.94</v>
      </c>
      <c r="M430" s="101">
        <v>899.06</v>
      </c>
      <c r="N430" s="128" t="s">
        <v>1568</v>
      </c>
      <c r="O430" s="92" t="s">
        <v>1573</v>
      </c>
    </row>
    <row r="431" spans="2:15" ht="15" customHeight="1" x14ac:dyDescent="0.3">
      <c r="B431" s="128" t="s">
        <v>1529</v>
      </c>
      <c r="C431" s="128" t="s">
        <v>534</v>
      </c>
      <c r="D431" s="129">
        <v>43404</v>
      </c>
      <c r="E431" s="129">
        <v>43404</v>
      </c>
      <c r="F431" s="130">
        <v>5198.28</v>
      </c>
      <c r="G431" s="128" t="s">
        <v>1066</v>
      </c>
      <c r="H431" s="102">
        <v>5</v>
      </c>
      <c r="I431" s="129">
        <v>44926</v>
      </c>
      <c r="J431" s="101">
        <v>86.62</v>
      </c>
      <c r="K431" s="101">
        <v>1039.6600000000001</v>
      </c>
      <c r="L431" s="101">
        <v>4331.92</v>
      </c>
      <c r="M431" s="101">
        <v>866.36</v>
      </c>
      <c r="N431" s="128" t="s">
        <v>1571</v>
      </c>
      <c r="O431" s="92" t="s">
        <v>1573</v>
      </c>
    </row>
    <row r="432" spans="2:15" ht="15" customHeight="1" x14ac:dyDescent="0.3">
      <c r="B432" s="128" t="s">
        <v>1530</v>
      </c>
      <c r="C432" s="128" t="s">
        <v>535</v>
      </c>
      <c r="D432" s="129">
        <v>43496</v>
      </c>
      <c r="E432" s="129">
        <v>43496</v>
      </c>
      <c r="F432" s="130">
        <v>626.44000000000005</v>
      </c>
      <c r="G432" s="128" t="s">
        <v>1066</v>
      </c>
      <c r="H432" s="102">
        <v>10</v>
      </c>
      <c r="I432" s="129">
        <v>44926</v>
      </c>
      <c r="J432" s="101">
        <v>5.22</v>
      </c>
      <c r="K432" s="101">
        <v>62.64</v>
      </c>
      <c r="L432" s="101">
        <v>245.34</v>
      </c>
      <c r="M432" s="101">
        <v>381.1</v>
      </c>
      <c r="N432" s="128" t="s">
        <v>1570</v>
      </c>
      <c r="O432" s="92" t="s">
        <v>1573</v>
      </c>
    </row>
    <row r="433" spans="2:15" ht="15" customHeight="1" x14ac:dyDescent="0.3">
      <c r="B433" s="128" t="s">
        <v>1531</v>
      </c>
      <c r="C433" s="128" t="s">
        <v>536</v>
      </c>
      <c r="D433" s="129">
        <v>43524</v>
      </c>
      <c r="E433" s="129">
        <v>43524</v>
      </c>
      <c r="F433" s="130">
        <v>627.01</v>
      </c>
      <c r="G433" s="128" t="s">
        <v>1066</v>
      </c>
      <c r="H433" s="102">
        <v>20</v>
      </c>
      <c r="I433" s="129">
        <v>44926</v>
      </c>
      <c r="J433" s="101">
        <v>2.64</v>
      </c>
      <c r="K433" s="101">
        <v>31.35</v>
      </c>
      <c r="L433" s="101">
        <v>120.18</v>
      </c>
      <c r="M433" s="101">
        <v>506.83</v>
      </c>
      <c r="N433" s="128" t="s">
        <v>1568</v>
      </c>
      <c r="O433" s="92" t="s">
        <v>1573</v>
      </c>
    </row>
    <row r="434" spans="2:15" ht="15" customHeight="1" x14ac:dyDescent="0.3">
      <c r="B434" s="128" t="s">
        <v>1532</v>
      </c>
      <c r="C434" s="128" t="s">
        <v>537</v>
      </c>
      <c r="D434" s="129">
        <v>43524</v>
      </c>
      <c r="E434" s="129">
        <v>43524</v>
      </c>
      <c r="F434" s="130">
        <v>2665.53</v>
      </c>
      <c r="G434" s="128" t="s">
        <v>1066</v>
      </c>
      <c r="H434" s="102">
        <v>10</v>
      </c>
      <c r="I434" s="129">
        <v>44926</v>
      </c>
      <c r="J434" s="101">
        <v>22.24</v>
      </c>
      <c r="K434" s="101">
        <v>266.55</v>
      </c>
      <c r="L434" s="101">
        <v>1021.78</v>
      </c>
      <c r="M434" s="101">
        <v>1643.75</v>
      </c>
      <c r="N434" s="128" t="s">
        <v>1569</v>
      </c>
      <c r="O434" s="92" t="s">
        <v>1573</v>
      </c>
    </row>
    <row r="435" spans="2:15" ht="15" customHeight="1" x14ac:dyDescent="0.3">
      <c r="B435" s="128" t="s">
        <v>1533</v>
      </c>
      <c r="C435" s="128" t="s">
        <v>538</v>
      </c>
      <c r="D435" s="129">
        <v>43524</v>
      </c>
      <c r="E435" s="129">
        <v>43524</v>
      </c>
      <c r="F435" s="130">
        <v>888.3</v>
      </c>
      <c r="G435" s="128" t="s">
        <v>1066</v>
      </c>
      <c r="H435" s="102">
        <v>10</v>
      </c>
      <c r="I435" s="129">
        <v>44926</v>
      </c>
      <c r="J435" s="101">
        <v>7.43</v>
      </c>
      <c r="K435" s="101">
        <v>88.83</v>
      </c>
      <c r="L435" s="101">
        <v>340.52</v>
      </c>
      <c r="M435" s="101">
        <v>547.78</v>
      </c>
      <c r="N435" s="128" t="s">
        <v>1570</v>
      </c>
      <c r="O435" s="92" t="s">
        <v>1573</v>
      </c>
    </row>
    <row r="436" spans="2:15" ht="15" customHeight="1" x14ac:dyDescent="0.3">
      <c r="B436" s="128" t="s">
        <v>1534</v>
      </c>
      <c r="C436" s="128" t="s">
        <v>539</v>
      </c>
      <c r="D436" s="129">
        <v>43585</v>
      </c>
      <c r="E436" s="129">
        <v>43585</v>
      </c>
      <c r="F436" s="130">
        <v>2870</v>
      </c>
      <c r="G436" s="128" t="s">
        <v>1066</v>
      </c>
      <c r="H436" s="102">
        <v>10</v>
      </c>
      <c r="I436" s="129">
        <v>44926</v>
      </c>
      <c r="J436" s="101">
        <v>23.88</v>
      </c>
      <c r="K436" s="101">
        <v>287</v>
      </c>
      <c r="L436" s="101">
        <v>1052.33</v>
      </c>
      <c r="M436" s="101">
        <v>1817.67</v>
      </c>
      <c r="N436" s="128" t="s">
        <v>1569</v>
      </c>
      <c r="O436" s="92" t="s">
        <v>1573</v>
      </c>
    </row>
    <row r="437" spans="2:15" ht="15" customHeight="1" x14ac:dyDescent="0.3">
      <c r="B437" s="128" t="s">
        <v>1535</v>
      </c>
      <c r="C437" s="128" t="s">
        <v>540</v>
      </c>
      <c r="D437" s="129">
        <v>43646</v>
      </c>
      <c r="E437" s="129">
        <v>43646</v>
      </c>
      <c r="F437" s="130">
        <v>1442.94</v>
      </c>
      <c r="G437" s="128" t="s">
        <v>1066</v>
      </c>
      <c r="H437" s="102">
        <v>5</v>
      </c>
      <c r="I437" s="129">
        <v>44926</v>
      </c>
      <c r="J437" s="101">
        <v>24.04</v>
      </c>
      <c r="K437" s="101">
        <v>288.58999999999997</v>
      </c>
      <c r="L437" s="101">
        <v>1010.06</v>
      </c>
      <c r="M437" s="101">
        <v>432.88</v>
      </c>
      <c r="N437" s="128" t="s">
        <v>1571</v>
      </c>
      <c r="O437" s="92" t="s">
        <v>1573</v>
      </c>
    </row>
    <row r="438" spans="2:15" ht="15" customHeight="1" x14ac:dyDescent="0.3">
      <c r="B438" s="128" t="s">
        <v>1536</v>
      </c>
      <c r="C438" s="128" t="s">
        <v>541</v>
      </c>
      <c r="D438" s="129">
        <v>43738</v>
      </c>
      <c r="E438" s="129">
        <v>43738</v>
      </c>
      <c r="F438" s="130">
        <v>3675.98</v>
      </c>
      <c r="G438" s="128" t="s">
        <v>1066</v>
      </c>
      <c r="H438" s="102">
        <v>10</v>
      </c>
      <c r="I438" s="129">
        <v>44926</v>
      </c>
      <c r="J438" s="101">
        <v>30.67</v>
      </c>
      <c r="K438" s="101">
        <v>367.6</v>
      </c>
      <c r="L438" s="101">
        <v>1194.7</v>
      </c>
      <c r="M438" s="101">
        <v>2481.2800000000002</v>
      </c>
      <c r="N438" s="128" t="s">
        <v>1569</v>
      </c>
      <c r="O438" s="92" t="s">
        <v>1573</v>
      </c>
    </row>
    <row r="439" spans="2:15" ht="15" customHeight="1" x14ac:dyDescent="0.3">
      <c r="B439" s="128" t="s">
        <v>1537</v>
      </c>
      <c r="C439" s="128" t="s">
        <v>542</v>
      </c>
      <c r="D439" s="129">
        <v>43769</v>
      </c>
      <c r="E439" s="129">
        <v>43769</v>
      </c>
      <c r="F439" s="130">
        <v>24464.29</v>
      </c>
      <c r="G439" s="128" t="s">
        <v>1066</v>
      </c>
      <c r="H439" s="102">
        <v>10</v>
      </c>
      <c r="I439" s="129">
        <v>44926</v>
      </c>
      <c r="J439" s="101">
        <v>203.86</v>
      </c>
      <c r="K439" s="101">
        <v>2446.4299999999998</v>
      </c>
      <c r="L439" s="101">
        <v>7747.03</v>
      </c>
      <c r="M439" s="101">
        <v>16717.259999999998</v>
      </c>
      <c r="N439" s="128" t="s">
        <v>1572</v>
      </c>
      <c r="O439" s="92" t="s">
        <v>1573</v>
      </c>
    </row>
    <row r="440" spans="2:15" ht="15" customHeight="1" x14ac:dyDescent="0.3">
      <c r="B440" s="128" t="s">
        <v>1538</v>
      </c>
      <c r="C440" s="128" t="s">
        <v>543</v>
      </c>
      <c r="D440" s="129">
        <v>43830</v>
      </c>
      <c r="E440" s="129">
        <v>43830</v>
      </c>
      <c r="F440" s="130">
        <v>1554.4</v>
      </c>
      <c r="G440" s="128" t="s">
        <v>1066</v>
      </c>
      <c r="H440" s="102">
        <v>5</v>
      </c>
      <c r="I440" s="129">
        <v>44926</v>
      </c>
      <c r="J440" s="101">
        <v>25.87</v>
      </c>
      <c r="K440" s="101">
        <v>310.88</v>
      </c>
      <c r="L440" s="101">
        <v>932.64</v>
      </c>
      <c r="M440" s="101">
        <v>621.76</v>
      </c>
      <c r="N440" s="128" t="s">
        <v>1571</v>
      </c>
      <c r="O440" s="92" t="s">
        <v>1573</v>
      </c>
    </row>
    <row r="441" spans="2:15" ht="15" customHeight="1" x14ac:dyDescent="0.3">
      <c r="B441" s="128" t="s">
        <v>1539</v>
      </c>
      <c r="C441" s="128" t="s">
        <v>544</v>
      </c>
      <c r="D441" s="129">
        <v>43890</v>
      </c>
      <c r="E441" s="129">
        <v>43890</v>
      </c>
      <c r="F441" s="130">
        <v>651.54</v>
      </c>
      <c r="G441" s="128" t="s">
        <v>1066</v>
      </c>
      <c r="H441" s="102">
        <v>20</v>
      </c>
      <c r="I441" s="129">
        <v>44926</v>
      </c>
      <c r="J441" s="101">
        <v>2.77</v>
      </c>
      <c r="K441" s="101">
        <v>32.58</v>
      </c>
      <c r="L441" s="101">
        <v>92.31</v>
      </c>
      <c r="M441" s="101">
        <v>559.23</v>
      </c>
      <c r="N441" s="128" t="s">
        <v>1568</v>
      </c>
      <c r="O441" s="92" t="s">
        <v>1573</v>
      </c>
    </row>
    <row r="442" spans="2:15" ht="15" customHeight="1" x14ac:dyDescent="0.3">
      <c r="B442" s="128" t="s">
        <v>1540</v>
      </c>
      <c r="C442" s="128" t="s">
        <v>545</v>
      </c>
      <c r="D442" s="129">
        <v>43890</v>
      </c>
      <c r="E442" s="129">
        <v>43890</v>
      </c>
      <c r="F442" s="130">
        <v>2726.25</v>
      </c>
      <c r="G442" s="128" t="s">
        <v>1066</v>
      </c>
      <c r="H442" s="102">
        <v>10</v>
      </c>
      <c r="I442" s="129">
        <v>44926</v>
      </c>
      <c r="J442" s="101">
        <v>22.71</v>
      </c>
      <c r="K442" s="101">
        <v>272.63</v>
      </c>
      <c r="L442" s="101">
        <v>772.45</v>
      </c>
      <c r="M442" s="101">
        <v>1953.8</v>
      </c>
      <c r="N442" s="128" t="s">
        <v>1570</v>
      </c>
      <c r="O442" s="92" t="s">
        <v>1573</v>
      </c>
    </row>
    <row r="443" spans="2:15" ht="15" customHeight="1" x14ac:dyDescent="0.3">
      <c r="B443" s="128" t="s">
        <v>1541</v>
      </c>
      <c r="C443" s="128" t="s">
        <v>546</v>
      </c>
      <c r="D443" s="129">
        <v>44196</v>
      </c>
      <c r="E443" s="129">
        <v>44196</v>
      </c>
      <c r="F443" s="130">
        <v>325.08</v>
      </c>
      <c r="G443" s="128" t="s">
        <v>1066</v>
      </c>
      <c r="H443" s="102">
        <v>5</v>
      </c>
      <c r="I443" s="129">
        <v>44926</v>
      </c>
      <c r="J443" s="101">
        <v>5.4</v>
      </c>
      <c r="K443" s="101">
        <v>65.02</v>
      </c>
      <c r="L443" s="101">
        <v>130.04</v>
      </c>
      <c r="M443" s="101">
        <v>195.04</v>
      </c>
      <c r="N443" s="128" t="s">
        <v>1571</v>
      </c>
      <c r="O443" s="92" t="s">
        <v>1573</v>
      </c>
    </row>
    <row r="444" spans="2:15" ht="15" customHeight="1" x14ac:dyDescent="0.3">
      <c r="B444" s="128" t="s">
        <v>1542</v>
      </c>
      <c r="C444" s="128" t="s">
        <v>547</v>
      </c>
      <c r="D444" s="129">
        <v>44227</v>
      </c>
      <c r="E444" s="129">
        <v>44227</v>
      </c>
      <c r="F444" s="130">
        <v>513.5</v>
      </c>
      <c r="G444" s="128" t="s">
        <v>1066</v>
      </c>
      <c r="H444" s="102">
        <v>10</v>
      </c>
      <c r="I444" s="129">
        <v>44926</v>
      </c>
      <c r="J444" s="101">
        <v>4.2699999999999996</v>
      </c>
      <c r="K444" s="101">
        <v>51.35</v>
      </c>
      <c r="L444" s="101">
        <v>98.42</v>
      </c>
      <c r="M444" s="101">
        <v>415.08</v>
      </c>
      <c r="N444" s="128" t="s">
        <v>1569</v>
      </c>
      <c r="O444" s="92" t="s">
        <v>1573</v>
      </c>
    </row>
    <row r="445" spans="2:15" ht="15" customHeight="1" x14ac:dyDescent="0.3">
      <c r="B445" s="128" t="s">
        <v>1543</v>
      </c>
      <c r="C445" s="128" t="s">
        <v>548</v>
      </c>
      <c r="D445" s="129">
        <v>44408</v>
      </c>
      <c r="E445" s="129">
        <v>44408</v>
      </c>
      <c r="F445" s="130">
        <v>914.47</v>
      </c>
      <c r="G445" s="128" t="s">
        <v>1066</v>
      </c>
      <c r="H445" s="102">
        <v>20</v>
      </c>
      <c r="I445" s="129">
        <v>44926</v>
      </c>
      <c r="J445" s="101">
        <v>3.81</v>
      </c>
      <c r="K445" s="101">
        <v>45.72</v>
      </c>
      <c r="L445" s="101">
        <v>64.77</v>
      </c>
      <c r="M445" s="101">
        <v>849.7</v>
      </c>
      <c r="N445" s="128" t="s">
        <v>1568</v>
      </c>
      <c r="O445" s="92" t="s">
        <v>1573</v>
      </c>
    </row>
    <row r="446" spans="2:15" ht="15" customHeight="1" x14ac:dyDescent="0.3">
      <c r="B446" s="128" t="s">
        <v>1544</v>
      </c>
      <c r="C446" s="128" t="s">
        <v>549</v>
      </c>
      <c r="D446" s="129">
        <v>44439</v>
      </c>
      <c r="E446" s="129">
        <v>44439</v>
      </c>
      <c r="F446" s="130">
        <v>4602.3</v>
      </c>
      <c r="G446" s="128" t="s">
        <v>1066</v>
      </c>
      <c r="H446" s="102">
        <v>10</v>
      </c>
      <c r="I446" s="129">
        <v>44926</v>
      </c>
      <c r="J446" s="101">
        <v>38.380000000000003</v>
      </c>
      <c r="K446" s="101">
        <v>460.23</v>
      </c>
      <c r="L446" s="101">
        <v>613.64</v>
      </c>
      <c r="M446" s="101">
        <v>3988.66</v>
      </c>
      <c r="N446" s="128" t="s">
        <v>1569</v>
      </c>
      <c r="O446" s="92" t="s">
        <v>1573</v>
      </c>
    </row>
    <row r="447" spans="2:15" ht="15" customHeight="1" x14ac:dyDescent="0.3">
      <c r="B447" s="128" t="s">
        <v>1545</v>
      </c>
      <c r="C447" s="128" t="s">
        <v>550</v>
      </c>
      <c r="D447" s="129">
        <v>44469</v>
      </c>
      <c r="E447" s="129">
        <v>44469</v>
      </c>
      <c r="F447" s="130">
        <v>5323.59</v>
      </c>
      <c r="G447" s="128" t="s">
        <v>1066</v>
      </c>
      <c r="H447" s="102">
        <v>10</v>
      </c>
      <c r="I447" s="129">
        <v>44926</v>
      </c>
      <c r="J447" s="101">
        <v>44.4</v>
      </c>
      <c r="K447" s="101">
        <v>532.36</v>
      </c>
      <c r="L447" s="101">
        <v>665.45</v>
      </c>
      <c r="M447" s="101">
        <v>4658.1400000000003</v>
      </c>
      <c r="N447" s="128" t="s">
        <v>1572</v>
      </c>
      <c r="O447" s="92" t="s">
        <v>1573</v>
      </c>
    </row>
    <row r="448" spans="2:15" ht="15" customHeight="1" x14ac:dyDescent="0.3">
      <c r="B448" s="128" t="s">
        <v>1546</v>
      </c>
      <c r="C448" s="128" t="s">
        <v>551</v>
      </c>
      <c r="D448" s="129">
        <v>44530</v>
      </c>
      <c r="E448" s="129">
        <v>44530</v>
      </c>
      <c r="F448" s="130">
        <v>8627.8799999999992</v>
      </c>
      <c r="G448" s="128" t="s">
        <v>1066</v>
      </c>
      <c r="H448" s="102">
        <v>10</v>
      </c>
      <c r="I448" s="129">
        <v>44926</v>
      </c>
      <c r="J448" s="101">
        <v>71.89</v>
      </c>
      <c r="K448" s="101">
        <v>862.79</v>
      </c>
      <c r="L448" s="101">
        <v>934.69</v>
      </c>
      <c r="M448" s="101">
        <v>7693.19</v>
      </c>
      <c r="N448" s="128" t="s">
        <v>1572</v>
      </c>
      <c r="O448" s="92" t="s">
        <v>1573</v>
      </c>
    </row>
    <row r="449" spans="2:15" ht="15" customHeight="1" x14ac:dyDescent="0.3">
      <c r="B449" s="128" t="s">
        <v>1547</v>
      </c>
      <c r="C449" s="128" t="s">
        <v>552</v>
      </c>
      <c r="D449" s="129">
        <v>44561</v>
      </c>
      <c r="E449" s="129">
        <v>44561</v>
      </c>
      <c r="F449" s="130">
        <v>2406.16</v>
      </c>
      <c r="G449" s="128" t="s">
        <v>1066</v>
      </c>
      <c r="H449" s="102">
        <v>10</v>
      </c>
      <c r="I449" s="129">
        <v>44926</v>
      </c>
      <c r="J449" s="101">
        <v>20.07</v>
      </c>
      <c r="K449" s="101">
        <v>240.62</v>
      </c>
      <c r="L449" s="101">
        <v>240.62</v>
      </c>
      <c r="M449" s="101">
        <v>2165.54</v>
      </c>
      <c r="N449" s="128" t="s">
        <v>1572</v>
      </c>
      <c r="O449" s="92" t="s">
        <v>1573</v>
      </c>
    </row>
    <row r="450" spans="2:15" ht="15" customHeight="1" x14ac:dyDescent="0.3">
      <c r="B450" s="128" t="s">
        <v>1548</v>
      </c>
      <c r="C450" s="128" t="s">
        <v>1004</v>
      </c>
      <c r="D450" s="129">
        <v>44592</v>
      </c>
      <c r="E450" s="129">
        <v>44592</v>
      </c>
      <c r="F450" s="130">
        <v>2219.52</v>
      </c>
      <c r="G450" s="128" t="s">
        <v>1066</v>
      </c>
      <c r="H450" s="102">
        <v>10</v>
      </c>
      <c r="I450" s="129">
        <v>44926</v>
      </c>
      <c r="J450" s="101">
        <v>18.46</v>
      </c>
      <c r="K450" s="101">
        <v>203.46</v>
      </c>
      <c r="L450" s="101">
        <v>203.46</v>
      </c>
      <c r="M450" s="101">
        <v>2016.06</v>
      </c>
      <c r="N450" s="128" t="s">
        <v>1569</v>
      </c>
      <c r="O450" s="92" t="s">
        <v>1573</v>
      </c>
    </row>
    <row r="451" spans="2:15" ht="15" customHeight="1" x14ac:dyDescent="0.3">
      <c r="B451" s="128" t="s">
        <v>1549</v>
      </c>
      <c r="C451" s="128" t="s">
        <v>890</v>
      </c>
      <c r="D451" s="129">
        <v>44592</v>
      </c>
      <c r="E451" s="129">
        <v>44592</v>
      </c>
      <c r="F451" s="130">
        <v>22851.08</v>
      </c>
      <c r="G451" s="128" t="s">
        <v>1066</v>
      </c>
      <c r="H451" s="102">
        <v>5</v>
      </c>
      <c r="I451" s="129">
        <v>44926</v>
      </c>
      <c r="J451" s="101">
        <v>380.86</v>
      </c>
      <c r="K451" s="101">
        <v>4189.3599999999997</v>
      </c>
      <c r="L451" s="101">
        <v>4189.3599999999997</v>
      </c>
      <c r="M451" s="101">
        <v>18661.72</v>
      </c>
      <c r="N451" s="128" t="s">
        <v>1571</v>
      </c>
      <c r="O451" s="92" t="s">
        <v>1573</v>
      </c>
    </row>
    <row r="452" spans="2:15" ht="15" customHeight="1" x14ac:dyDescent="0.3">
      <c r="B452" s="128" t="s">
        <v>1550</v>
      </c>
      <c r="C452" s="128" t="s">
        <v>1005</v>
      </c>
      <c r="D452" s="129">
        <v>44681</v>
      </c>
      <c r="E452" s="129">
        <v>44681</v>
      </c>
      <c r="F452" s="130">
        <v>686.12</v>
      </c>
      <c r="G452" s="128" t="s">
        <v>1066</v>
      </c>
      <c r="H452" s="102">
        <v>5</v>
      </c>
      <c r="I452" s="129">
        <v>44926</v>
      </c>
      <c r="J452" s="101">
        <v>11.4</v>
      </c>
      <c r="K452" s="101">
        <v>91.48</v>
      </c>
      <c r="L452" s="101">
        <v>91.48</v>
      </c>
      <c r="M452" s="101">
        <v>594.64</v>
      </c>
      <c r="N452" s="128" t="s">
        <v>1571</v>
      </c>
      <c r="O452" s="92" t="s">
        <v>1573</v>
      </c>
    </row>
    <row r="453" spans="2:15" ht="15" customHeight="1" x14ac:dyDescent="0.3">
      <c r="B453" s="128" t="s">
        <v>1551</v>
      </c>
      <c r="C453" s="128" t="s">
        <v>1006</v>
      </c>
      <c r="D453" s="129">
        <v>44742</v>
      </c>
      <c r="E453" s="129">
        <v>44742</v>
      </c>
      <c r="F453" s="130">
        <v>1046.1600000000001</v>
      </c>
      <c r="G453" s="128" t="s">
        <v>1066</v>
      </c>
      <c r="H453" s="102">
        <v>10</v>
      </c>
      <c r="I453" s="129">
        <v>44926</v>
      </c>
      <c r="J453" s="101">
        <v>8.7100000000000009</v>
      </c>
      <c r="K453" s="101">
        <v>52.31</v>
      </c>
      <c r="L453" s="101">
        <v>52.31</v>
      </c>
      <c r="M453" s="101">
        <v>993.85</v>
      </c>
      <c r="N453" s="128" t="s">
        <v>1572</v>
      </c>
      <c r="O453" s="92" t="s">
        <v>1573</v>
      </c>
    </row>
    <row r="454" spans="2:15" ht="15" customHeight="1" x14ac:dyDescent="0.3">
      <c r="B454" s="128" t="s">
        <v>1552</v>
      </c>
      <c r="C454" s="128" t="s">
        <v>1007</v>
      </c>
      <c r="D454" s="129">
        <v>44773</v>
      </c>
      <c r="E454" s="129">
        <v>44773</v>
      </c>
      <c r="F454" s="130">
        <v>54330.59</v>
      </c>
      <c r="G454" s="128" t="s">
        <v>1066</v>
      </c>
      <c r="H454" s="102">
        <v>20</v>
      </c>
      <c r="I454" s="129">
        <v>44926</v>
      </c>
      <c r="J454" s="101">
        <v>226.37</v>
      </c>
      <c r="K454" s="101">
        <v>1131.8900000000001</v>
      </c>
      <c r="L454" s="101">
        <v>1131.8900000000001</v>
      </c>
      <c r="M454" s="101">
        <v>53198.7</v>
      </c>
      <c r="N454" s="128" t="s">
        <v>1569</v>
      </c>
      <c r="O454" s="92" t="s">
        <v>1573</v>
      </c>
    </row>
    <row r="455" spans="2:15" ht="15" customHeight="1" x14ac:dyDescent="0.3">
      <c r="B455" s="128" t="s">
        <v>1553</v>
      </c>
      <c r="C455" s="128" t="s">
        <v>1008</v>
      </c>
      <c r="D455" s="129">
        <v>44804</v>
      </c>
      <c r="E455" s="129">
        <v>44804</v>
      </c>
      <c r="F455" s="130">
        <v>676.58</v>
      </c>
      <c r="G455" s="128" t="s">
        <v>1066</v>
      </c>
      <c r="H455" s="102">
        <v>5</v>
      </c>
      <c r="I455" s="129">
        <v>44926</v>
      </c>
      <c r="J455" s="101">
        <v>11.27</v>
      </c>
      <c r="K455" s="101">
        <v>45.11</v>
      </c>
      <c r="L455" s="101">
        <v>45.11</v>
      </c>
      <c r="M455" s="101">
        <v>631.47</v>
      </c>
      <c r="N455" s="128" t="s">
        <v>1571</v>
      </c>
      <c r="O455" s="92" t="s">
        <v>1573</v>
      </c>
    </row>
    <row r="456" spans="2:15" ht="15" customHeight="1" x14ac:dyDescent="0.3">
      <c r="B456" s="128" t="s">
        <v>1554</v>
      </c>
      <c r="C456" s="128" t="s">
        <v>1009</v>
      </c>
      <c r="D456" s="129">
        <v>44804</v>
      </c>
      <c r="E456" s="129">
        <v>44804</v>
      </c>
      <c r="F456" s="130">
        <v>773.24</v>
      </c>
      <c r="G456" s="128" t="s">
        <v>1066</v>
      </c>
      <c r="H456" s="102">
        <v>5</v>
      </c>
      <c r="I456" s="129">
        <v>44926</v>
      </c>
      <c r="J456" s="101">
        <v>12.88</v>
      </c>
      <c r="K456" s="101">
        <v>51.55</v>
      </c>
      <c r="L456" s="101">
        <v>51.55</v>
      </c>
      <c r="M456" s="101">
        <v>721.69</v>
      </c>
      <c r="N456" s="128" t="s">
        <v>1571</v>
      </c>
      <c r="O456" s="92" t="s">
        <v>1573</v>
      </c>
    </row>
    <row r="457" spans="2:15" ht="15" customHeight="1" x14ac:dyDescent="0.3">
      <c r="B457" s="128" t="s">
        <v>1555</v>
      </c>
      <c r="C457" s="128" t="s">
        <v>1010</v>
      </c>
      <c r="D457" s="129">
        <v>44804</v>
      </c>
      <c r="E457" s="129">
        <v>44804</v>
      </c>
      <c r="F457" s="130">
        <v>484.24</v>
      </c>
      <c r="G457" s="128" t="s">
        <v>1066</v>
      </c>
      <c r="H457" s="102">
        <v>5</v>
      </c>
      <c r="I457" s="129">
        <v>44926</v>
      </c>
      <c r="J457" s="101">
        <v>8.07</v>
      </c>
      <c r="K457" s="101">
        <v>32.28</v>
      </c>
      <c r="L457" s="101">
        <v>32.28</v>
      </c>
      <c r="M457" s="101">
        <v>451.96</v>
      </c>
      <c r="N457" s="128" t="s">
        <v>1571</v>
      </c>
      <c r="O457" s="92" t="s">
        <v>1573</v>
      </c>
    </row>
    <row r="458" spans="2:15" ht="15" customHeight="1" x14ac:dyDescent="0.3">
      <c r="B458" s="128" t="s">
        <v>1556</v>
      </c>
      <c r="C458" s="128" t="s">
        <v>1011</v>
      </c>
      <c r="D458" s="129">
        <v>44804</v>
      </c>
      <c r="E458" s="129">
        <v>44804</v>
      </c>
      <c r="F458" s="130">
        <v>2019.21</v>
      </c>
      <c r="G458" s="128" t="s">
        <v>1066</v>
      </c>
      <c r="H458" s="102">
        <v>5</v>
      </c>
      <c r="I458" s="129">
        <v>44926</v>
      </c>
      <c r="J458" s="101">
        <v>33.659999999999997</v>
      </c>
      <c r="K458" s="101">
        <v>134.61000000000001</v>
      </c>
      <c r="L458" s="101">
        <v>134.61000000000001</v>
      </c>
      <c r="M458" s="101">
        <v>1884.6</v>
      </c>
      <c r="N458" s="128" t="s">
        <v>1571</v>
      </c>
      <c r="O458" s="92" t="s">
        <v>1573</v>
      </c>
    </row>
    <row r="459" spans="2:15" ht="15" customHeight="1" x14ac:dyDescent="0.3">
      <c r="B459" s="128" t="s">
        <v>1557</v>
      </c>
      <c r="C459" s="128" t="s">
        <v>1012</v>
      </c>
      <c r="D459" s="129">
        <v>44804</v>
      </c>
      <c r="E459" s="129">
        <v>44804</v>
      </c>
      <c r="F459" s="130">
        <v>1248.75</v>
      </c>
      <c r="G459" s="128" t="s">
        <v>1066</v>
      </c>
      <c r="H459" s="102">
        <v>5</v>
      </c>
      <c r="I459" s="129">
        <v>44926</v>
      </c>
      <c r="J459" s="101">
        <v>20.82</v>
      </c>
      <c r="K459" s="101">
        <v>83.25</v>
      </c>
      <c r="L459" s="101">
        <v>83.25</v>
      </c>
      <c r="M459" s="101">
        <v>1165.5</v>
      </c>
      <c r="N459" s="128" t="s">
        <v>1571</v>
      </c>
      <c r="O459" s="92" t="s">
        <v>1573</v>
      </c>
    </row>
    <row r="460" spans="2:15" ht="15" customHeight="1" x14ac:dyDescent="0.3">
      <c r="B460" s="128" t="s">
        <v>1558</v>
      </c>
      <c r="C460" s="128" t="s">
        <v>1013</v>
      </c>
      <c r="D460" s="129">
        <v>44804</v>
      </c>
      <c r="E460" s="129">
        <v>44804</v>
      </c>
      <c r="F460" s="130">
        <v>1248.75</v>
      </c>
      <c r="G460" s="128" t="s">
        <v>1066</v>
      </c>
      <c r="H460" s="102">
        <v>5</v>
      </c>
      <c r="I460" s="129">
        <v>44926</v>
      </c>
      <c r="J460" s="101">
        <v>20.82</v>
      </c>
      <c r="K460" s="101">
        <v>83.25</v>
      </c>
      <c r="L460" s="101">
        <v>83.25</v>
      </c>
      <c r="M460" s="101">
        <v>1165.5</v>
      </c>
      <c r="N460" s="128" t="s">
        <v>1571</v>
      </c>
      <c r="O460" s="92" t="s">
        <v>1573</v>
      </c>
    </row>
    <row r="461" spans="2:15" ht="15" customHeight="1" x14ac:dyDescent="0.3">
      <c r="B461" s="128" t="s">
        <v>1559</v>
      </c>
      <c r="C461" s="128" t="s">
        <v>1014</v>
      </c>
      <c r="D461" s="129">
        <v>44804</v>
      </c>
      <c r="E461" s="129">
        <v>44804</v>
      </c>
      <c r="F461" s="130">
        <v>1248.75</v>
      </c>
      <c r="G461" s="128" t="s">
        <v>1066</v>
      </c>
      <c r="H461" s="102">
        <v>5</v>
      </c>
      <c r="I461" s="129">
        <v>44926</v>
      </c>
      <c r="J461" s="101">
        <v>20.82</v>
      </c>
      <c r="K461" s="101">
        <v>83.25</v>
      </c>
      <c r="L461" s="101">
        <v>83.25</v>
      </c>
      <c r="M461" s="101">
        <v>1165.5</v>
      </c>
      <c r="N461" s="128" t="s">
        <v>1571</v>
      </c>
      <c r="O461" s="92" t="s">
        <v>1573</v>
      </c>
    </row>
    <row r="462" spans="2:15" ht="15" customHeight="1" x14ac:dyDescent="0.3">
      <c r="B462" s="128" t="s">
        <v>1560</v>
      </c>
      <c r="C462" s="128" t="s">
        <v>1015</v>
      </c>
      <c r="D462" s="129">
        <v>44804</v>
      </c>
      <c r="E462" s="129">
        <v>44804</v>
      </c>
      <c r="F462" s="130">
        <v>1248.75</v>
      </c>
      <c r="G462" s="128" t="s">
        <v>1066</v>
      </c>
      <c r="H462" s="102">
        <v>5</v>
      </c>
      <c r="I462" s="129">
        <v>44926</v>
      </c>
      <c r="J462" s="101">
        <v>20.82</v>
      </c>
      <c r="K462" s="101">
        <v>83.25</v>
      </c>
      <c r="L462" s="101">
        <v>83.25</v>
      </c>
      <c r="M462" s="101">
        <v>1165.5</v>
      </c>
      <c r="N462" s="128" t="s">
        <v>1571</v>
      </c>
      <c r="O462" s="92" t="s">
        <v>1573</v>
      </c>
    </row>
    <row r="463" spans="2:15" ht="15" customHeight="1" x14ac:dyDescent="0.3">
      <c r="B463" s="128" t="s">
        <v>1561</v>
      </c>
      <c r="C463" s="128" t="s">
        <v>1016</v>
      </c>
      <c r="D463" s="129">
        <v>44804</v>
      </c>
      <c r="E463" s="129">
        <v>44804</v>
      </c>
      <c r="F463" s="130">
        <v>1248.75</v>
      </c>
      <c r="G463" s="128" t="s">
        <v>1066</v>
      </c>
      <c r="H463" s="102">
        <v>5</v>
      </c>
      <c r="I463" s="129">
        <v>44926</v>
      </c>
      <c r="J463" s="101">
        <v>20.82</v>
      </c>
      <c r="K463" s="101">
        <v>83.25</v>
      </c>
      <c r="L463" s="101">
        <v>83.25</v>
      </c>
      <c r="M463" s="101">
        <v>1165.5</v>
      </c>
      <c r="N463" s="128" t="s">
        <v>1571</v>
      </c>
      <c r="O463" s="92" t="s">
        <v>1573</v>
      </c>
    </row>
    <row r="464" spans="2:15" ht="15" customHeight="1" x14ac:dyDescent="0.3">
      <c r="B464" s="128" t="s">
        <v>1562</v>
      </c>
      <c r="C464" s="128" t="s">
        <v>891</v>
      </c>
      <c r="D464" s="129">
        <v>44804</v>
      </c>
      <c r="E464" s="129">
        <v>44804</v>
      </c>
      <c r="F464" s="130">
        <v>1248.75</v>
      </c>
      <c r="G464" s="128" t="s">
        <v>1066</v>
      </c>
      <c r="H464" s="102">
        <v>5</v>
      </c>
      <c r="I464" s="129">
        <v>44926</v>
      </c>
      <c r="J464" s="101">
        <v>20.82</v>
      </c>
      <c r="K464" s="101">
        <v>83.25</v>
      </c>
      <c r="L464" s="101">
        <v>83.25</v>
      </c>
      <c r="M464" s="101">
        <v>1165.5</v>
      </c>
      <c r="N464" s="128" t="s">
        <v>1571</v>
      </c>
      <c r="O464" s="92" t="s">
        <v>1573</v>
      </c>
    </row>
    <row r="465" spans="2:15" ht="15" customHeight="1" x14ac:dyDescent="0.3">
      <c r="B465" s="128" t="s">
        <v>1563</v>
      </c>
      <c r="C465" s="128" t="s">
        <v>1017</v>
      </c>
      <c r="D465" s="129">
        <v>44834</v>
      </c>
      <c r="E465" s="129">
        <v>44834</v>
      </c>
      <c r="F465" s="130">
        <v>7019.28</v>
      </c>
      <c r="G465" s="128" t="s">
        <v>1066</v>
      </c>
      <c r="H465" s="102">
        <v>10</v>
      </c>
      <c r="I465" s="129">
        <v>44926</v>
      </c>
      <c r="J465" s="101">
        <v>58.5</v>
      </c>
      <c r="K465" s="101">
        <v>175.48</v>
      </c>
      <c r="L465" s="101">
        <v>175.48</v>
      </c>
      <c r="M465" s="101">
        <v>6843.8</v>
      </c>
      <c r="N465" s="128" t="s">
        <v>1570</v>
      </c>
      <c r="O465" s="92" t="s">
        <v>1573</v>
      </c>
    </row>
    <row r="466" spans="2:15" ht="15" customHeight="1" x14ac:dyDescent="0.3">
      <c r="B466" s="128" t="s">
        <v>1564</v>
      </c>
      <c r="C466" s="128" t="s">
        <v>1018</v>
      </c>
      <c r="D466" s="129">
        <v>44865</v>
      </c>
      <c r="E466" s="129">
        <v>44865</v>
      </c>
      <c r="F466" s="130">
        <v>408.1</v>
      </c>
      <c r="G466" s="128" t="s">
        <v>1066</v>
      </c>
      <c r="H466" s="102">
        <v>10</v>
      </c>
      <c r="I466" s="129">
        <v>44926</v>
      </c>
      <c r="J466" s="101">
        <v>3.4</v>
      </c>
      <c r="K466" s="101">
        <v>6.8</v>
      </c>
      <c r="L466" s="101">
        <v>6.8</v>
      </c>
      <c r="M466" s="101">
        <v>401.3</v>
      </c>
      <c r="N466" s="128" t="s">
        <v>1570</v>
      </c>
      <c r="O466" s="92" t="s">
        <v>1573</v>
      </c>
    </row>
    <row r="467" spans="2:15" ht="15" customHeight="1" x14ac:dyDescent="0.3">
      <c r="B467" s="128" t="s">
        <v>1565</v>
      </c>
      <c r="C467" s="128" t="s">
        <v>1019</v>
      </c>
      <c r="D467" s="129">
        <v>44865</v>
      </c>
      <c r="E467" s="129">
        <v>44865</v>
      </c>
      <c r="F467" s="130">
        <v>161.38999999999999</v>
      </c>
      <c r="G467" s="128" t="s">
        <v>1066</v>
      </c>
      <c r="H467" s="102">
        <v>10</v>
      </c>
      <c r="I467" s="129">
        <v>44926</v>
      </c>
      <c r="J467" s="101">
        <v>1.35</v>
      </c>
      <c r="K467" s="101">
        <v>2.69</v>
      </c>
      <c r="L467" s="101">
        <v>2.69</v>
      </c>
      <c r="M467" s="101">
        <v>158.69999999999999</v>
      </c>
      <c r="N467" s="128" t="s">
        <v>1569</v>
      </c>
      <c r="O467" s="92" t="s">
        <v>1573</v>
      </c>
    </row>
    <row r="468" spans="2:15" ht="15" customHeight="1" x14ac:dyDescent="0.3">
      <c r="B468" s="128" t="s">
        <v>1566</v>
      </c>
      <c r="C468" s="128" t="s">
        <v>1020</v>
      </c>
      <c r="D468" s="129">
        <v>44651</v>
      </c>
      <c r="E468" s="129">
        <v>44651</v>
      </c>
      <c r="F468" s="130">
        <v>4027.71</v>
      </c>
      <c r="G468" s="128" t="s">
        <v>1066</v>
      </c>
      <c r="H468" s="102">
        <v>10</v>
      </c>
      <c r="I468" s="129">
        <v>44926</v>
      </c>
      <c r="J468" s="101">
        <v>33.6</v>
      </c>
      <c r="K468" s="101">
        <v>302.08</v>
      </c>
      <c r="L468" s="101">
        <v>302.08</v>
      </c>
      <c r="M468" s="101">
        <v>3725.63</v>
      </c>
      <c r="N468" s="128" t="s">
        <v>1572</v>
      </c>
      <c r="O468" s="92" t="s">
        <v>1573</v>
      </c>
    </row>
    <row r="469" spans="2:15" ht="15" customHeight="1" x14ac:dyDescent="0.3">
      <c r="B469" s="128" t="s">
        <v>1567</v>
      </c>
      <c r="C469" s="128" t="s">
        <v>553</v>
      </c>
      <c r="D469" s="129">
        <v>43281</v>
      </c>
      <c r="E469" s="129">
        <v>43281</v>
      </c>
      <c r="F469" s="130">
        <v>1077.8499999999999</v>
      </c>
      <c r="G469" s="128" t="s">
        <v>1066</v>
      </c>
      <c r="H469" s="102">
        <v>5</v>
      </c>
      <c r="I469" s="129">
        <v>44926</v>
      </c>
      <c r="J469" s="101">
        <v>18.010000000000002</v>
      </c>
      <c r="K469" s="101">
        <v>215.57</v>
      </c>
      <c r="L469" s="101">
        <v>970.07</v>
      </c>
      <c r="M469" s="101">
        <v>107.78</v>
      </c>
      <c r="N469" s="128" t="s">
        <v>1571</v>
      </c>
      <c r="O469" s="92" t="s">
        <v>1573</v>
      </c>
    </row>
    <row r="470" spans="2:15" ht="15" customHeight="1" x14ac:dyDescent="0.3">
      <c r="B470" s="128" t="s">
        <v>1574</v>
      </c>
      <c r="C470" s="128" t="s">
        <v>149</v>
      </c>
      <c r="D470" s="129">
        <v>36526</v>
      </c>
      <c r="E470" s="129">
        <v>36526</v>
      </c>
      <c r="F470" s="130">
        <v>6142</v>
      </c>
      <c r="G470" s="128" t="s">
        <v>1068</v>
      </c>
      <c r="H470" s="102">
        <v>12</v>
      </c>
      <c r="I470" s="129">
        <v>41820</v>
      </c>
      <c r="J470" s="101">
        <v>0</v>
      </c>
      <c r="K470" s="101">
        <v>0</v>
      </c>
      <c r="L470" s="101">
        <v>6142</v>
      </c>
      <c r="M470" s="101">
        <v>0</v>
      </c>
      <c r="N470" s="128" t="s">
        <v>1616</v>
      </c>
      <c r="O470" s="92" t="s">
        <v>1619</v>
      </c>
    </row>
    <row r="471" spans="2:15" ht="15" customHeight="1" x14ac:dyDescent="0.3">
      <c r="B471" s="128" t="s">
        <v>1575</v>
      </c>
      <c r="C471" s="128" t="s">
        <v>150</v>
      </c>
      <c r="D471" s="129">
        <v>37712</v>
      </c>
      <c r="E471" s="129">
        <v>37712</v>
      </c>
      <c r="F471" s="130">
        <v>9350</v>
      </c>
      <c r="G471" s="128" t="s">
        <v>1066</v>
      </c>
      <c r="H471" s="102">
        <v>10</v>
      </c>
      <c r="I471" s="129">
        <v>41820</v>
      </c>
      <c r="J471" s="101">
        <v>0</v>
      </c>
      <c r="K471" s="101">
        <v>0</v>
      </c>
      <c r="L471" s="101">
        <v>9350</v>
      </c>
      <c r="M471" s="101">
        <v>0</v>
      </c>
      <c r="N471" s="128" t="s">
        <v>1616</v>
      </c>
      <c r="O471" s="92" t="s">
        <v>1619</v>
      </c>
    </row>
    <row r="472" spans="2:15" ht="15" customHeight="1" x14ac:dyDescent="0.3">
      <c r="B472" s="128" t="s">
        <v>1576</v>
      </c>
      <c r="C472" s="128" t="s">
        <v>157</v>
      </c>
      <c r="D472" s="129">
        <v>40057</v>
      </c>
      <c r="E472" s="129">
        <v>40057</v>
      </c>
      <c r="F472" s="130">
        <v>1211.3499999999999</v>
      </c>
      <c r="G472" s="128" t="s">
        <v>1066</v>
      </c>
      <c r="H472" s="102">
        <v>10</v>
      </c>
      <c r="I472" s="129">
        <v>43708</v>
      </c>
      <c r="J472" s="101">
        <v>0</v>
      </c>
      <c r="K472" s="101">
        <v>0</v>
      </c>
      <c r="L472" s="101">
        <v>1211.3499999999999</v>
      </c>
      <c r="M472" s="101">
        <v>0</v>
      </c>
      <c r="N472" s="128" t="s">
        <v>1616</v>
      </c>
      <c r="O472" s="92" t="s">
        <v>1619</v>
      </c>
    </row>
    <row r="473" spans="2:15" ht="15" customHeight="1" x14ac:dyDescent="0.3">
      <c r="B473" s="128" t="s">
        <v>1577</v>
      </c>
      <c r="C473" s="128" t="s">
        <v>182</v>
      </c>
      <c r="D473" s="129">
        <v>40329</v>
      </c>
      <c r="E473" s="129">
        <v>40329</v>
      </c>
      <c r="F473" s="130">
        <v>1041</v>
      </c>
      <c r="G473" s="128" t="s">
        <v>1066</v>
      </c>
      <c r="H473" s="102">
        <v>10</v>
      </c>
      <c r="I473" s="129">
        <v>43982</v>
      </c>
      <c r="J473" s="101">
        <v>0</v>
      </c>
      <c r="K473" s="101">
        <v>0</v>
      </c>
      <c r="L473" s="101">
        <v>1041</v>
      </c>
      <c r="M473" s="101">
        <v>0</v>
      </c>
      <c r="N473" s="128" t="s">
        <v>1617</v>
      </c>
      <c r="O473" s="92" t="s">
        <v>1619</v>
      </c>
    </row>
    <row r="474" spans="2:15" ht="15" customHeight="1" x14ac:dyDescent="0.3">
      <c r="B474" s="128" t="s">
        <v>1578</v>
      </c>
      <c r="C474" s="128" t="s">
        <v>554</v>
      </c>
      <c r="D474" s="129">
        <v>40389</v>
      </c>
      <c r="E474" s="129">
        <v>40389</v>
      </c>
      <c r="F474" s="130">
        <v>25810</v>
      </c>
      <c r="G474" s="128" t="s">
        <v>1066</v>
      </c>
      <c r="H474" s="102">
        <v>7</v>
      </c>
      <c r="I474" s="129">
        <v>42947</v>
      </c>
      <c r="J474" s="101">
        <v>0</v>
      </c>
      <c r="K474" s="101">
        <v>0</v>
      </c>
      <c r="L474" s="101">
        <v>25810</v>
      </c>
      <c r="M474" s="101">
        <v>0</v>
      </c>
      <c r="N474" s="128" t="s">
        <v>1616</v>
      </c>
      <c r="O474" s="92" t="s">
        <v>1619</v>
      </c>
    </row>
    <row r="475" spans="2:15" ht="15" customHeight="1" x14ac:dyDescent="0.3">
      <c r="B475" s="128" t="s">
        <v>1579</v>
      </c>
      <c r="C475" s="128" t="s">
        <v>195</v>
      </c>
      <c r="D475" s="129">
        <v>40602</v>
      </c>
      <c r="E475" s="129">
        <v>40602</v>
      </c>
      <c r="F475" s="130">
        <v>1518</v>
      </c>
      <c r="G475" s="128" t="s">
        <v>1066</v>
      </c>
      <c r="H475" s="102">
        <v>7</v>
      </c>
      <c r="I475" s="129">
        <v>43159</v>
      </c>
      <c r="J475" s="101">
        <v>0</v>
      </c>
      <c r="K475" s="101">
        <v>0</v>
      </c>
      <c r="L475" s="101">
        <v>1518</v>
      </c>
      <c r="M475" s="101">
        <v>0</v>
      </c>
      <c r="N475" s="128" t="s">
        <v>1617</v>
      </c>
      <c r="O475" s="92" t="s">
        <v>1619</v>
      </c>
    </row>
    <row r="476" spans="2:15" ht="15" customHeight="1" x14ac:dyDescent="0.3">
      <c r="B476" s="128" t="s">
        <v>1580</v>
      </c>
      <c r="C476" s="128" t="s">
        <v>555</v>
      </c>
      <c r="D476" s="129">
        <v>40694</v>
      </c>
      <c r="E476" s="129">
        <v>40694</v>
      </c>
      <c r="F476" s="130">
        <v>1687.86</v>
      </c>
      <c r="G476" s="128" t="s">
        <v>1066</v>
      </c>
      <c r="H476" s="102">
        <v>7</v>
      </c>
      <c r="I476" s="129">
        <v>43251</v>
      </c>
      <c r="J476" s="101">
        <v>0</v>
      </c>
      <c r="K476" s="101">
        <v>0</v>
      </c>
      <c r="L476" s="101">
        <v>1687.86</v>
      </c>
      <c r="M476" s="101">
        <v>0</v>
      </c>
      <c r="N476" s="128" t="s">
        <v>1616</v>
      </c>
      <c r="O476" s="92" t="s">
        <v>1619</v>
      </c>
    </row>
    <row r="477" spans="2:15" ht="15" customHeight="1" x14ac:dyDescent="0.3">
      <c r="B477" s="128" t="s">
        <v>1581</v>
      </c>
      <c r="C477" s="128" t="s">
        <v>194</v>
      </c>
      <c r="D477" s="129">
        <v>40786</v>
      </c>
      <c r="E477" s="129">
        <v>40786</v>
      </c>
      <c r="F477" s="130">
        <v>40402.78</v>
      </c>
      <c r="G477" s="128" t="s">
        <v>1066</v>
      </c>
      <c r="H477" s="102">
        <v>7</v>
      </c>
      <c r="I477" s="129">
        <v>43343</v>
      </c>
      <c r="J477" s="101">
        <v>0</v>
      </c>
      <c r="K477" s="101">
        <v>0</v>
      </c>
      <c r="L477" s="101">
        <v>40402.78</v>
      </c>
      <c r="M477" s="101">
        <v>0</v>
      </c>
      <c r="N477" s="128" t="s">
        <v>1618</v>
      </c>
      <c r="O477" s="92" t="s">
        <v>1619</v>
      </c>
    </row>
    <row r="478" spans="2:15" ht="15" customHeight="1" x14ac:dyDescent="0.3">
      <c r="B478" s="128" t="s">
        <v>1582</v>
      </c>
      <c r="C478" s="128" t="s">
        <v>213</v>
      </c>
      <c r="D478" s="129">
        <v>41090</v>
      </c>
      <c r="E478" s="129">
        <v>41090</v>
      </c>
      <c r="F478" s="130">
        <v>37373.839999999997</v>
      </c>
      <c r="G478" s="128" t="s">
        <v>1066</v>
      </c>
      <c r="H478" s="102">
        <v>7</v>
      </c>
      <c r="I478" s="129">
        <v>43646</v>
      </c>
      <c r="J478" s="101">
        <v>0</v>
      </c>
      <c r="K478" s="101">
        <v>0</v>
      </c>
      <c r="L478" s="101">
        <v>37373.839999999997</v>
      </c>
      <c r="M478" s="101">
        <v>0</v>
      </c>
      <c r="N478" s="128" t="s">
        <v>1618</v>
      </c>
      <c r="O478" s="92" t="s">
        <v>1619</v>
      </c>
    </row>
    <row r="479" spans="2:15" ht="15" customHeight="1" x14ac:dyDescent="0.3">
      <c r="B479" s="128" t="s">
        <v>1583</v>
      </c>
      <c r="C479" s="128" t="s">
        <v>556</v>
      </c>
      <c r="D479" s="129">
        <v>41121</v>
      </c>
      <c r="E479" s="129">
        <v>41121</v>
      </c>
      <c r="F479" s="130">
        <v>8858.27</v>
      </c>
      <c r="G479" s="128" t="s">
        <v>1066</v>
      </c>
      <c r="H479" s="102">
        <v>7</v>
      </c>
      <c r="I479" s="129">
        <v>43677</v>
      </c>
      <c r="J479" s="101">
        <v>0</v>
      </c>
      <c r="K479" s="101">
        <v>0</v>
      </c>
      <c r="L479" s="101">
        <v>8858.27</v>
      </c>
      <c r="M479" s="101">
        <v>0</v>
      </c>
      <c r="N479" s="128" t="s">
        <v>1618</v>
      </c>
      <c r="O479" s="92" t="s">
        <v>1619</v>
      </c>
    </row>
    <row r="480" spans="2:15" ht="15" customHeight="1" x14ac:dyDescent="0.3">
      <c r="B480" s="128" t="s">
        <v>1584</v>
      </c>
      <c r="C480" s="128" t="s">
        <v>557</v>
      </c>
      <c r="D480" s="129">
        <v>41425</v>
      </c>
      <c r="E480" s="129">
        <v>41425</v>
      </c>
      <c r="F480" s="130">
        <v>1775.49</v>
      </c>
      <c r="G480" s="128" t="s">
        <v>1066</v>
      </c>
      <c r="H480" s="102">
        <v>7</v>
      </c>
      <c r="I480" s="129">
        <v>43982</v>
      </c>
      <c r="J480" s="101">
        <v>0</v>
      </c>
      <c r="K480" s="101">
        <v>0</v>
      </c>
      <c r="L480" s="101">
        <v>1775.49</v>
      </c>
      <c r="M480" s="101">
        <v>0</v>
      </c>
      <c r="N480" s="128" t="s">
        <v>1618</v>
      </c>
      <c r="O480" s="92" t="s">
        <v>1619</v>
      </c>
    </row>
    <row r="481" spans="2:15" ht="15" customHeight="1" x14ac:dyDescent="0.3">
      <c r="B481" s="128" t="s">
        <v>1585</v>
      </c>
      <c r="C481" s="128" t="s">
        <v>558</v>
      </c>
      <c r="D481" s="129">
        <v>41578</v>
      </c>
      <c r="E481" s="129">
        <v>41578</v>
      </c>
      <c r="F481" s="130">
        <v>2695</v>
      </c>
      <c r="G481" s="128" t="s">
        <v>1066</v>
      </c>
      <c r="H481" s="102">
        <v>7</v>
      </c>
      <c r="I481" s="129">
        <v>44135</v>
      </c>
      <c r="J481" s="101">
        <v>0</v>
      </c>
      <c r="K481" s="101">
        <v>0</v>
      </c>
      <c r="L481" s="101">
        <v>2695</v>
      </c>
      <c r="M481" s="101">
        <v>0</v>
      </c>
      <c r="N481" s="128" t="s">
        <v>1617</v>
      </c>
      <c r="O481" s="92" t="s">
        <v>1619</v>
      </c>
    </row>
    <row r="482" spans="2:15" ht="15" customHeight="1" x14ac:dyDescent="0.3">
      <c r="B482" s="128" t="s">
        <v>1586</v>
      </c>
      <c r="C482" s="128" t="s">
        <v>559</v>
      </c>
      <c r="D482" s="129">
        <v>41578</v>
      </c>
      <c r="E482" s="129">
        <v>41578</v>
      </c>
      <c r="F482" s="130">
        <v>2396</v>
      </c>
      <c r="G482" s="128" t="s">
        <v>1066</v>
      </c>
      <c r="H482" s="102">
        <v>7</v>
      </c>
      <c r="I482" s="129">
        <v>44135</v>
      </c>
      <c r="J482" s="101">
        <v>0</v>
      </c>
      <c r="K482" s="101">
        <v>0</v>
      </c>
      <c r="L482" s="101">
        <v>2396</v>
      </c>
      <c r="M482" s="101">
        <v>0</v>
      </c>
      <c r="N482" s="128" t="s">
        <v>1618</v>
      </c>
      <c r="O482" s="92" t="s">
        <v>1619</v>
      </c>
    </row>
    <row r="483" spans="2:15" ht="15" customHeight="1" x14ac:dyDescent="0.3">
      <c r="B483" s="128" t="s">
        <v>1587</v>
      </c>
      <c r="C483" s="128" t="s">
        <v>560</v>
      </c>
      <c r="D483" s="129">
        <v>41729</v>
      </c>
      <c r="E483" s="129">
        <v>41729</v>
      </c>
      <c r="F483" s="130">
        <v>3786.4</v>
      </c>
      <c r="G483" s="128" t="s">
        <v>1066</v>
      </c>
      <c r="H483" s="102">
        <v>7</v>
      </c>
      <c r="I483" s="129">
        <v>44286</v>
      </c>
      <c r="J483" s="101">
        <v>0</v>
      </c>
      <c r="K483" s="101">
        <v>0</v>
      </c>
      <c r="L483" s="101">
        <v>3786.4</v>
      </c>
      <c r="M483" s="101">
        <v>0</v>
      </c>
      <c r="N483" s="128" t="s">
        <v>1618</v>
      </c>
      <c r="O483" s="92" t="s">
        <v>1619</v>
      </c>
    </row>
    <row r="484" spans="2:15" ht="15" customHeight="1" x14ac:dyDescent="0.3">
      <c r="B484" s="128" t="s">
        <v>1588</v>
      </c>
      <c r="C484" s="128" t="s">
        <v>561</v>
      </c>
      <c r="D484" s="129">
        <v>42400</v>
      </c>
      <c r="E484" s="129">
        <v>42400</v>
      </c>
      <c r="F484" s="130">
        <v>3999.8</v>
      </c>
      <c r="G484" s="128" t="s">
        <v>1066</v>
      </c>
      <c r="H484" s="102">
        <v>7</v>
      </c>
      <c r="I484" s="129">
        <v>44926</v>
      </c>
      <c r="J484" s="101">
        <v>47.58</v>
      </c>
      <c r="K484" s="101">
        <v>571.4</v>
      </c>
      <c r="L484" s="101">
        <v>3952.18</v>
      </c>
      <c r="M484" s="101">
        <v>47.62</v>
      </c>
      <c r="N484" s="128" t="s">
        <v>1618</v>
      </c>
      <c r="O484" s="92" t="s">
        <v>1619</v>
      </c>
    </row>
    <row r="485" spans="2:15" ht="15" customHeight="1" x14ac:dyDescent="0.3">
      <c r="B485" s="128" t="s">
        <v>1589</v>
      </c>
      <c r="C485" s="128" t="s">
        <v>562</v>
      </c>
      <c r="D485" s="129">
        <v>42460</v>
      </c>
      <c r="E485" s="129">
        <v>39994</v>
      </c>
      <c r="F485" s="130">
        <v>238950</v>
      </c>
      <c r="G485" s="128" t="s">
        <v>1066</v>
      </c>
      <c r="H485" s="102">
        <v>10</v>
      </c>
      <c r="I485" s="129">
        <v>43646</v>
      </c>
      <c r="J485" s="101">
        <v>0</v>
      </c>
      <c r="K485" s="101">
        <v>0</v>
      </c>
      <c r="L485" s="101">
        <v>238950</v>
      </c>
      <c r="M485" s="101">
        <v>0</v>
      </c>
      <c r="N485" s="128" t="s">
        <v>1616</v>
      </c>
      <c r="O485" s="92" t="s">
        <v>1619</v>
      </c>
    </row>
    <row r="486" spans="2:15" ht="15" customHeight="1" x14ac:dyDescent="0.3">
      <c r="B486" s="128" t="s">
        <v>1590</v>
      </c>
      <c r="C486" s="128" t="s">
        <v>563</v>
      </c>
      <c r="D486" s="129">
        <v>42460</v>
      </c>
      <c r="E486" s="129">
        <v>41121</v>
      </c>
      <c r="F486" s="130">
        <v>2020.95</v>
      </c>
      <c r="G486" s="128" t="s">
        <v>1066</v>
      </c>
      <c r="H486" s="102">
        <v>10</v>
      </c>
      <c r="I486" s="129">
        <v>44773</v>
      </c>
      <c r="J486" s="101">
        <v>0</v>
      </c>
      <c r="K486" s="101">
        <v>117.84</v>
      </c>
      <c r="L486" s="101">
        <v>2020.95</v>
      </c>
      <c r="M486" s="101">
        <v>0</v>
      </c>
      <c r="N486" s="128" t="s">
        <v>1616</v>
      </c>
      <c r="O486" s="92" t="s">
        <v>1619</v>
      </c>
    </row>
    <row r="487" spans="2:15" ht="15" customHeight="1" x14ac:dyDescent="0.3">
      <c r="B487" s="128" t="s">
        <v>1591</v>
      </c>
      <c r="C487" s="128" t="s">
        <v>564</v>
      </c>
      <c r="D487" s="129">
        <v>42460</v>
      </c>
      <c r="E487" s="129">
        <v>41912</v>
      </c>
      <c r="F487" s="130">
        <v>17804.09</v>
      </c>
      <c r="G487" s="128" t="s">
        <v>1066</v>
      </c>
      <c r="H487" s="102">
        <v>10</v>
      </c>
      <c r="I487" s="129">
        <v>44926</v>
      </c>
      <c r="J487" s="101">
        <v>148.34</v>
      </c>
      <c r="K487" s="101">
        <v>1780.41</v>
      </c>
      <c r="L487" s="101">
        <v>14688.38</v>
      </c>
      <c r="M487" s="101">
        <v>3115.71</v>
      </c>
      <c r="N487" s="128" t="s">
        <v>1616</v>
      </c>
      <c r="O487" s="92" t="s">
        <v>1619</v>
      </c>
    </row>
    <row r="488" spans="2:15" ht="15" customHeight="1" x14ac:dyDescent="0.3">
      <c r="B488" s="128" t="s">
        <v>1592</v>
      </c>
      <c r="C488" s="128" t="s">
        <v>565</v>
      </c>
      <c r="D488" s="129">
        <v>42460</v>
      </c>
      <c r="E488" s="129">
        <v>40694</v>
      </c>
      <c r="F488" s="130">
        <v>843.93</v>
      </c>
      <c r="G488" s="128" t="s">
        <v>1066</v>
      </c>
      <c r="H488" s="102">
        <v>7</v>
      </c>
      <c r="I488" s="129">
        <v>43251</v>
      </c>
      <c r="J488" s="101">
        <v>0</v>
      </c>
      <c r="K488" s="101">
        <v>0</v>
      </c>
      <c r="L488" s="101">
        <v>843.93</v>
      </c>
      <c r="M488" s="101">
        <v>0</v>
      </c>
      <c r="N488" s="128" t="s">
        <v>1616</v>
      </c>
      <c r="O488" s="92" t="s">
        <v>1619</v>
      </c>
    </row>
    <row r="489" spans="2:15" ht="15" customHeight="1" x14ac:dyDescent="0.3">
      <c r="B489" s="128" t="s">
        <v>1593</v>
      </c>
      <c r="C489" s="128" t="s">
        <v>566</v>
      </c>
      <c r="D489" s="129">
        <v>42460</v>
      </c>
      <c r="E489" s="129">
        <v>41943</v>
      </c>
      <c r="F489" s="130">
        <v>2200.0300000000002</v>
      </c>
      <c r="G489" s="128" t="s">
        <v>1066</v>
      </c>
      <c r="H489" s="102">
        <v>10</v>
      </c>
      <c r="I489" s="129">
        <v>44926</v>
      </c>
      <c r="J489" s="101">
        <v>18.37</v>
      </c>
      <c r="K489" s="101">
        <v>220</v>
      </c>
      <c r="L489" s="101">
        <v>1796.67</v>
      </c>
      <c r="M489" s="101">
        <v>403.36</v>
      </c>
      <c r="N489" s="128" t="s">
        <v>1616</v>
      </c>
      <c r="O489" s="92" t="s">
        <v>1619</v>
      </c>
    </row>
    <row r="490" spans="2:15" ht="15" customHeight="1" x14ac:dyDescent="0.3">
      <c r="B490" s="128" t="s">
        <v>1594</v>
      </c>
      <c r="C490" s="128" t="s">
        <v>567</v>
      </c>
      <c r="D490" s="129">
        <v>42460</v>
      </c>
      <c r="E490" s="129">
        <v>38791</v>
      </c>
      <c r="F490" s="130">
        <v>1763.66</v>
      </c>
      <c r="G490" s="128" t="s">
        <v>1068</v>
      </c>
      <c r="H490" s="102">
        <v>6</v>
      </c>
      <c r="I490" s="129">
        <v>42460</v>
      </c>
      <c r="J490" s="101">
        <v>0</v>
      </c>
      <c r="K490" s="101">
        <v>0</v>
      </c>
      <c r="L490" s="101">
        <v>1763.66</v>
      </c>
      <c r="M490" s="101">
        <v>0</v>
      </c>
      <c r="N490" s="128" t="s">
        <v>1616</v>
      </c>
      <c r="O490" s="92" t="s">
        <v>1619</v>
      </c>
    </row>
    <row r="491" spans="2:15" ht="15" customHeight="1" x14ac:dyDescent="0.3">
      <c r="B491" s="128" t="s">
        <v>1595</v>
      </c>
      <c r="C491" s="128" t="s">
        <v>568</v>
      </c>
      <c r="D491" s="129">
        <v>42460</v>
      </c>
      <c r="E491" s="129">
        <v>39994</v>
      </c>
      <c r="F491" s="130">
        <v>56050</v>
      </c>
      <c r="G491" s="128" t="s">
        <v>1066</v>
      </c>
      <c r="H491" s="102">
        <v>10</v>
      </c>
      <c r="I491" s="129">
        <v>43646</v>
      </c>
      <c r="J491" s="101">
        <v>0</v>
      </c>
      <c r="K491" s="101">
        <v>0</v>
      </c>
      <c r="L491" s="101">
        <v>56050</v>
      </c>
      <c r="M491" s="101">
        <v>0</v>
      </c>
      <c r="N491" s="128" t="s">
        <v>1616</v>
      </c>
      <c r="O491" s="92" t="s">
        <v>1619</v>
      </c>
    </row>
    <row r="492" spans="2:15" ht="15" customHeight="1" x14ac:dyDescent="0.3">
      <c r="B492" s="128" t="s">
        <v>1596</v>
      </c>
      <c r="C492" s="128" t="s">
        <v>569</v>
      </c>
      <c r="D492" s="129">
        <v>42460</v>
      </c>
      <c r="E492" s="129">
        <v>41121</v>
      </c>
      <c r="F492" s="130">
        <v>474.05</v>
      </c>
      <c r="G492" s="128" t="s">
        <v>1066</v>
      </c>
      <c r="H492" s="102">
        <v>10</v>
      </c>
      <c r="I492" s="129">
        <v>44773</v>
      </c>
      <c r="J492" s="101">
        <v>0</v>
      </c>
      <c r="K492" s="101">
        <v>27.61</v>
      </c>
      <c r="L492" s="101">
        <v>474.05</v>
      </c>
      <c r="M492" s="101">
        <v>0</v>
      </c>
      <c r="N492" s="128" t="s">
        <v>1616</v>
      </c>
      <c r="O492" s="92" t="s">
        <v>1619</v>
      </c>
    </row>
    <row r="493" spans="2:15" ht="15" customHeight="1" x14ac:dyDescent="0.3">
      <c r="B493" s="128" t="s">
        <v>1597</v>
      </c>
      <c r="C493" s="128" t="s">
        <v>570</v>
      </c>
      <c r="D493" s="129">
        <v>42460</v>
      </c>
      <c r="E493" s="129">
        <v>41912</v>
      </c>
      <c r="F493" s="130">
        <v>4176.28</v>
      </c>
      <c r="G493" s="128" t="s">
        <v>1066</v>
      </c>
      <c r="H493" s="102">
        <v>10</v>
      </c>
      <c r="I493" s="129">
        <v>44926</v>
      </c>
      <c r="J493" s="101">
        <v>34.83</v>
      </c>
      <c r="K493" s="101">
        <v>417.63</v>
      </c>
      <c r="L493" s="101">
        <v>3445.45</v>
      </c>
      <c r="M493" s="101">
        <v>730.83</v>
      </c>
      <c r="N493" s="128" t="s">
        <v>1616</v>
      </c>
      <c r="O493" s="92" t="s">
        <v>1619</v>
      </c>
    </row>
    <row r="494" spans="2:15" ht="15" customHeight="1" x14ac:dyDescent="0.3">
      <c r="B494" s="128" t="s">
        <v>1598</v>
      </c>
      <c r="C494" s="128" t="s">
        <v>571</v>
      </c>
      <c r="D494" s="129">
        <v>42460</v>
      </c>
      <c r="E494" s="129">
        <v>40694</v>
      </c>
      <c r="F494" s="130">
        <v>140.65</v>
      </c>
      <c r="G494" s="128" t="s">
        <v>1066</v>
      </c>
      <c r="H494" s="102">
        <v>7</v>
      </c>
      <c r="I494" s="129">
        <v>43251</v>
      </c>
      <c r="J494" s="101">
        <v>0</v>
      </c>
      <c r="K494" s="101">
        <v>0</v>
      </c>
      <c r="L494" s="101">
        <v>140.65</v>
      </c>
      <c r="M494" s="101">
        <v>0</v>
      </c>
      <c r="N494" s="128" t="s">
        <v>1616</v>
      </c>
      <c r="O494" s="92" t="s">
        <v>1619</v>
      </c>
    </row>
    <row r="495" spans="2:15" ht="15" customHeight="1" x14ac:dyDescent="0.3">
      <c r="B495" s="128" t="s">
        <v>1599</v>
      </c>
      <c r="C495" s="128" t="s">
        <v>572</v>
      </c>
      <c r="D495" s="129">
        <v>42490</v>
      </c>
      <c r="E495" s="129">
        <v>42490</v>
      </c>
      <c r="F495" s="130">
        <v>1000</v>
      </c>
      <c r="G495" s="128" t="s">
        <v>1066</v>
      </c>
      <c r="H495" s="102">
        <v>7</v>
      </c>
      <c r="I495" s="129">
        <v>44926</v>
      </c>
      <c r="J495" s="101">
        <v>11.96</v>
      </c>
      <c r="K495" s="101">
        <v>142.86000000000001</v>
      </c>
      <c r="L495" s="101">
        <v>952.4</v>
      </c>
      <c r="M495" s="101">
        <v>47.6</v>
      </c>
      <c r="N495" s="128" t="s">
        <v>1617</v>
      </c>
      <c r="O495" s="92" t="s">
        <v>1619</v>
      </c>
    </row>
    <row r="496" spans="2:15" ht="15" customHeight="1" x14ac:dyDescent="0.3">
      <c r="B496" s="128" t="s">
        <v>1600</v>
      </c>
      <c r="C496" s="128" t="s">
        <v>573</v>
      </c>
      <c r="D496" s="129">
        <v>42613</v>
      </c>
      <c r="E496" s="129">
        <v>42613</v>
      </c>
      <c r="F496" s="130">
        <v>29256</v>
      </c>
      <c r="G496" s="128" t="s">
        <v>1066</v>
      </c>
      <c r="H496" s="102">
        <v>7</v>
      </c>
      <c r="I496" s="129">
        <v>44926</v>
      </c>
      <c r="J496" s="101">
        <v>348.24</v>
      </c>
      <c r="K496" s="101">
        <v>4179.43</v>
      </c>
      <c r="L496" s="101">
        <v>26469.72</v>
      </c>
      <c r="M496" s="101">
        <v>2786.28</v>
      </c>
      <c r="N496" s="128" t="s">
        <v>1618</v>
      </c>
      <c r="O496" s="92" t="s">
        <v>1619</v>
      </c>
    </row>
    <row r="497" spans="2:15" ht="15" customHeight="1" x14ac:dyDescent="0.3">
      <c r="B497" s="128" t="s">
        <v>1601</v>
      </c>
      <c r="C497" s="128" t="s">
        <v>574</v>
      </c>
      <c r="D497" s="129">
        <v>42613</v>
      </c>
      <c r="E497" s="129">
        <v>42613</v>
      </c>
      <c r="F497" s="130">
        <v>32717.95</v>
      </c>
      <c r="G497" s="128" t="s">
        <v>1066</v>
      </c>
      <c r="H497" s="102">
        <v>7</v>
      </c>
      <c r="I497" s="129">
        <v>44926</v>
      </c>
      <c r="J497" s="101">
        <v>389.49</v>
      </c>
      <c r="K497" s="101">
        <v>4673.99</v>
      </c>
      <c r="L497" s="101">
        <v>29601.94</v>
      </c>
      <c r="M497" s="101">
        <v>3116.01</v>
      </c>
      <c r="N497" s="128" t="s">
        <v>1618</v>
      </c>
      <c r="O497" s="92" t="s">
        <v>1619</v>
      </c>
    </row>
    <row r="498" spans="2:15" ht="15" customHeight="1" x14ac:dyDescent="0.3">
      <c r="B498" s="128" t="s">
        <v>1602</v>
      </c>
      <c r="C498" s="128" t="s">
        <v>575</v>
      </c>
      <c r="D498" s="129">
        <v>42613</v>
      </c>
      <c r="E498" s="129">
        <v>42613</v>
      </c>
      <c r="F498" s="130">
        <v>41471.99</v>
      </c>
      <c r="G498" s="128" t="s">
        <v>1066</v>
      </c>
      <c r="H498" s="102">
        <v>7</v>
      </c>
      <c r="I498" s="129">
        <v>44926</v>
      </c>
      <c r="J498" s="101">
        <v>493.76</v>
      </c>
      <c r="K498" s="101">
        <v>5924.57</v>
      </c>
      <c r="L498" s="101">
        <v>37522.28</v>
      </c>
      <c r="M498" s="101">
        <v>3949.71</v>
      </c>
      <c r="N498" s="128" t="s">
        <v>1618</v>
      </c>
      <c r="O498" s="92" t="s">
        <v>1619</v>
      </c>
    </row>
    <row r="499" spans="2:15" ht="15" customHeight="1" x14ac:dyDescent="0.3">
      <c r="B499" s="128" t="s">
        <v>1603</v>
      </c>
      <c r="C499" s="128" t="s">
        <v>576</v>
      </c>
      <c r="D499" s="129">
        <v>42643</v>
      </c>
      <c r="E499" s="129">
        <v>42643</v>
      </c>
      <c r="F499" s="130">
        <v>11656.63</v>
      </c>
      <c r="G499" s="128" t="s">
        <v>1066</v>
      </c>
      <c r="H499" s="102">
        <v>10</v>
      </c>
      <c r="I499" s="129">
        <v>44926</v>
      </c>
      <c r="J499" s="101">
        <v>97.12</v>
      </c>
      <c r="K499" s="101">
        <v>1165.6600000000001</v>
      </c>
      <c r="L499" s="101">
        <v>7285.38</v>
      </c>
      <c r="M499" s="101">
        <v>4371.25</v>
      </c>
      <c r="N499" s="128" t="s">
        <v>1616</v>
      </c>
      <c r="O499" s="92" t="s">
        <v>1619</v>
      </c>
    </row>
    <row r="500" spans="2:15" ht="15" customHeight="1" x14ac:dyDescent="0.3">
      <c r="B500" s="128" t="s">
        <v>1604</v>
      </c>
      <c r="C500" s="128" t="s">
        <v>577</v>
      </c>
      <c r="D500" s="129">
        <v>42825</v>
      </c>
      <c r="E500" s="129">
        <v>42825</v>
      </c>
      <c r="F500" s="130">
        <v>13250</v>
      </c>
      <c r="G500" s="128" t="s">
        <v>1066</v>
      </c>
      <c r="H500" s="102">
        <v>10</v>
      </c>
      <c r="I500" s="129">
        <v>44926</v>
      </c>
      <c r="J500" s="101">
        <v>110.38</v>
      </c>
      <c r="K500" s="101">
        <v>1325</v>
      </c>
      <c r="L500" s="101">
        <v>7618.75</v>
      </c>
      <c r="M500" s="101">
        <v>5631.25</v>
      </c>
      <c r="N500" s="128" t="s">
        <v>1616</v>
      </c>
      <c r="O500" s="92" t="s">
        <v>1619</v>
      </c>
    </row>
    <row r="501" spans="2:15" ht="15" customHeight="1" x14ac:dyDescent="0.3">
      <c r="B501" s="128" t="s">
        <v>1605</v>
      </c>
      <c r="C501" s="128" t="s">
        <v>578</v>
      </c>
      <c r="D501" s="129">
        <v>42855</v>
      </c>
      <c r="E501" s="129">
        <v>42855</v>
      </c>
      <c r="F501" s="130">
        <v>11156.81</v>
      </c>
      <c r="G501" s="128" t="s">
        <v>1066</v>
      </c>
      <c r="H501" s="102">
        <v>7</v>
      </c>
      <c r="I501" s="129">
        <v>44926</v>
      </c>
      <c r="J501" s="101">
        <v>132.81</v>
      </c>
      <c r="K501" s="101">
        <v>1593.83</v>
      </c>
      <c r="L501" s="101">
        <v>9031.7000000000007</v>
      </c>
      <c r="M501" s="101">
        <v>2125.11</v>
      </c>
      <c r="N501" s="128" t="s">
        <v>1618</v>
      </c>
      <c r="O501" s="92" t="s">
        <v>1619</v>
      </c>
    </row>
    <row r="502" spans="2:15" ht="15" customHeight="1" x14ac:dyDescent="0.3">
      <c r="B502" s="128" t="s">
        <v>1606</v>
      </c>
      <c r="C502" s="128" t="s">
        <v>579</v>
      </c>
      <c r="D502" s="129">
        <v>42886</v>
      </c>
      <c r="E502" s="129">
        <v>42886</v>
      </c>
      <c r="F502" s="130">
        <v>4867</v>
      </c>
      <c r="G502" s="128" t="s">
        <v>1066</v>
      </c>
      <c r="H502" s="102">
        <v>7</v>
      </c>
      <c r="I502" s="129">
        <v>44926</v>
      </c>
      <c r="J502" s="101">
        <v>57.95</v>
      </c>
      <c r="K502" s="101">
        <v>695.29</v>
      </c>
      <c r="L502" s="101">
        <v>3882.03</v>
      </c>
      <c r="M502" s="101">
        <v>984.97</v>
      </c>
      <c r="N502" s="128" t="s">
        <v>1617</v>
      </c>
      <c r="O502" s="92" t="s">
        <v>1619</v>
      </c>
    </row>
    <row r="503" spans="2:15" ht="15" customHeight="1" x14ac:dyDescent="0.3">
      <c r="B503" s="128" t="s">
        <v>1607</v>
      </c>
      <c r="C503" s="128" t="s">
        <v>580</v>
      </c>
      <c r="D503" s="129">
        <v>42947</v>
      </c>
      <c r="E503" s="129">
        <v>42947</v>
      </c>
      <c r="F503" s="130">
        <v>11156.81</v>
      </c>
      <c r="G503" s="128" t="s">
        <v>1066</v>
      </c>
      <c r="H503" s="102">
        <v>7</v>
      </c>
      <c r="I503" s="129">
        <v>44926</v>
      </c>
      <c r="J503" s="101">
        <v>132.81</v>
      </c>
      <c r="K503" s="101">
        <v>1593.83</v>
      </c>
      <c r="L503" s="101">
        <v>8633.25</v>
      </c>
      <c r="M503" s="101">
        <v>2523.56</v>
      </c>
      <c r="N503" s="128" t="s">
        <v>1618</v>
      </c>
      <c r="O503" s="92" t="s">
        <v>1619</v>
      </c>
    </row>
    <row r="504" spans="2:15" ht="15" customHeight="1" x14ac:dyDescent="0.3">
      <c r="B504" s="128" t="s">
        <v>1608</v>
      </c>
      <c r="C504" s="128" t="s">
        <v>581</v>
      </c>
      <c r="D504" s="129">
        <v>43100</v>
      </c>
      <c r="E504" s="129">
        <v>43100</v>
      </c>
      <c r="F504" s="130">
        <v>55281.8</v>
      </c>
      <c r="G504" s="128" t="s">
        <v>1066</v>
      </c>
      <c r="H504" s="102">
        <v>7</v>
      </c>
      <c r="I504" s="129">
        <v>44926</v>
      </c>
      <c r="J504" s="101">
        <v>658.08</v>
      </c>
      <c r="K504" s="101">
        <v>7897.4</v>
      </c>
      <c r="L504" s="101">
        <v>39487</v>
      </c>
      <c r="M504" s="101">
        <v>15794.8</v>
      </c>
      <c r="N504" s="128" t="s">
        <v>1618</v>
      </c>
      <c r="O504" s="92" t="s">
        <v>1619</v>
      </c>
    </row>
    <row r="505" spans="2:15" ht="15" customHeight="1" x14ac:dyDescent="0.3">
      <c r="B505" s="128" t="s">
        <v>1609</v>
      </c>
      <c r="C505" s="128" t="s">
        <v>582</v>
      </c>
      <c r="D505" s="129">
        <v>43100</v>
      </c>
      <c r="E505" s="129">
        <v>43100</v>
      </c>
      <c r="F505" s="130">
        <v>98195.02</v>
      </c>
      <c r="G505" s="128" t="s">
        <v>1066</v>
      </c>
      <c r="H505" s="102">
        <v>10</v>
      </c>
      <c r="I505" s="129">
        <v>44926</v>
      </c>
      <c r="J505" s="101">
        <v>818.31</v>
      </c>
      <c r="K505" s="101">
        <v>9819.5</v>
      </c>
      <c r="L505" s="101">
        <v>49097.5</v>
      </c>
      <c r="M505" s="101">
        <v>49097.52</v>
      </c>
      <c r="N505" s="128" t="s">
        <v>1618</v>
      </c>
      <c r="O505" s="92" t="s">
        <v>1619</v>
      </c>
    </row>
    <row r="506" spans="2:15" ht="15" customHeight="1" x14ac:dyDescent="0.3">
      <c r="B506" s="128" t="s">
        <v>1610</v>
      </c>
      <c r="C506" s="128" t="s">
        <v>583</v>
      </c>
      <c r="D506" s="129">
        <v>40482</v>
      </c>
      <c r="E506" s="129">
        <v>40482</v>
      </c>
      <c r="F506" s="130">
        <v>1869</v>
      </c>
      <c r="G506" s="128" t="s">
        <v>1066</v>
      </c>
      <c r="H506" s="102">
        <v>7</v>
      </c>
      <c r="I506" s="129">
        <v>43039</v>
      </c>
      <c r="J506" s="101">
        <v>0</v>
      </c>
      <c r="K506" s="101">
        <v>0</v>
      </c>
      <c r="L506" s="101">
        <v>1869</v>
      </c>
      <c r="M506" s="101">
        <v>0</v>
      </c>
      <c r="N506" s="128" t="s">
        <v>1618</v>
      </c>
      <c r="O506" s="92" t="s">
        <v>1619</v>
      </c>
    </row>
    <row r="507" spans="2:15" ht="15" customHeight="1" x14ac:dyDescent="0.3">
      <c r="B507" s="128" t="s">
        <v>1611</v>
      </c>
      <c r="C507" s="128" t="s">
        <v>584</v>
      </c>
      <c r="D507" s="129">
        <v>43434</v>
      </c>
      <c r="E507" s="129">
        <v>43434</v>
      </c>
      <c r="F507" s="130">
        <v>30597</v>
      </c>
      <c r="G507" s="128" t="s">
        <v>1066</v>
      </c>
      <c r="H507" s="102">
        <v>7</v>
      </c>
      <c r="I507" s="129">
        <v>44926</v>
      </c>
      <c r="J507" s="101">
        <v>364.25</v>
      </c>
      <c r="K507" s="101">
        <v>4371</v>
      </c>
      <c r="L507" s="101">
        <v>17848.25</v>
      </c>
      <c r="M507" s="101">
        <v>12748.75</v>
      </c>
      <c r="N507" s="128" t="s">
        <v>1618</v>
      </c>
      <c r="O507" s="92" t="s">
        <v>1619</v>
      </c>
    </row>
    <row r="508" spans="2:15" ht="15" customHeight="1" x14ac:dyDescent="0.3">
      <c r="B508" s="128" t="s">
        <v>1612</v>
      </c>
      <c r="C508" s="128" t="s">
        <v>585</v>
      </c>
      <c r="D508" s="129">
        <v>43616</v>
      </c>
      <c r="E508" s="129">
        <v>43616</v>
      </c>
      <c r="F508" s="130">
        <v>56475</v>
      </c>
      <c r="G508" s="128" t="s">
        <v>1068</v>
      </c>
      <c r="H508" s="102">
        <v>10</v>
      </c>
      <c r="I508" s="129">
        <v>44926</v>
      </c>
      <c r="J508" s="101">
        <v>457.82</v>
      </c>
      <c r="K508" s="101">
        <v>5494.5</v>
      </c>
      <c r="L508" s="101">
        <v>21204.81</v>
      </c>
      <c r="M508" s="101">
        <v>35270.19</v>
      </c>
      <c r="N508" s="128" t="s">
        <v>1618</v>
      </c>
      <c r="O508" s="92" t="s">
        <v>1619</v>
      </c>
    </row>
    <row r="509" spans="2:15" ht="15" customHeight="1" x14ac:dyDescent="0.3">
      <c r="B509" s="128" t="s">
        <v>1613</v>
      </c>
      <c r="C509" s="128" t="s">
        <v>586</v>
      </c>
      <c r="D509" s="129">
        <v>43677</v>
      </c>
      <c r="E509" s="129">
        <v>43677</v>
      </c>
      <c r="F509" s="130">
        <v>10926.72</v>
      </c>
      <c r="G509" s="128" t="s">
        <v>1066</v>
      </c>
      <c r="H509" s="102">
        <v>7</v>
      </c>
      <c r="I509" s="129">
        <v>44926</v>
      </c>
      <c r="J509" s="101">
        <v>130.08000000000001</v>
      </c>
      <c r="K509" s="101">
        <v>1560.96</v>
      </c>
      <c r="L509" s="101">
        <v>5333.28</v>
      </c>
      <c r="M509" s="101">
        <v>5593.44</v>
      </c>
      <c r="N509" s="128" t="s">
        <v>1618</v>
      </c>
      <c r="O509" s="92" t="s">
        <v>1619</v>
      </c>
    </row>
    <row r="510" spans="2:15" ht="15" customHeight="1" x14ac:dyDescent="0.3">
      <c r="B510" s="128" t="s">
        <v>1614</v>
      </c>
      <c r="C510" s="128" t="s">
        <v>587</v>
      </c>
      <c r="D510" s="129">
        <v>44135</v>
      </c>
      <c r="E510" s="129">
        <v>44135</v>
      </c>
      <c r="F510" s="130">
        <v>7905.2</v>
      </c>
      <c r="G510" s="128" t="s">
        <v>1066</v>
      </c>
      <c r="H510" s="102">
        <v>10</v>
      </c>
      <c r="I510" s="129">
        <v>44135</v>
      </c>
      <c r="J510" s="101">
        <v>0</v>
      </c>
      <c r="K510" s="101">
        <v>0</v>
      </c>
      <c r="L510" s="101">
        <v>7905.2</v>
      </c>
      <c r="M510" s="101">
        <v>0</v>
      </c>
      <c r="N510" s="128" t="s">
        <v>1616</v>
      </c>
      <c r="O510" s="92" t="s">
        <v>1619</v>
      </c>
    </row>
    <row r="511" spans="2:15" ht="15" customHeight="1" x14ac:dyDescent="0.3">
      <c r="B511" s="128" t="s">
        <v>1615</v>
      </c>
      <c r="C511" s="128" t="s">
        <v>1021</v>
      </c>
      <c r="D511" s="129">
        <v>44895</v>
      </c>
      <c r="E511" s="129">
        <v>44895</v>
      </c>
      <c r="F511" s="130">
        <v>17010</v>
      </c>
      <c r="G511" s="128" t="s">
        <v>1066</v>
      </c>
      <c r="H511" s="102">
        <v>7</v>
      </c>
      <c r="I511" s="129">
        <v>44926</v>
      </c>
      <c r="J511" s="101">
        <v>202.5</v>
      </c>
      <c r="K511" s="101">
        <v>202.5</v>
      </c>
      <c r="L511" s="101">
        <v>202.5</v>
      </c>
      <c r="M511" s="101">
        <v>16807.5</v>
      </c>
      <c r="N511" s="128" t="s">
        <v>1618</v>
      </c>
      <c r="O511" s="92" t="s">
        <v>1619</v>
      </c>
    </row>
    <row r="512" spans="2:15" ht="15" customHeight="1" x14ac:dyDescent="0.3">
      <c r="B512" s="128" t="s">
        <v>1620</v>
      </c>
      <c r="C512" s="128" t="s">
        <v>588</v>
      </c>
      <c r="D512" s="129">
        <v>36526</v>
      </c>
      <c r="E512" s="129">
        <v>36526</v>
      </c>
      <c r="F512" s="130">
        <v>3670</v>
      </c>
      <c r="G512" s="128" t="s">
        <v>1066</v>
      </c>
      <c r="H512" s="102">
        <v>10</v>
      </c>
      <c r="I512" s="129">
        <v>41820</v>
      </c>
      <c r="J512" s="101">
        <v>0</v>
      </c>
      <c r="K512" s="101">
        <v>0</v>
      </c>
      <c r="L512" s="101">
        <v>3670</v>
      </c>
      <c r="M512" s="101">
        <v>0</v>
      </c>
      <c r="N512" s="128" t="s">
        <v>1626</v>
      </c>
      <c r="O512" s="92" t="s">
        <v>1627</v>
      </c>
    </row>
    <row r="513" spans="2:15" ht="15" customHeight="1" x14ac:dyDescent="0.3">
      <c r="B513" s="128" t="s">
        <v>1621</v>
      </c>
      <c r="C513" s="128" t="s">
        <v>589</v>
      </c>
      <c r="D513" s="129">
        <v>37377</v>
      </c>
      <c r="E513" s="129">
        <v>37377</v>
      </c>
      <c r="F513" s="130">
        <v>3820</v>
      </c>
      <c r="G513" s="128" t="s">
        <v>1068</v>
      </c>
      <c r="H513" s="102">
        <v>12</v>
      </c>
      <c r="I513" s="129">
        <v>42003</v>
      </c>
      <c r="J513" s="101">
        <v>0</v>
      </c>
      <c r="K513" s="101">
        <v>0</v>
      </c>
      <c r="L513" s="101">
        <v>3820</v>
      </c>
      <c r="M513" s="101">
        <v>0</v>
      </c>
      <c r="N513" s="128" t="s">
        <v>1626</v>
      </c>
      <c r="O513" s="92" t="s">
        <v>1627</v>
      </c>
    </row>
    <row r="514" spans="2:15" ht="15" customHeight="1" x14ac:dyDescent="0.3">
      <c r="B514" s="128" t="s">
        <v>1622</v>
      </c>
      <c r="C514" s="128" t="s">
        <v>590</v>
      </c>
      <c r="D514" s="129">
        <v>41455</v>
      </c>
      <c r="E514" s="129">
        <v>41455</v>
      </c>
      <c r="F514" s="130">
        <v>10717.8</v>
      </c>
      <c r="G514" s="128" t="s">
        <v>1066</v>
      </c>
      <c r="H514" s="102">
        <v>10</v>
      </c>
      <c r="I514" s="129">
        <v>44926</v>
      </c>
      <c r="J514" s="101">
        <v>89.26</v>
      </c>
      <c r="K514" s="101">
        <v>1071.78</v>
      </c>
      <c r="L514" s="101">
        <v>10181.91</v>
      </c>
      <c r="M514" s="101">
        <v>535.89</v>
      </c>
      <c r="N514" s="128" t="s">
        <v>1626</v>
      </c>
      <c r="O514" s="92" t="s">
        <v>1627</v>
      </c>
    </row>
    <row r="515" spans="2:15" ht="15" customHeight="1" x14ac:dyDescent="0.3">
      <c r="B515" s="128" t="s">
        <v>1623</v>
      </c>
      <c r="C515" s="128" t="s">
        <v>591</v>
      </c>
      <c r="D515" s="129">
        <v>42124</v>
      </c>
      <c r="E515" s="129">
        <v>42124</v>
      </c>
      <c r="F515" s="130">
        <v>3920</v>
      </c>
      <c r="G515" s="128" t="s">
        <v>1066</v>
      </c>
      <c r="H515" s="102">
        <v>10</v>
      </c>
      <c r="I515" s="129">
        <v>44926</v>
      </c>
      <c r="J515" s="101">
        <v>32.630000000000003</v>
      </c>
      <c r="K515" s="101">
        <v>392</v>
      </c>
      <c r="L515" s="101">
        <v>3005.33</v>
      </c>
      <c r="M515" s="101">
        <v>914.67</v>
      </c>
      <c r="N515" s="128" t="s">
        <v>1626</v>
      </c>
      <c r="O515" s="92" t="s">
        <v>1627</v>
      </c>
    </row>
    <row r="516" spans="2:15" ht="15" customHeight="1" x14ac:dyDescent="0.3">
      <c r="B516" s="128" t="s">
        <v>1624</v>
      </c>
      <c r="C516" s="128" t="s">
        <v>592</v>
      </c>
      <c r="D516" s="129">
        <v>43373</v>
      </c>
      <c r="E516" s="129">
        <v>43373</v>
      </c>
      <c r="F516" s="130">
        <v>1291.99</v>
      </c>
      <c r="G516" s="128" t="s">
        <v>1066</v>
      </c>
      <c r="H516" s="102">
        <v>10</v>
      </c>
      <c r="I516" s="129">
        <v>44926</v>
      </c>
      <c r="J516" s="101">
        <v>10.73</v>
      </c>
      <c r="K516" s="101">
        <v>129.19999999999999</v>
      </c>
      <c r="L516" s="101">
        <v>549.1</v>
      </c>
      <c r="M516" s="101">
        <v>742.89</v>
      </c>
      <c r="N516" s="128" t="s">
        <v>1626</v>
      </c>
      <c r="O516" s="92" t="s">
        <v>1627</v>
      </c>
    </row>
    <row r="517" spans="2:15" ht="15" customHeight="1" x14ac:dyDescent="0.3">
      <c r="B517" s="128" t="s">
        <v>1625</v>
      </c>
      <c r="C517" s="128" t="s">
        <v>593</v>
      </c>
      <c r="D517" s="129">
        <v>44530</v>
      </c>
      <c r="E517" s="129">
        <v>44530</v>
      </c>
      <c r="F517" s="130">
        <v>5049.49</v>
      </c>
      <c r="G517" s="128" t="s">
        <v>1066</v>
      </c>
      <c r="H517" s="102">
        <v>10</v>
      </c>
      <c r="I517" s="129">
        <v>44926</v>
      </c>
      <c r="J517" s="101">
        <v>42.07</v>
      </c>
      <c r="K517" s="101">
        <v>504.95</v>
      </c>
      <c r="L517" s="101">
        <v>547.03</v>
      </c>
      <c r="M517" s="101">
        <v>4502.46</v>
      </c>
      <c r="N517" s="128" t="s">
        <v>1626</v>
      </c>
      <c r="O517" s="92" t="s">
        <v>1627</v>
      </c>
    </row>
    <row r="518" spans="2:15" ht="15" customHeight="1" x14ac:dyDescent="0.3">
      <c r="B518" s="128" t="s">
        <v>1628</v>
      </c>
      <c r="C518" s="128" t="s">
        <v>153</v>
      </c>
      <c r="D518" s="129">
        <v>37622</v>
      </c>
      <c r="E518" s="129">
        <v>34335</v>
      </c>
      <c r="F518" s="130">
        <v>16191</v>
      </c>
      <c r="G518" s="128" t="s">
        <v>1066</v>
      </c>
      <c r="H518" s="102">
        <v>10</v>
      </c>
      <c r="I518" s="129">
        <v>41820</v>
      </c>
      <c r="J518" s="101">
        <v>0</v>
      </c>
      <c r="K518" s="101">
        <v>0</v>
      </c>
      <c r="L518" s="101">
        <v>16191</v>
      </c>
      <c r="M518" s="101">
        <v>0</v>
      </c>
      <c r="N518" s="128" t="s">
        <v>1647</v>
      </c>
      <c r="O518" s="92" t="s">
        <v>1648</v>
      </c>
    </row>
    <row r="519" spans="2:15" ht="15" customHeight="1" x14ac:dyDescent="0.3">
      <c r="B519" s="128" t="s">
        <v>1629</v>
      </c>
      <c r="C519" s="128" t="s">
        <v>154</v>
      </c>
      <c r="D519" s="129">
        <v>38930</v>
      </c>
      <c r="E519" s="129">
        <v>38930</v>
      </c>
      <c r="F519" s="130">
        <v>23486</v>
      </c>
      <c r="G519" s="128" t="s">
        <v>1066</v>
      </c>
      <c r="H519" s="102">
        <v>10</v>
      </c>
      <c r="I519" s="129">
        <v>42582</v>
      </c>
      <c r="J519" s="101">
        <v>0</v>
      </c>
      <c r="K519" s="101">
        <v>0</v>
      </c>
      <c r="L519" s="101">
        <v>23486</v>
      </c>
      <c r="M519" s="101">
        <v>0</v>
      </c>
      <c r="N519" s="128" t="s">
        <v>1647</v>
      </c>
      <c r="O519" s="92" t="s">
        <v>1648</v>
      </c>
    </row>
    <row r="520" spans="2:15" ht="15" customHeight="1" x14ac:dyDescent="0.3">
      <c r="B520" s="128" t="s">
        <v>1630</v>
      </c>
      <c r="C520" s="128" t="s">
        <v>155</v>
      </c>
      <c r="D520" s="129">
        <v>39538</v>
      </c>
      <c r="E520" s="129">
        <v>39538</v>
      </c>
      <c r="F520" s="130">
        <v>843.65</v>
      </c>
      <c r="G520" s="128" t="s">
        <v>1066</v>
      </c>
      <c r="H520" s="102">
        <v>10</v>
      </c>
      <c r="I520" s="129">
        <v>43100</v>
      </c>
      <c r="J520" s="101">
        <v>0</v>
      </c>
      <c r="K520" s="101">
        <v>0</v>
      </c>
      <c r="L520" s="101">
        <v>843.65</v>
      </c>
      <c r="M520" s="101">
        <v>0</v>
      </c>
      <c r="N520" s="128" t="s">
        <v>1647</v>
      </c>
      <c r="O520" s="92" t="s">
        <v>1648</v>
      </c>
    </row>
    <row r="521" spans="2:15" ht="15" customHeight="1" x14ac:dyDescent="0.3">
      <c r="B521" s="128" t="s">
        <v>1631</v>
      </c>
      <c r="C521" s="128" t="s">
        <v>594</v>
      </c>
      <c r="D521" s="129">
        <v>40148</v>
      </c>
      <c r="E521" s="129">
        <v>40148</v>
      </c>
      <c r="F521" s="130">
        <v>89281.74</v>
      </c>
      <c r="G521" s="128" t="s">
        <v>1066</v>
      </c>
      <c r="H521" s="102">
        <v>10</v>
      </c>
      <c r="I521" s="129">
        <v>43799</v>
      </c>
      <c r="J521" s="101">
        <v>0</v>
      </c>
      <c r="K521" s="101">
        <v>0</v>
      </c>
      <c r="L521" s="101">
        <v>89281.74</v>
      </c>
      <c r="M521" s="101">
        <v>0</v>
      </c>
      <c r="N521" s="128" t="s">
        <v>1647</v>
      </c>
      <c r="O521" s="92" t="s">
        <v>1648</v>
      </c>
    </row>
    <row r="522" spans="2:15" ht="15" customHeight="1" x14ac:dyDescent="0.3">
      <c r="B522" s="128" t="s">
        <v>1632</v>
      </c>
      <c r="C522" s="128" t="s">
        <v>595</v>
      </c>
      <c r="D522" s="129">
        <v>40694</v>
      </c>
      <c r="E522" s="129">
        <v>40694</v>
      </c>
      <c r="F522" s="130">
        <v>2280</v>
      </c>
      <c r="G522" s="128" t="s">
        <v>1066</v>
      </c>
      <c r="H522" s="102">
        <v>10</v>
      </c>
      <c r="I522" s="129">
        <v>44347</v>
      </c>
      <c r="J522" s="101">
        <v>0</v>
      </c>
      <c r="K522" s="101">
        <v>0</v>
      </c>
      <c r="L522" s="101">
        <v>2280</v>
      </c>
      <c r="M522" s="101">
        <v>0</v>
      </c>
      <c r="N522" s="128" t="s">
        <v>1647</v>
      </c>
      <c r="O522" s="92" t="s">
        <v>1648</v>
      </c>
    </row>
    <row r="523" spans="2:15" ht="15" customHeight="1" x14ac:dyDescent="0.3">
      <c r="B523" s="128" t="s">
        <v>1633</v>
      </c>
      <c r="C523" s="128" t="s">
        <v>596</v>
      </c>
      <c r="D523" s="129">
        <v>40877</v>
      </c>
      <c r="E523" s="129">
        <v>40877</v>
      </c>
      <c r="F523" s="130">
        <v>71443.09</v>
      </c>
      <c r="G523" s="128" t="s">
        <v>1066</v>
      </c>
      <c r="H523" s="102">
        <v>10</v>
      </c>
      <c r="I523" s="129">
        <v>44530</v>
      </c>
      <c r="J523" s="101">
        <v>0</v>
      </c>
      <c r="K523" s="101">
        <v>0</v>
      </c>
      <c r="L523" s="101">
        <v>71443.09</v>
      </c>
      <c r="M523" s="101">
        <v>0</v>
      </c>
      <c r="N523" s="128" t="s">
        <v>1647</v>
      </c>
      <c r="O523" s="92" t="s">
        <v>1648</v>
      </c>
    </row>
    <row r="524" spans="2:15" ht="15" customHeight="1" x14ac:dyDescent="0.3">
      <c r="B524" s="128" t="s">
        <v>1634</v>
      </c>
      <c r="C524" s="128" t="s">
        <v>597</v>
      </c>
      <c r="D524" s="129">
        <v>42216</v>
      </c>
      <c r="E524" s="129">
        <v>42216</v>
      </c>
      <c r="F524" s="130">
        <v>10377.6</v>
      </c>
      <c r="G524" s="128" t="s">
        <v>1066</v>
      </c>
      <c r="H524" s="102">
        <v>10</v>
      </c>
      <c r="I524" s="129">
        <v>44926</v>
      </c>
      <c r="J524" s="101">
        <v>86.48</v>
      </c>
      <c r="K524" s="101">
        <v>1037.76</v>
      </c>
      <c r="L524" s="101">
        <v>7696.72</v>
      </c>
      <c r="M524" s="101">
        <v>2680.88</v>
      </c>
      <c r="N524" s="128" t="s">
        <v>1647</v>
      </c>
      <c r="O524" s="92" t="s">
        <v>1648</v>
      </c>
    </row>
    <row r="525" spans="2:15" ht="15" customHeight="1" x14ac:dyDescent="0.3">
      <c r="B525" s="128" t="s">
        <v>1635</v>
      </c>
      <c r="C525" s="128" t="s">
        <v>598</v>
      </c>
      <c r="D525" s="129">
        <v>42277</v>
      </c>
      <c r="E525" s="129">
        <v>42277</v>
      </c>
      <c r="F525" s="130">
        <v>249</v>
      </c>
      <c r="G525" s="128" t="s">
        <v>1066</v>
      </c>
      <c r="H525" s="102">
        <v>10</v>
      </c>
      <c r="I525" s="129">
        <v>44926</v>
      </c>
      <c r="J525" s="101">
        <v>2.02</v>
      </c>
      <c r="K525" s="101">
        <v>24.9</v>
      </c>
      <c r="L525" s="101">
        <v>180.53</v>
      </c>
      <c r="M525" s="101">
        <v>68.47</v>
      </c>
      <c r="N525" s="128" t="s">
        <v>1647</v>
      </c>
      <c r="O525" s="92" t="s">
        <v>1648</v>
      </c>
    </row>
    <row r="526" spans="2:15" ht="15" customHeight="1" x14ac:dyDescent="0.3">
      <c r="B526" s="128" t="s">
        <v>1636</v>
      </c>
      <c r="C526" s="128" t="s">
        <v>599</v>
      </c>
      <c r="D526" s="129">
        <v>42429</v>
      </c>
      <c r="E526" s="129">
        <v>42429</v>
      </c>
      <c r="F526" s="130">
        <v>3913.14</v>
      </c>
      <c r="G526" s="128" t="s">
        <v>1066</v>
      </c>
      <c r="H526" s="102">
        <v>10</v>
      </c>
      <c r="I526" s="129">
        <v>44926</v>
      </c>
      <c r="J526" s="101">
        <v>32.6</v>
      </c>
      <c r="K526" s="101">
        <v>391.31</v>
      </c>
      <c r="L526" s="101">
        <v>2673.96</v>
      </c>
      <c r="M526" s="101">
        <v>1239.18</v>
      </c>
      <c r="N526" s="128" t="s">
        <v>1647</v>
      </c>
      <c r="O526" s="92" t="s">
        <v>1648</v>
      </c>
    </row>
    <row r="527" spans="2:15" ht="15" customHeight="1" x14ac:dyDescent="0.3">
      <c r="B527" s="128" t="s">
        <v>1637</v>
      </c>
      <c r="C527" s="128" t="s">
        <v>600</v>
      </c>
      <c r="D527" s="129">
        <v>42430</v>
      </c>
      <c r="E527" s="129">
        <v>42430</v>
      </c>
      <c r="F527" s="130">
        <v>4257.41</v>
      </c>
      <c r="G527" s="128" t="s">
        <v>1066</v>
      </c>
      <c r="H527" s="102">
        <v>10</v>
      </c>
      <c r="I527" s="129">
        <v>44926</v>
      </c>
      <c r="J527" s="101">
        <v>35.46</v>
      </c>
      <c r="K527" s="101">
        <v>425.74</v>
      </c>
      <c r="L527" s="101">
        <v>2909.22</v>
      </c>
      <c r="M527" s="101">
        <v>1348.19</v>
      </c>
      <c r="N527" s="128" t="s">
        <v>1647</v>
      </c>
      <c r="O527" s="92" t="s">
        <v>1648</v>
      </c>
    </row>
    <row r="528" spans="2:15" ht="15" customHeight="1" x14ac:dyDescent="0.3">
      <c r="B528" s="128" t="s">
        <v>1638</v>
      </c>
      <c r="C528" s="128" t="s">
        <v>601</v>
      </c>
      <c r="D528" s="129">
        <v>42430</v>
      </c>
      <c r="E528" s="129">
        <v>42430</v>
      </c>
      <c r="F528" s="130">
        <v>15769.07</v>
      </c>
      <c r="G528" s="128" t="s">
        <v>1066</v>
      </c>
      <c r="H528" s="102">
        <v>10</v>
      </c>
      <c r="I528" s="129">
        <v>44926</v>
      </c>
      <c r="J528" s="101">
        <v>131.4</v>
      </c>
      <c r="K528" s="101">
        <v>1576.91</v>
      </c>
      <c r="L528" s="101">
        <v>10775.55</v>
      </c>
      <c r="M528" s="101">
        <v>4993.5200000000004</v>
      </c>
      <c r="N528" s="128" t="s">
        <v>1647</v>
      </c>
      <c r="O528" s="92" t="s">
        <v>1648</v>
      </c>
    </row>
    <row r="529" spans="2:15" ht="15" customHeight="1" x14ac:dyDescent="0.3">
      <c r="B529" s="128" t="s">
        <v>1639</v>
      </c>
      <c r="C529" s="128" t="s">
        <v>602</v>
      </c>
      <c r="D529" s="129">
        <v>42490</v>
      </c>
      <c r="E529" s="129">
        <v>42490</v>
      </c>
      <c r="F529" s="130">
        <v>95575</v>
      </c>
      <c r="G529" s="128" t="s">
        <v>1066</v>
      </c>
      <c r="H529" s="102">
        <v>10</v>
      </c>
      <c r="I529" s="129">
        <v>44926</v>
      </c>
      <c r="J529" s="101">
        <v>796.44</v>
      </c>
      <c r="K529" s="101">
        <v>9557.5</v>
      </c>
      <c r="L529" s="101">
        <v>63716.67</v>
      </c>
      <c r="M529" s="101">
        <v>31858.33</v>
      </c>
      <c r="N529" s="128" t="s">
        <v>1647</v>
      </c>
      <c r="O529" s="92" t="s">
        <v>1648</v>
      </c>
    </row>
    <row r="530" spans="2:15" ht="15" customHeight="1" x14ac:dyDescent="0.3">
      <c r="B530" s="128" t="s">
        <v>1640</v>
      </c>
      <c r="C530" s="128" t="s">
        <v>603</v>
      </c>
      <c r="D530" s="129">
        <v>42735</v>
      </c>
      <c r="E530" s="129">
        <v>42735</v>
      </c>
      <c r="F530" s="130">
        <v>113508.33</v>
      </c>
      <c r="G530" s="128" t="s">
        <v>1066</v>
      </c>
      <c r="H530" s="102">
        <v>10</v>
      </c>
      <c r="I530" s="129">
        <v>44926</v>
      </c>
      <c r="J530" s="101">
        <v>945.93</v>
      </c>
      <c r="K530" s="101">
        <v>11350.83</v>
      </c>
      <c r="L530" s="101">
        <v>68104.990000000005</v>
      </c>
      <c r="M530" s="101">
        <v>45403.34</v>
      </c>
      <c r="N530" s="128" t="s">
        <v>1647</v>
      </c>
      <c r="O530" s="92" t="s">
        <v>1648</v>
      </c>
    </row>
    <row r="531" spans="2:15" ht="15" customHeight="1" x14ac:dyDescent="0.3">
      <c r="B531" s="128" t="s">
        <v>1641</v>
      </c>
      <c r="C531" s="128" t="s">
        <v>604</v>
      </c>
      <c r="D531" s="129">
        <v>42794</v>
      </c>
      <c r="E531" s="129">
        <v>42794</v>
      </c>
      <c r="F531" s="130">
        <v>2082.1799999999998</v>
      </c>
      <c r="G531" s="128" t="s">
        <v>1066</v>
      </c>
      <c r="H531" s="102">
        <v>10</v>
      </c>
      <c r="I531" s="129">
        <v>44926</v>
      </c>
      <c r="J531" s="101">
        <v>17.37</v>
      </c>
      <c r="K531" s="101">
        <v>208.22</v>
      </c>
      <c r="L531" s="101">
        <v>1214.6199999999999</v>
      </c>
      <c r="M531" s="101">
        <v>867.56</v>
      </c>
      <c r="N531" s="128" t="s">
        <v>1647</v>
      </c>
      <c r="O531" s="92" t="s">
        <v>1648</v>
      </c>
    </row>
    <row r="532" spans="2:15" ht="15" customHeight="1" x14ac:dyDescent="0.3">
      <c r="B532" s="128" t="s">
        <v>1642</v>
      </c>
      <c r="C532" s="128" t="s">
        <v>605</v>
      </c>
      <c r="D532" s="129">
        <v>43312</v>
      </c>
      <c r="E532" s="129">
        <v>43312</v>
      </c>
      <c r="F532" s="130">
        <v>1865</v>
      </c>
      <c r="G532" s="128" t="s">
        <v>1066</v>
      </c>
      <c r="H532" s="102">
        <v>10</v>
      </c>
      <c r="I532" s="129">
        <v>44926</v>
      </c>
      <c r="J532" s="101">
        <v>15.56</v>
      </c>
      <c r="K532" s="101">
        <v>186.5</v>
      </c>
      <c r="L532" s="101">
        <v>823.71</v>
      </c>
      <c r="M532" s="101">
        <v>1041.29</v>
      </c>
      <c r="N532" s="128" t="s">
        <v>1647</v>
      </c>
      <c r="O532" s="92" t="s">
        <v>1648</v>
      </c>
    </row>
    <row r="533" spans="2:15" ht="15" customHeight="1" x14ac:dyDescent="0.3">
      <c r="B533" s="128" t="s">
        <v>1643</v>
      </c>
      <c r="C533" s="128" t="s">
        <v>606</v>
      </c>
      <c r="D533" s="129">
        <v>43373</v>
      </c>
      <c r="E533" s="129">
        <v>43373</v>
      </c>
      <c r="F533" s="130">
        <v>4863</v>
      </c>
      <c r="G533" s="128" t="s">
        <v>1066</v>
      </c>
      <c r="H533" s="102">
        <v>10</v>
      </c>
      <c r="I533" s="129">
        <v>44926</v>
      </c>
      <c r="J533" s="101">
        <v>40.47</v>
      </c>
      <c r="K533" s="101">
        <v>486.3</v>
      </c>
      <c r="L533" s="101">
        <v>2066.7800000000002</v>
      </c>
      <c r="M533" s="101">
        <v>2796.22</v>
      </c>
      <c r="N533" s="128" t="s">
        <v>1647</v>
      </c>
      <c r="O533" s="92" t="s">
        <v>1648</v>
      </c>
    </row>
    <row r="534" spans="2:15" ht="15" customHeight="1" x14ac:dyDescent="0.3">
      <c r="B534" s="128" t="s">
        <v>1644</v>
      </c>
      <c r="C534" s="128" t="s">
        <v>607</v>
      </c>
      <c r="D534" s="129">
        <v>43890</v>
      </c>
      <c r="E534" s="129">
        <v>43890</v>
      </c>
      <c r="F534" s="130">
        <v>75691.899999999994</v>
      </c>
      <c r="G534" s="128" t="s">
        <v>1066</v>
      </c>
      <c r="H534" s="102">
        <v>10</v>
      </c>
      <c r="I534" s="129">
        <v>44926</v>
      </c>
      <c r="J534" s="101">
        <v>630.72</v>
      </c>
      <c r="K534" s="101">
        <v>7569.19</v>
      </c>
      <c r="L534" s="101">
        <v>21446.04</v>
      </c>
      <c r="M534" s="101">
        <v>54245.86</v>
      </c>
      <c r="N534" s="128" t="s">
        <v>1647</v>
      </c>
      <c r="O534" s="92" t="s">
        <v>1648</v>
      </c>
    </row>
    <row r="535" spans="2:15" ht="15" customHeight="1" x14ac:dyDescent="0.3">
      <c r="B535" s="128" t="s">
        <v>1645</v>
      </c>
      <c r="C535" s="128" t="s">
        <v>608</v>
      </c>
      <c r="D535" s="129">
        <v>44408</v>
      </c>
      <c r="E535" s="129">
        <v>44408</v>
      </c>
      <c r="F535" s="130">
        <v>2958.51</v>
      </c>
      <c r="G535" s="128" t="s">
        <v>1066</v>
      </c>
      <c r="H535" s="102">
        <v>10</v>
      </c>
      <c r="I535" s="129">
        <v>44926</v>
      </c>
      <c r="J535" s="101">
        <v>24.7</v>
      </c>
      <c r="K535" s="101">
        <v>295.85000000000002</v>
      </c>
      <c r="L535" s="101">
        <v>419.12</v>
      </c>
      <c r="M535" s="101">
        <v>2539.39</v>
      </c>
      <c r="N535" s="128" t="s">
        <v>1647</v>
      </c>
      <c r="O535" s="92" t="s">
        <v>1648</v>
      </c>
    </row>
    <row r="536" spans="2:15" ht="15" customHeight="1" x14ac:dyDescent="0.3">
      <c r="B536" s="128" t="s">
        <v>1646</v>
      </c>
      <c r="C536" s="128" t="s">
        <v>1022</v>
      </c>
      <c r="D536" s="129">
        <v>44773</v>
      </c>
      <c r="E536" s="129">
        <v>44773</v>
      </c>
      <c r="F536" s="130">
        <v>1989.13</v>
      </c>
      <c r="G536" s="128" t="s">
        <v>1066</v>
      </c>
      <c r="H536" s="102">
        <v>10</v>
      </c>
      <c r="I536" s="129">
        <v>44926</v>
      </c>
      <c r="J536" s="101">
        <v>16.559999999999999</v>
      </c>
      <c r="K536" s="101">
        <v>82.88</v>
      </c>
      <c r="L536" s="101">
        <v>82.88</v>
      </c>
      <c r="M536" s="101">
        <v>1906.25</v>
      </c>
      <c r="N536" s="128" t="s">
        <v>1647</v>
      </c>
      <c r="O536" s="92" t="s">
        <v>1648</v>
      </c>
    </row>
    <row r="537" spans="2:15" ht="15" customHeight="1" x14ac:dyDescent="0.3">
      <c r="B537" s="128" t="s">
        <v>1649</v>
      </c>
      <c r="C537" s="128" t="s">
        <v>609</v>
      </c>
      <c r="D537" s="129">
        <v>41060</v>
      </c>
      <c r="E537" s="129">
        <v>41060</v>
      </c>
      <c r="F537" s="130">
        <v>2898.24</v>
      </c>
      <c r="G537" s="128" t="s">
        <v>1066</v>
      </c>
      <c r="H537" s="102">
        <v>10</v>
      </c>
      <c r="I537" s="129">
        <v>44712</v>
      </c>
      <c r="J537" s="101">
        <v>0</v>
      </c>
      <c r="K537" s="101">
        <v>120.8</v>
      </c>
      <c r="L537" s="101">
        <v>2898.24</v>
      </c>
      <c r="M537" s="101">
        <v>0</v>
      </c>
      <c r="N537" s="128" t="s">
        <v>1660</v>
      </c>
      <c r="O537" s="92" t="s">
        <v>1664</v>
      </c>
    </row>
    <row r="538" spans="2:15" ht="15" customHeight="1" x14ac:dyDescent="0.3">
      <c r="B538" s="128" t="s">
        <v>1650</v>
      </c>
      <c r="C538" s="128" t="s">
        <v>214</v>
      </c>
      <c r="D538" s="129">
        <v>41090</v>
      </c>
      <c r="E538" s="129">
        <v>41090</v>
      </c>
      <c r="F538" s="130">
        <v>3973.56</v>
      </c>
      <c r="G538" s="128" t="s">
        <v>1066</v>
      </c>
      <c r="H538" s="102">
        <v>10</v>
      </c>
      <c r="I538" s="129">
        <v>44742</v>
      </c>
      <c r="J538" s="101">
        <v>0</v>
      </c>
      <c r="K538" s="101">
        <v>198.64</v>
      </c>
      <c r="L538" s="101">
        <v>3973.56</v>
      </c>
      <c r="M538" s="101">
        <v>0</v>
      </c>
      <c r="N538" s="128" t="s">
        <v>1661</v>
      </c>
      <c r="O538" s="92" t="s">
        <v>1664</v>
      </c>
    </row>
    <row r="539" spans="2:15" ht="15" customHeight="1" x14ac:dyDescent="0.3">
      <c r="B539" s="128" t="s">
        <v>1651</v>
      </c>
      <c r="C539" s="128" t="s">
        <v>610</v>
      </c>
      <c r="D539" s="129">
        <v>41882</v>
      </c>
      <c r="E539" s="129">
        <v>41882</v>
      </c>
      <c r="F539" s="130">
        <v>2309.11</v>
      </c>
      <c r="G539" s="128" t="s">
        <v>1066</v>
      </c>
      <c r="H539" s="102">
        <v>10</v>
      </c>
      <c r="I539" s="129">
        <v>44926</v>
      </c>
      <c r="J539" s="101">
        <v>19.27</v>
      </c>
      <c r="K539" s="101">
        <v>230.91</v>
      </c>
      <c r="L539" s="101">
        <v>1924.25</v>
      </c>
      <c r="M539" s="101">
        <v>384.86</v>
      </c>
      <c r="N539" s="128" t="s">
        <v>1662</v>
      </c>
      <c r="O539" s="92" t="s">
        <v>1664</v>
      </c>
    </row>
    <row r="540" spans="2:15" ht="15" customHeight="1" x14ac:dyDescent="0.3">
      <c r="B540" s="128" t="s">
        <v>1652</v>
      </c>
      <c r="C540" s="128" t="s">
        <v>611</v>
      </c>
      <c r="D540" s="129">
        <v>42035</v>
      </c>
      <c r="E540" s="129">
        <v>42035</v>
      </c>
      <c r="F540" s="130">
        <v>15950.2</v>
      </c>
      <c r="G540" s="128" t="s">
        <v>1066</v>
      </c>
      <c r="H540" s="102">
        <v>10</v>
      </c>
      <c r="I540" s="129">
        <v>44926</v>
      </c>
      <c r="J540" s="101">
        <v>132.9</v>
      </c>
      <c r="K540" s="101">
        <v>1595.02</v>
      </c>
      <c r="L540" s="101">
        <v>12627.24</v>
      </c>
      <c r="M540" s="101">
        <v>3322.96</v>
      </c>
      <c r="N540" s="128" t="s">
        <v>1662</v>
      </c>
      <c r="O540" s="92" t="s">
        <v>1664</v>
      </c>
    </row>
    <row r="541" spans="2:15" ht="15" customHeight="1" x14ac:dyDescent="0.3">
      <c r="B541" s="128" t="s">
        <v>1653</v>
      </c>
      <c r="C541" s="128" t="s">
        <v>612</v>
      </c>
      <c r="D541" s="129">
        <v>42277</v>
      </c>
      <c r="E541" s="129">
        <v>42277</v>
      </c>
      <c r="F541" s="130">
        <v>2309.11</v>
      </c>
      <c r="G541" s="128" t="s">
        <v>1066</v>
      </c>
      <c r="H541" s="102">
        <v>10</v>
      </c>
      <c r="I541" s="129">
        <v>44926</v>
      </c>
      <c r="J541" s="101">
        <v>19.27</v>
      </c>
      <c r="K541" s="101">
        <v>230.91</v>
      </c>
      <c r="L541" s="101">
        <v>1674.1</v>
      </c>
      <c r="M541" s="101">
        <v>635.01</v>
      </c>
      <c r="N541" s="128" t="s">
        <v>1662</v>
      </c>
      <c r="O541" s="92" t="s">
        <v>1664</v>
      </c>
    </row>
    <row r="542" spans="2:15" ht="15" customHeight="1" x14ac:dyDescent="0.3">
      <c r="B542" s="128" t="s">
        <v>1654</v>
      </c>
      <c r="C542" s="128" t="s">
        <v>613</v>
      </c>
      <c r="D542" s="129">
        <v>42582</v>
      </c>
      <c r="E542" s="129">
        <v>42582</v>
      </c>
      <c r="F542" s="130">
        <v>3863.85</v>
      </c>
      <c r="G542" s="128" t="s">
        <v>1066</v>
      </c>
      <c r="H542" s="102">
        <v>10</v>
      </c>
      <c r="I542" s="129">
        <v>44926</v>
      </c>
      <c r="J542" s="101">
        <v>32.19</v>
      </c>
      <c r="K542" s="101">
        <v>386.39</v>
      </c>
      <c r="L542" s="101">
        <v>2479.33</v>
      </c>
      <c r="M542" s="101">
        <v>1384.52</v>
      </c>
      <c r="N542" s="128" t="s">
        <v>1660</v>
      </c>
      <c r="O542" s="92" t="s">
        <v>1664</v>
      </c>
    </row>
    <row r="543" spans="2:15" ht="15" customHeight="1" x14ac:dyDescent="0.3">
      <c r="B543" s="128" t="s">
        <v>1655</v>
      </c>
      <c r="C543" s="128" t="s">
        <v>614</v>
      </c>
      <c r="D543" s="129">
        <v>43646</v>
      </c>
      <c r="E543" s="129">
        <v>43646</v>
      </c>
      <c r="F543" s="130">
        <v>1344.2</v>
      </c>
      <c r="G543" s="128" t="s">
        <v>1066</v>
      </c>
      <c r="H543" s="102">
        <v>10</v>
      </c>
      <c r="I543" s="129">
        <v>44926</v>
      </c>
      <c r="J543" s="101">
        <v>11.22</v>
      </c>
      <c r="K543" s="101">
        <v>134.41999999999999</v>
      </c>
      <c r="L543" s="101">
        <v>470.47</v>
      </c>
      <c r="M543" s="101">
        <v>873.73</v>
      </c>
      <c r="N543" s="128" t="s">
        <v>1660</v>
      </c>
      <c r="O543" s="92" t="s">
        <v>1664</v>
      </c>
    </row>
    <row r="544" spans="2:15" ht="15" customHeight="1" x14ac:dyDescent="0.3">
      <c r="B544" s="128" t="s">
        <v>1656</v>
      </c>
      <c r="C544" s="128" t="s">
        <v>1023</v>
      </c>
      <c r="D544" s="129">
        <v>44620</v>
      </c>
      <c r="E544" s="129">
        <v>44620</v>
      </c>
      <c r="F544" s="130">
        <v>312695.26</v>
      </c>
      <c r="G544" s="128" t="s">
        <v>1066</v>
      </c>
      <c r="H544" s="102">
        <v>10</v>
      </c>
      <c r="I544" s="129">
        <v>44926</v>
      </c>
      <c r="J544" s="101">
        <v>2605.83</v>
      </c>
      <c r="K544" s="101">
        <v>26057.94</v>
      </c>
      <c r="L544" s="101">
        <v>26057.94</v>
      </c>
      <c r="M544" s="101">
        <v>286637.32</v>
      </c>
      <c r="N544" s="128" t="s">
        <v>1663</v>
      </c>
      <c r="O544" s="92" t="s">
        <v>1664</v>
      </c>
    </row>
    <row r="545" spans="2:15" ht="15" customHeight="1" x14ac:dyDescent="0.3">
      <c r="B545" s="128" t="s">
        <v>1657</v>
      </c>
      <c r="C545" s="128" t="s">
        <v>1024</v>
      </c>
      <c r="D545" s="129">
        <v>44620</v>
      </c>
      <c r="E545" s="129">
        <v>44620</v>
      </c>
      <c r="F545" s="130">
        <v>397026.55</v>
      </c>
      <c r="G545" s="128" t="s">
        <v>1066</v>
      </c>
      <c r="H545" s="102">
        <v>25</v>
      </c>
      <c r="I545" s="129">
        <v>44926</v>
      </c>
      <c r="J545" s="101">
        <v>1323.44</v>
      </c>
      <c r="K545" s="101">
        <v>13234.22</v>
      </c>
      <c r="L545" s="101">
        <v>13234.22</v>
      </c>
      <c r="M545" s="101">
        <v>383792.33</v>
      </c>
      <c r="N545" s="128" t="s">
        <v>1663</v>
      </c>
      <c r="O545" s="92" t="s">
        <v>1664</v>
      </c>
    </row>
    <row r="546" spans="2:15" ht="15" customHeight="1" x14ac:dyDescent="0.3">
      <c r="B546" s="128" t="s">
        <v>1658</v>
      </c>
      <c r="C546" s="128" t="s">
        <v>1025</v>
      </c>
      <c r="D546" s="129">
        <v>44620</v>
      </c>
      <c r="E546" s="129">
        <v>44620</v>
      </c>
      <c r="F546" s="130">
        <v>268105.43</v>
      </c>
      <c r="G546" s="128" t="s">
        <v>1066</v>
      </c>
      <c r="H546" s="102">
        <v>35</v>
      </c>
      <c r="I546" s="129">
        <v>44926</v>
      </c>
      <c r="J546" s="101">
        <v>638.30999999999995</v>
      </c>
      <c r="K546" s="101">
        <v>6383.46</v>
      </c>
      <c r="L546" s="101">
        <v>6383.46</v>
      </c>
      <c r="M546" s="101">
        <v>261721.97</v>
      </c>
      <c r="N546" s="128" t="s">
        <v>1663</v>
      </c>
      <c r="O546" s="92" t="s">
        <v>1664</v>
      </c>
    </row>
    <row r="547" spans="2:15" ht="15" customHeight="1" x14ac:dyDescent="0.3">
      <c r="B547" s="128" t="s">
        <v>1659</v>
      </c>
      <c r="C547" s="128" t="s">
        <v>615</v>
      </c>
      <c r="D547" s="129">
        <v>43251</v>
      </c>
      <c r="E547" s="129">
        <v>43251</v>
      </c>
      <c r="F547" s="130">
        <v>10806.95</v>
      </c>
      <c r="G547" s="128" t="s">
        <v>1066</v>
      </c>
      <c r="H547" s="102">
        <v>10</v>
      </c>
      <c r="I547" s="129">
        <v>44926</v>
      </c>
      <c r="J547" s="101">
        <v>90.04</v>
      </c>
      <c r="K547" s="101">
        <v>1080.7</v>
      </c>
      <c r="L547" s="101">
        <v>4953.21</v>
      </c>
      <c r="M547" s="101">
        <v>5853.74</v>
      </c>
      <c r="N547" s="128" t="s">
        <v>1660</v>
      </c>
      <c r="O547" s="92" t="s">
        <v>1664</v>
      </c>
    </row>
    <row r="548" spans="2:15" ht="15" customHeight="1" x14ac:dyDescent="0.3">
      <c r="B548" s="122" t="s">
        <v>24</v>
      </c>
      <c r="C548" s="122"/>
      <c r="D548" s="122"/>
      <c r="E548" s="122"/>
      <c r="F548" s="58">
        <f>+SUM(F8:F547)</f>
        <v>52737635.280000053</v>
      </c>
      <c r="G548" s="122"/>
      <c r="H548" s="122"/>
      <c r="I548" s="122"/>
      <c r="J548" s="58">
        <f>+SUM(J8:J547)</f>
        <v>125333.4800000001</v>
      </c>
      <c r="K548" s="58">
        <f t="shared" ref="K548:M548" si="0">+SUM(K8:K547)</f>
        <v>1482799.4500000009</v>
      </c>
      <c r="L548" s="58">
        <f t="shared" si="0"/>
        <v>25410948.339999981</v>
      </c>
      <c r="M548" s="58">
        <f t="shared" si="0"/>
        <v>27326686.939999979</v>
      </c>
    </row>
    <row r="554" spans="2:15" ht="15" customHeight="1" x14ac:dyDescent="0.3">
      <c r="K554" s="127"/>
    </row>
    <row r="555" spans="2:15" ht="15" customHeight="1" x14ac:dyDescent="0.3">
      <c r="K555" s="132"/>
    </row>
  </sheetData>
  <pageMargins left="0.75" right="0.75" top="1" bottom="1" header="0.5" footer="0.5"/>
  <pageSetup scale="70" fitToHeight="20" orientation="landscape" blackAndWhite="1" r:id="rId1"/>
  <headerFooter alignWithMargins="0">
    <oddHeader>&amp;CAttachment 7 - Depreciation Schedule
Hardin County Water District No. 1 - Radcliff Sewer Utility
Alternative Rate Filing Application</oddHeader>
    <oddFooter>&amp;C8/11/2023</oddFooter>
  </headerFooter>
  <rowBreaks count="1" manualBreakCount="1">
    <brk id="149"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8"/>
    <pageSetUpPr fitToPage="1"/>
  </sheetPr>
  <dimension ref="B1:AE752"/>
  <sheetViews>
    <sheetView zoomScale="70" zoomScaleNormal="70" workbookViewId="0">
      <selection activeCell="O27" sqref="O27"/>
    </sheetView>
  </sheetViews>
  <sheetFormatPr defaultColWidth="8.7265625" defaultRowHeight="15.5" x14ac:dyDescent="0.35"/>
  <cols>
    <col min="1" max="1" width="3.1796875" style="184" customWidth="1"/>
    <col min="2" max="2" width="4" style="184" customWidth="1"/>
    <col min="3" max="3" width="4.7265625" style="184" customWidth="1"/>
    <col min="4" max="4" width="38.54296875" style="184" bestFit="1" customWidth="1"/>
    <col min="5" max="5" width="11.7265625" style="184" customWidth="1"/>
    <col min="6" max="6" width="19" style="184" customWidth="1"/>
    <col min="7" max="7" width="15.81640625" style="184" customWidth="1"/>
    <col min="8" max="8" width="17.1796875" style="184" customWidth="1"/>
    <col min="9" max="9" width="17.54296875" style="184" customWidth="1"/>
    <col min="10" max="10" width="18" style="184" bestFit="1" customWidth="1"/>
    <col min="11" max="11" width="15.26953125" style="184" customWidth="1"/>
    <col min="12" max="12" width="18" style="184" customWidth="1"/>
    <col min="13" max="13" width="13.7265625" style="184" customWidth="1"/>
    <col min="14" max="14" width="27.54296875" style="184" customWidth="1"/>
    <col min="15" max="15" width="15.54296875" style="184" customWidth="1"/>
    <col min="16" max="16" width="17.1796875" style="184" customWidth="1"/>
    <col min="17" max="17" width="52.1796875" style="184" customWidth="1"/>
    <col min="18" max="18" width="18.81640625" style="184" customWidth="1"/>
    <col min="19" max="24" width="17.81640625" style="184" customWidth="1"/>
    <col min="25" max="25" width="16.26953125" style="184" customWidth="1"/>
    <col min="26" max="16384" width="8.7265625" style="184"/>
  </cols>
  <sheetData>
    <row r="1" spans="2:25" x14ac:dyDescent="0.35">
      <c r="B1" s="183"/>
      <c r="C1" s="183"/>
    </row>
    <row r="2" spans="2:25" x14ac:dyDescent="0.35">
      <c r="B2" s="35" t="s">
        <v>1877</v>
      </c>
      <c r="C2" s="183"/>
      <c r="L2" s="236"/>
    </row>
    <row r="3" spans="2:25" x14ac:dyDescent="0.35">
      <c r="B3" s="36" t="s">
        <v>1878</v>
      </c>
      <c r="C3" s="183"/>
      <c r="J3" s="185"/>
      <c r="K3" s="185"/>
      <c r="L3" s="185"/>
      <c r="N3" s="185"/>
      <c r="Q3" s="6"/>
    </row>
    <row r="4" spans="2:25" x14ac:dyDescent="0.35">
      <c r="B4" s="36"/>
      <c r="C4" s="183"/>
      <c r="J4" s="185"/>
      <c r="K4" s="185"/>
      <c r="L4" s="185"/>
      <c r="N4" s="185"/>
      <c r="Q4" s="6"/>
    </row>
    <row r="5" spans="2:25" x14ac:dyDescent="0.35">
      <c r="B5" s="36"/>
      <c r="C5" s="183"/>
      <c r="J5" s="185"/>
      <c r="K5" s="185"/>
      <c r="L5" s="185"/>
      <c r="N5" s="185"/>
      <c r="Q5" s="6"/>
    </row>
    <row r="6" spans="2:25" x14ac:dyDescent="0.35">
      <c r="B6" s="36"/>
      <c r="C6" s="183"/>
      <c r="J6" s="185"/>
      <c r="K6" s="185"/>
      <c r="L6" s="185"/>
      <c r="N6" s="185"/>
      <c r="Q6" s="6"/>
    </row>
    <row r="7" spans="2:25" x14ac:dyDescent="0.35">
      <c r="B7" s="36"/>
      <c r="C7" s="183"/>
      <c r="J7" s="185"/>
      <c r="K7" s="185"/>
      <c r="L7" s="185"/>
      <c r="N7" s="185"/>
      <c r="Q7" s="6"/>
    </row>
    <row r="9" spans="2:25" x14ac:dyDescent="0.35">
      <c r="F9" s="186">
        <v>2021</v>
      </c>
      <c r="G9" s="187"/>
      <c r="H9" s="186">
        <v>2022</v>
      </c>
      <c r="I9" s="188"/>
      <c r="J9" s="189">
        <v>2023</v>
      </c>
      <c r="K9" s="188"/>
      <c r="L9" s="188"/>
      <c r="M9" s="190" t="s">
        <v>49</v>
      </c>
      <c r="N9" s="191"/>
    </row>
    <row r="10" spans="2:25" ht="48" customHeight="1" x14ac:dyDescent="0.35">
      <c r="C10" s="192"/>
      <c r="D10" s="193"/>
      <c r="E10" s="194" t="s">
        <v>42</v>
      </c>
      <c r="F10" s="195"/>
      <c r="G10" s="196" t="s">
        <v>236</v>
      </c>
      <c r="H10" s="195" t="s">
        <v>0</v>
      </c>
      <c r="I10" s="195" t="s">
        <v>22</v>
      </c>
      <c r="J10" s="197" t="s">
        <v>947</v>
      </c>
      <c r="K10" s="198" t="s">
        <v>56</v>
      </c>
      <c r="L10" s="198" t="s">
        <v>57</v>
      </c>
      <c r="M10" s="196" t="s">
        <v>948</v>
      </c>
      <c r="N10" s="196" t="s">
        <v>51</v>
      </c>
      <c r="O10" s="196" t="s">
        <v>897</v>
      </c>
      <c r="P10" s="196" t="s">
        <v>949</v>
      </c>
    </row>
    <row r="11" spans="2:25" x14ac:dyDescent="0.35">
      <c r="B11" s="183" t="s">
        <v>32</v>
      </c>
      <c r="C11" s="192"/>
      <c r="D11" s="193"/>
      <c r="E11" s="224"/>
      <c r="F11" s="225"/>
      <c r="G11" s="226"/>
      <c r="H11" s="225"/>
      <c r="I11" s="225"/>
      <c r="J11" s="226"/>
      <c r="K11" s="225"/>
      <c r="L11" s="225"/>
      <c r="M11" s="226"/>
      <c r="N11" s="226"/>
      <c r="O11" s="226"/>
      <c r="P11" s="226"/>
    </row>
    <row r="12" spans="2:25" x14ac:dyDescent="0.35">
      <c r="C12" s="184" t="s">
        <v>52</v>
      </c>
      <c r="R12" s="1"/>
      <c r="S12" s="1"/>
      <c r="T12" s="199" t="s">
        <v>945</v>
      </c>
      <c r="U12" s="200" t="s">
        <v>23</v>
      </c>
      <c r="V12" s="200" t="s">
        <v>946</v>
      </c>
      <c r="W12" s="200" t="s">
        <v>23</v>
      </c>
      <c r="X12" s="200" t="s">
        <v>24</v>
      </c>
      <c r="Y12" s="1"/>
    </row>
    <row r="13" spans="2:25" x14ac:dyDescent="0.35">
      <c r="D13" s="184" t="s">
        <v>33</v>
      </c>
      <c r="E13" s="199">
        <v>40</v>
      </c>
      <c r="F13" s="201">
        <v>57329.27</v>
      </c>
      <c r="G13" s="202">
        <v>30.38</v>
      </c>
      <c r="H13" s="201">
        <v>62504.639999999999</v>
      </c>
      <c r="I13" s="4">
        <f>H13*0.11</f>
        <v>6875.5104000000001</v>
      </c>
      <c r="J13" s="201">
        <f>H13+I13</f>
        <v>69380.150399999999</v>
      </c>
      <c r="K13" s="6">
        <v>0.25</v>
      </c>
      <c r="L13" s="5">
        <f>J13*(1-K13)</f>
        <v>52035.112800000003</v>
      </c>
      <c r="M13" s="6">
        <v>0.19</v>
      </c>
      <c r="N13" s="203">
        <f>L13*M13</f>
        <v>9886.671432000001</v>
      </c>
      <c r="P13" s="201">
        <f>+N13+O13</f>
        <v>9886.671432000001</v>
      </c>
      <c r="Q13" s="201"/>
      <c r="R13" s="204" t="s">
        <v>266</v>
      </c>
      <c r="S13" s="204" t="s">
        <v>0</v>
      </c>
      <c r="T13" s="200" t="s">
        <v>897</v>
      </c>
      <c r="U13" s="199" t="s">
        <v>159</v>
      </c>
      <c r="V13" s="199" t="s">
        <v>897</v>
      </c>
      <c r="W13" s="199" t="s">
        <v>945</v>
      </c>
      <c r="X13" s="199" t="s">
        <v>897</v>
      </c>
      <c r="Y13" s="1"/>
    </row>
    <row r="14" spans="2:25" x14ac:dyDescent="0.35">
      <c r="D14" s="184" t="s">
        <v>34</v>
      </c>
      <c r="E14" s="199">
        <v>40</v>
      </c>
      <c r="F14" s="201">
        <v>53727.519999999997</v>
      </c>
      <c r="G14" s="202">
        <v>26</v>
      </c>
      <c r="H14" s="201">
        <v>54992.57</v>
      </c>
      <c r="I14" s="4">
        <f t="shared" ref="I14:I25" si="0">H14*0.11</f>
        <v>6049.1827000000003</v>
      </c>
      <c r="J14" s="201">
        <f t="shared" ref="J14:J25" si="1">H14+I14</f>
        <v>61041.752699999997</v>
      </c>
      <c r="K14" s="6">
        <v>0.2</v>
      </c>
      <c r="L14" s="5">
        <f t="shared" ref="L14:L26" si="2">J14*(1-K14)</f>
        <v>48833.402159999998</v>
      </c>
      <c r="M14" s="6">
        <v>0.19</v>
      </c>
      <c r="N14" s="203">
        <f>L14*M14</f>
        <v>9278.3464103999995</v>
      </c>
      <c r="P14" s="201">
        <f t="shared" ref="P14:P26" si="3">+N14+O14</f>
        <v>9278.3464103999995</v>
      </c>
      <c r="Q14" s="201"/>
      <c r="R14" s="204" t="s">
        <v>222</v>
      </c>
      <c r="S14" s="205">
        <f>+'Ref A - Income Statement'!D23</f>
        <v>247837.99000000002</v>
      </c>
      <c r="T14" s="206">
        <f>U14-S14</f>
        <v>5474.8367852361698</v>
      </c>
      <c r="U14" s="206">
        <f>+N665</f>
        <v>253312.82678523619</v>
      </c>
      <c r="V14" s="206">
        <f>+O665</f>
        <v>0</v>
      </c>
      <c r="W14" s="206">
        <f>+U14+V14</f>
        <v>253312.82678523619</v>
      </c>
      <c r="X14" s="206">
        <f>+W14-S14</f>
        <v>5474.8367852361698</v>
      </c>
      <c r="Y14" s="1"/>
    </row>
    <row r="15" spans="2:25" x14ac:dyDescent="0.35">
      <c r="D15" s="184" t="s">
        <v>34</v>
      </c>
      <c r="E15" s="199">
        <v>40</v>
      </c>
      <c r="F15" s="201"/>
      <c r="G15" s="202">
        <v>25.2</v>
      </c>
      <c r="H15" s="201">
        <f>G15*2080</f>
        <v>52416</v>
      </c>
      <c r="I15" s="4">
        <f t="shared" si="0"/>
        <v>5765.76</v>
      </c>
      <c r="J15" s="201">
        <f t="shared" si="1"/>
        <v>58181.760000000002</v>
      </c>
      <c r="K15" s="6">
        <v>0.2</v>
      </c>
      <c r="L15" s="5">
        <f t="shared" si="2"/>
        <v>46545.408000000003</v>
      </c>
      <c r="M15" s="6">
        <v>0.19</v>
      </c>
      <c r="N15" s="203">
        <f t="shared" ref="N15:N24" si="4">L15*M15</f>
        <v>8843.62752</v>
      </c>
      <c r="P15" s="201">
        <f t="shared" si="3"/>
        <v>8843.62752</v>
      </c>
      <c r="Q15" s="207"/>
      <c r="R15" s="204" t="s">
        <v>2</v>
      </c>
      <c r="S15" s="208">
        <f>+'Ref A - Income Statement'!D24</f>
        <v>537164.75</v>
      </c>
      <c r="T15" s="208">
        <f>U15-S15</f>
        <v>140537.4939407265</v>
      </c>
      <c r="U15" s="208">
        <f>+N465+N607+N750</f>
        <v>677702.2439407265</v>
      </c>
      <c r="V15" s="208">
        <f>+O465+O607+O750</f>
        <v>0</v>
      </c>
      <c r="W15" s="206">
        <f>+U15+V15</f>
        <v>677702.2439407265</v>
      </c>
      <c r="X15" s="206">
        <f>+W15-S15</f>
        <v>140537.4939407265</v>
      </c>
      <c r="Y15" s="1" t="s">
        <v>1031</v>
      </c>
    </row>
    <row r="16" spans="2:25" x14ac:dyDescent="0.35">
      <c r="D16" s="184" t="s">
        <v>237</v>
      </c>
      <c r="E16" s="199">
        <v>40</v>
      </c>
      <c r="F16" s="201">
        <v>74216.210000000006</v>
      </c>
      <c r="G16" s="202">
        <v>38.5</v>
      </c>
      <c r="H16" s="201">
        <v>79904.160000000003</v>
      </c>
      <c r="I16" s="4">
        <f t="shared" si="0"/>
        <v>8789.4575999999997</v>
      </c>
      <c r="J16" s="201">
        <f t="shared" si="1"/>
        <v>88693.617599999998</v>
      </c>
      <c r="K16" s="6">
        <v>1</v>
      </c>
      <c r="L16" s="5">
        <f t="shared" si="2"/>
        <v>0</v>
      </c>
      <c r="M16" s="6">
        <v>0.22</v>
      </c>
      <c r="N16" s="203">
        <f>L16*M16</f>
        <v>0</v>
      </c>
      <c r="P16" s="201">
        <f t="shared" si="3"/>
        <v>0</v>
      </c>
      <c r="Q16" s="207"/>
      <c r="R16" s="204" t="s">
        <v>3</v>
      </c>
      <c r="S16" s="208">
        <f>+'Ref A - Income Statement'!D25</f>
        <v>195854.56</v>
      </c>
      <c r="T16" s="208">
        <f>U16-S16</f>
        <v>34525.328414763353</v>
      </c>
      <c r="U16" s="208">
        <f>+N327</f>
        <v>230379.88841476335</v>
      </c>
      <c r="V16" s="208">
        <f>+O327</f>
        <v>0</v>
      </c>
      <c r="W16" s="206">
        <f>+U16+V16</f>
        <v>230379.88841476335</v>
      </c>
      <c r="X16" s="206">
        <f>+W16-S16</f>
        <v>34525.328414763353</v>
      </c>
    </row>
    <row r="17" spans="3:26" x14ac:dyDescent="0.35">
      <c r="D17" s="184" t="s">
        <v>238</v>
      </c>
      <c r="E17" s="199">
        <v>40</v>
      </c>
      <c r="F17" s="201">
        <v>105581.3</v>
      </c>
      <c r="G17" s="202">
        <v>54.83</v>
      </c>
      <c r="H17" s="201">
        <v>113563.56</v>
      </c>
      <c r="I17" s="4">
        <f t="shared" si="0"/>
        <v>12491.991599999999</v>
      </c>
      <c r="J17" s="201">
        <f t="shared" si="1"/>
        <v>126055.55159999999</v>
      </c>
      <c r="K17" s="6">
        <v>0.4</v>
      </c>
      <c r="L17" s="5">
        <f t="shared" si="2"/>
        <v>75633.330959999992</v>
      </c>
      <c r="M17" s="6">
        <v>0.25</v>
      </c>
      <c r="N17" s="203">
        <f>L17*M17</f>
        <v>18908.332739999998</v>
      </c>
      <c r="P17" s="201">
        <f t="shared" si="3"/>
        <v>18908.332739999998</v>
      </c>
      <c r="Q17" s="207"/>
      <c r="R17" s="204" t="s">
        <v>158</v>
      </c>
      <c r="S17" s="208">
        <f>+'Ref A - Income Statement'!D26</f>
        <v>62274.529999999992</v>
      </c>
      <c r="T17" s="208">
        <f>U17-S17</f>
        <v>8399.1493777787327</v>
      </c>
      <c r="U17" s="208">
        <f>+N549</f>
        <v>70673.679377778724</v>
      </c>
      <c r="V17" s="208">
        <f>+O549</f>
        <v>0</v>
      </c>
      <c r="W17" s="206">
        <f>+U17+V17</f>
        <v>70673.679377778724</v>
      </c>
      <c r="X17" s="206">
        <f>+W17-S17</f>
        <v>8399.1493777787327</v>
      </c>
      <c r="Y17" s="1"/>
    </row>
    <row r="18" spans="3:26" x14ac:dyDescent="0.35">
      <c r="D18" s="184" t="s">
        <v>46</v>
      </c>
      <c r="E18" s="199">
        <v>40</v>
      </c>
      <c r="F18" s="201">
        <v>48123.4</v>
      </c>
      <c r="G18" s="202">
        <v>25.41</v>
      </c>
      <c r="H18" s="201">
        <v>52962.33</v>
      </c>
      <c r="I18" s="4">
        <f t="shared" si="0"/>
        <v>5825.8563000000004</v>
      </c>
      <c r="J18" s="201">
        <f t="shared" si="1"/>
        <v>58788.186300000001</v>
      </c>
      <c r="K18" s="6">
        <v>1</v>
      </c>
      <c r="L18" s="5">
        <f t="shared" si="2"/>
        <v>0</v>
      </c>
      <c r="M18" s="6">
        <v>0.22500000000000001</v>
      </c>
      <c r="N18" s="203">
        <f t="shared" si="4"/>
        <v>0</v>
      </c>
      <c r="P18" s="201">
        <f t="shared" si="3"/>
        <v>0</v>
      </c>
      <c r="Q18" s="207"/>
      <c r="R18" s="204" t="s">
        <v>4</v>
      </c>
      <c r="S18" s="208">
        <f>+'Ref A - Income Statement'!D27</f>
        <v>126086.22</v>
      </c>
      <c r="T18" s="208">
        <f>U18-S18</f>
        <v>80619.476934365579</v>
      </c>
      <c r="U18" s="208">
        <f>+N157+N234</f>
        <v>206705.69693436558</v>
      </c>
      <c r="V18" s="208">
        <f>+O157+O234</f>
        <v>-7781.0496000000003</v>
      </c>
      <c r="W18" s="206">
        <f>+U18+V18</f>
        <v>198924.64733436558</v>
      </c>
      <c r="X18" s="206">
        <f>+W18-S18</f>
        <v>72838.42733436558</v>
      </c>
      <c r="Y18" s="1" t="s">
        <v>1032</v>
      </c>
    </row>
    <row r="19" spans="3:26" x14ac:dyDescent="0.35">
      <c r="D19" s="184" t="s">
        <v>163</v>
      </c>
      <c r="E19" s="199">
        <v>40</v>
      </c>
      <c r="F19" s="201">
        <v>103063.53</v>
      </c>
      <c r="G19" s="202">
        <v>53.4</v>
      </c>
      <c r="H19" s="201">
        <v>110581.57</v>
      </c>
      <c r="I19" s="4">
        <f t="shared" si="0"/>
        <v>12163.9727</v>
      </c>
      <c r="J19" s="201">
        <f t="shared" si="1"/>
        <v>122745.54270000001</v>
      </c>
      <c r="K19" s="6">
        <v>1</v>
      </c>
      <c r="L19" s="5">
        <f t="shared" si="2"/>
        <v>0</v>
      </c>
      <c r="M19" s="6">
        <v>0.22</v>
      </c>
      <c r="N19" s="203">
        <f t="shared" si="4"/>
        <v>0</v>
      </c>
      <c r="P19" s="201">
        <f t="shared" si="3"/>
        <v>0</v>
      </c>
      <c r="Q19" s="207"/>
      <c r="R19" s="209"/>
      <c r="S19" s="210">
        <f>+SUM(S14:S18)</f>
        <v>1169218.05</v>
      </c>
      <c r="T19" s="210">
        <f t="shared" ref="T19:X19" si="5">+SUM(T14:T18)</f>
        <v>269556.2854528703</v>
      </c>
      <c r="U19" s="210">
        <f t="shared" si="5"/>
        <v>1438774.3354528705</v>
      </c>
      <c r="V19" s="210">
        <f t="shared" si="5"/>
        <v>-7781.0496000000003</v>
      </c>
      <c r="W19" s="210">
        <f t="shared" si="5"/>
        <v>1430993.2858528704</v>
      </c>
      <c r="X19" s="210">
        <f t="shared" si="5"/>
        <v>261775.23585287033</v>
      </c>
      <c r="Y19" s="1"/>
    </row>
    <row r="20" spans="3:26" x14ac:dyDescent="0.35">
      <c r="D20" s="184" t="s">
        <v>183</v>
      </c>
      <c r="E20" s="199">
        <v>40</v>
      </c>
      <c r="F20" s="201">
        <v>59015.09</v>
      </c>
      <c r="G20" s="202">
        <v>29.65</v>
      </c>
      <c r="H20" s="201">
        <f>G20*2080</f>
        <v>61672</v>
      </c>
      <c r="I20" s="4">
        <f t="shared" si="0"/>
        <v>6783.92</v>
      </c>
      <c r="J20" s="201">
        <f t="shared" si="1"/>
        <v>68455.92</v>
      </c>
      <c r="K20" s="6">
        <v>0</v>
      </c>
      <c r="L20" s="5">
        <f t="shared" si="2"/>
        <v>68455.92</v>
      </c>
      <c r="M20" s="6">
        <v>0.24</v>
      </c>
      <c r="N20" s="203">
        <f t="shared" si="4"/>
        <v>16429.4208</v>
      </c>
      <c r="P20" s="201">
        <f t="shared" si="3"/>
        <v>16429.4208</v>
      </c>
      <c r="Q20" s="207"/>
      <c r="R20" s="209"/>
    </row>
    <row r="21" spans="3:26" x14ac:dyDescent="0.35">
      <c r="D21" s="184" t="s">
        <v>239</v>
      </c>
      <c r="E21" s="199">
        <v>40</v>
      </c>
      <c r="F21" s="201">
        <v>103926.94</v>
      </c>
      <c r="G21" s="202">
        <v>54.1</v>
      </c>
      <c r="H21" s="201">
        <v>112031.7</v>
      </c>
      <c r="I21" s="4">
        <f t="shared" si="0"/>
        <v>12323.486999999999</v>
      </c>
      <c r="J21" s="201">
        <f t="shared" si="1"/>
        <v>124355.18699999999</v>
      </c>
      <c r="K21" s="6">
        <v>0.25</v>
      </c>
      <c r="L21" s="5">
        <f t="shared" si="2"/>
        <v>93266.390249999997</v>
      </c>
      <c r="M21" s="6">
        <v>0.19</v>
      </c>
      <c r="N21" s="203">
        <f t="shared" si="4"/>
        <v>17720.6141475</v>
      </c>
      <c r="P21" s="201">
        <f t="shared" si="3"/>
        <v>17720.6141475</v>
      </c>
      <c r="Q21" s="207"/>
      <c r="R21" s="204" t="s">
        <v>6</v>
      </c>
      <c r="S21" s="205">
        <f>+'Ref A - Income Statement'!D28</f>
        <v>10274.59</v>
      </c>
      <c r="T21" s="206">
        <f>U21-S21</f>
        <v>-1238.5013200000012</v>
      </c>
      <c r="U21" s="206">
        <f>+N492</f>
        <v>9036.0886799999989</v>
      </c>
      <c r="V21" s="206">
        <f>+O492</f>
        <v>-1736.2367999999999</v>
      </c>
      <c r="W21" s="206">
        <f>+U21+V21</f>
        <v>7299.8518799999993</v>
      </c>
      <c r="X21" s="206">
        <f>+W21-S21</f>
        <v>-2974.7381200000009</v>
      </c>
      <c r="Y21" s="184" t="s">
        <v>62</v>
      </c>
    </row>
    <row r="22" spans="3:26" x14ac:dyDescent="0.35">
      <c r="D22" s="184" t="s">
        <v>36</v>
      </c>
      <c r="E22" s="199">
        <v>40</v>
      </c>
      <c r="F22" s="201">
        <v>146372.70000000001</v>
      </c>
      <c r="G22" s="202">
        <v>73.89</v>
      </c>
      <c r="H22" s="201">
        <v>153838.96</v>
      </c>
      <c r="I22" s="4">
        <f>J22-H22</f>
        <v>28021.040000000008</v>
      </c>
      <c r="J22" s="201">
        <f>168000*1.0825</f>
        <v>181860</v>
      </c>
      <c r="K22" s="6">
        <v>0.4</v>
      </c>
      <c r="L22" s="5">
        <f t="shared" si="2"/>
        <v>109116</v>
      </c>
      <c r="M22" s="6">
        <v>0.19</v>
      </c>
      <c r="N22" s="203">
        <f t="shared" si="4"/>
        <v>20732.04</v>
      </c>
      <c r="P22" s="201">
        <f t="shared" si="3"/>
        <v>20732.04</v>
      </c>
      <c r="Q22" s="207"/>
      <c r="R22" s="209"/>
      <c r="S22" s="203">
        <f t="shared" ref="S22:T22" si="6">+SUM(S19:S21)</f>
        <v>1179492.6400000001</v>
      </c>
      <c r="T22" s="203">
        <f t="shared" si="6"/>
        <v>268317.78413287032</v>
      </c>
      <c r="U22" s="203">
        <f>+SUM(U19:U21)</f>
        <v>1447810.4241328705</v>
      </c>
      <c r="V22" s="203">
        <f t="shared" ref="V22:W22" si="7">+SUM(V19:V21)</f>
        <v>-9517.2864000000009</v>
      </c>
      <c r="W22" s="203">
        <f t="shared" si="7"/>
        <v>1438293.1377328704</v>
      </c>
      <c r="X22" s="203">
        <f>+SUM(X19:X21)</f>
        <v>258800.49773287034</v>
      </c>
    </row>
    <row r="23" spans="3:26" x14ac:dyDescent="0.35">
      <c r="D23" s="184" t="s">
        <v>240</v>
      </c>
      <c r="E23" s="199" t="s">
        <v>241</v>
      </c>
      <c r="F23" s="201">
        <v>0</v>
      </c>
      <c r="G23" s="202">
        <v>0</v>
      </c>
      <c r="H23" s="201">
        <f>G23*2080</f>
        <v>0</v>
      </c>
      <c r="I23" s="4">
        <f>H23*0.11</f>
        <v>0</v>
      </c>
      <c r="J23" s="201">
        <v>4992</v>
      </c>
      <c r="K23" s="6">
        <v>0.5</v>
      </c>
      <c r="L23" s="5">
        <f t="shared" si="2"/>
        <v>2496</v>
      </c>
      <c r="M23" s="6">
        <v>0.22500000000000001</v>
      </c>
      <c r="N23" s="203">
        <f t="shared" si="4"/>
        <v>561.6</v>
      </c>
      <c r="P23" s="201">
        <f t="shared" si="3"/>
        <v>561.6</v>
      </c>
      <c r="Q23" s="207"/>
    </row>
    <row r="24" spans="3:26" x14ac:dyDescent="0.35">
      <c r="D24" s="184" t="s">
        <v>242</v>
      </c>
      <c r="E24" s="199" t="s">
        <v>241</v>
      </c>
      <c r="F24" s="201">
        <v>0</v>
      </c>
      <c r="G24" s="202">
        <v>0</v>
      </c>
      <c r="H24" s="201">
        <f>G24*2080</f>
        <v>0</v>
      </c>
      <c r="I24" s="4">
        <f>H24*0.11</f>
        <v>0</v>
      </c>
      <c r="J24" s="201">
        <v>5200</v>
      </c>
      <c r="K24" s="6">
        <v>0</v>
      </c>
      <c r="L24" s="5">
        <f t="shared" si="2"/>
        <v>5200</v>
      </c>
      <c r="M24" s="6">
        <v>0.19</v>
      </c>
      <c r="N24" s="203">
        <f t="shared" si="4"/>
        <v>988</v>
      </c>
      <c r="P24" s="201">
        <f t="shared" si="3"/>
        <v>988</v>
      </c>
      <c r="Q24" s="207"/>
      <c r="Z24" s="1"/>
    </row>
    <row r="25" spans="3:26" x14ac:dyDescent="0.35">
      <c r="D25" s="184" t="s">
        <v>243</v>
      </c>
      <c r="E25" s="199">
        <v>40</v>
      </c>
      <c r="F25" s="201">
        <v>63542.63</v>
      </c>
      <c r="G25" s="202">
        <v>28.37</v>
      </c>
      <c r="H25" s="201">
        <f>G25*2080</f>
        <v>59009.599999999999</v>
      </c>
      <c r="I25" s="4">
        <f t="shared" si="0"/>
        <v>6491.0559999999996</v>
      </c>
      <c r="J25" s="201">
        <f t="shared" si="1"/>
        <v>65500.655999999995</v>
      </c>
      <c r="K25" s="6">
        <v>0</v>
      </c>
      <c r="L25" s="5">
        <f t="shared" si="2"/>
        <v>65500.655999999995</v>
      </c>
      <c r="M25" s="6">
        <v>0.23</v>
      </c>
      <c r="N25" s="203">
        <f>L25*M25</f>
        <v>15065.150879999999</v>
      </c>
      <c r="P25" s="201">
        <f t="shared" si="3"/>
        <v>15065.150879999999</v>
      </c>
      <c r="Q25" s="207"/>
      <c r="S25" s="199" t="s">
        <v>1770</v>
      </c>
      <c r="T25" s="199" t="s">
        <v>897</v>
      </c>
    </row>
    <row r="26" spans="3:26" x14ac:dyDescent="0.35">
      <c r="D26" s="184" t="s">
        <v>35</v>
      </c>
      <c r="E26" s="199">
        <v>40</v>
      </c>
      <c r="F26" s="201">
        <v>64441.39</v>
      </c>
      <c r="G26" s="202">
        <v>33.520000000000003</v>
      </c>
      <c r="H26" s="201">
        <v>69659.39</v>
      </c>
      <c r="I26" s="4">
        <f>H26*0.11</f>
        <v>7662.5329000000002</v>
      </c>
      <c r="J26" s="201">
        <f>H26+I26</f>
        <v>77321.922900000005</v>
      </c>
      <c r="K26" s="6">
        <v>0.6</v>
      </c>
      <c r="L26" s="5">
        <f t="shared" si="2"/>
        <v>30928.769160000003</v>
      </c>
      <c r="M26" s="6">
        <v>0.24</v>
      </c>
      <c r="N26" s="203">
        <f>L26*M26</f>
        <v>7422.9045984000004</v>
      </c>
      <c r="P26" s="201">
        <f t="shared" si="3"/>
        <v>7422.9045984000004</v>
      </c>
      <c r="Q26" s="207"/>
      <c r="R26" s="209" t="s">
        <v>950</v>
      </c>
      <c r="S26" s="30">
        <v>1</v>
      </c>
      <c r="T26" s="31">
        <f>1-S26</f>
        <v>0</v>
      </c>
    </row>
    <row r="27" spans="3:26" x14ac:dyDescent="0.35">
      <c r="E27" s="199"/>
      <c r="F27" s="201"/>
      <c r="G27" s="201"/>
      <c r="H27" s="201"/>
      <c r="I27" s="4"/>
      <c r="J27" s="201"/>
      <c r="K27" s="201"/>
      <c r="L27" s="201"/>
      <c r="P27" s="201"/>
      <c r="Q27" s="201"/>
      <c r="R27" s="209" t="s">
        <v>951</v>
      </c>
      <c r="S27" s="30">
        <v>1</v>
      </c>
      <c r="T27" s="31">
        <f t="shared" ref="T27:T28" si="8">1-S27</f>
        <v>0</v>
      </c>
    </row>
    <row r="28" spans="3:26" x14ac:dyDescent="0.35">
      <c r="C28" s="184" t="s">
        <v>66</v>
      </c>
      <c r="E28" s="199"/>
      <c r="F28" s="201"/>
      <c r="H28" s="201"/>
      <c r="I28" s="4"/>
      <c r="J28" s="201"/>
      <c r="K28" s="201"/>
      <c r="L28" s="201"/>
      <c r="R28" s="209" t="s">
        <v>1722</v>
      </c>
      <c r="S28" s="30">
        <v>0</v>
      </c>
      <c r="T28" s="31">
        <f t="shared" si="8"/>
        <v>1</v>
      </c>
    </row>
    <row r="29" spans="3:26" x14ac:dyDescent="0.35">
      <c r="D29" s="184" t="s">
        <v>33</v>
      </c>
      <c r="E29" s="199"/>
      <c r="F29" s="203">
        <v>5229.54</v>
      </c>
      <c r="H29" s="4">
        <f>G29*0.11</f>
        <v>0</v>
      </c>
      <c r="I29" s="4">
        <f>H29*0.11</f>
        <v>0</v>
      </c>
      <c r="J29" s="201">
        <f>H29+I29</f>
        <v>0</v>
      </c>
      <c r="K29" s="6">
        <f>K13</f>
        <v>0.25</v>
      </c>
      <c r="L29" s="5">
        <f t="shared" ref="L29:L42" si="9">J29*(1-K29)</f>
        <v>0</v>
      </c>
      <c r="M29" s="6">
        <f>M13</f>
        <v>0.19</v>
      </c>
      <c r="N29" s="203">
        <f t="shared" ref="N29:N42" si="10">L29*M29</f>
        <v>0</v>
      </c>
      <c r="P29" s="201">
        <f t="shared" ref="P29:P42" si="11">+N29+O29</f>
        <v>0</v>
      </c>
    </row>
    <row r="30" spans="3:26" x14ac:dyDescent="0.35">
      <c r="D30" s="184" t="s">
        <v>34</v>
      </c>
      <c r="E30" s="199"/>
      <c r="F30" s="203">
        <v>2896.72</v>
      </c>
      <c r="H30" s="203">
        <v>790.87</v>
      </c>
      <c r="I30" s="4">
        <f>H30*0.11</f>
        <v>86.995699999999999</v>
      </c>
      <c r="J30" s="201">
        <f>H30+I30</f>
        <v>877.86570000000006</v>
      </c>
      <c r="K30" s="6">
        <f t="shared" ref="K30:K42" si="12">K14</f>
        <v>0.2</v>
      </c>
      <c r="L30" s="5">
        <f t="shared" si="9"/>
        <v>702.29256000000009</v>
      </c>
      <c r="M30" s="6">
        <f t="shared" ref="M30:M42" si="13">M14</f>
        <v>0.19</v>
      </c>
      <c r="N30" s="203">
        <f t="shared" si="10"/>
        <v>133.43558640000001</v>
      </c>
      <c r="P30" s="201">
        <f t="shared" si="11"/>
        <v>133.43558640000001</v>
      </c>
    </row>
    <row r="31" spans="3:26" x14ac:dyDescent="0.35">
      <c r="D31" s="184" t="s">
        <v>34</v>
      </c>
      <c r="E31" s="199"/>
      <c r="F31" s="203">
        <v>0</v>
      </c>
      <c r="H31" s="203">
        <v>340.2</v>
      </c>
      <c r="I31" s="4">
        <f t="shared" ref="I31:I42" si="14">H31*0.11</f>
        <v>37.421999999999997</v>
      </c>
      <c r="J31" s="201">
        <f t="shared" ref="J31:J42" si="15">H31+I31</f>
        <v>377.62199999999996</v>
      </c>
      <c r="K31" s="6">
        <f t="shared" si="12"/>
        <v>0.2</v>
      </c>
      <c r="L31" s="5">
        <f t="shared" si="9"/>
        <v>302.0976</v>
      </c>
      <c r="M31" s="6">
        <f t="shared" si="13"/>
        <v>0.19</v>
      </c>
      <c r="N31" s="203">
        <f t="shared" si="10"/>
        <v>57.398544000000001</v>
      </c>
      <c r="P31" s="201">
        <f t="shared" si="11"/>
        <v>57.398544000000001</v>
      </c>
    </row>
    <row r="32" spans="3:26" x14ac:dyDescent="0.35">
      <c r="D32" s="184" t="s">
        <v>237</v>
      </c>
      <c r="E32" s="199"/>
      <c r="F32" s="203">
        <v>0</v>
      </c>
      <c r="H32" s="203">
        <v>0</v>
      </c>
      <c r="I32" s="4">
        <f t="shared" si="14"/>
        <v>0</v>
      </c>
      <c r="J32" s="201">
        <f t="shared" si="15"/>
        <v>0</v>
      </c>
      <c r="K32" s="6">
        <f t="shared" si="12"/>
        <v>1</v>
      </c>
      <c r="L32" s="5">
        <f t="shared" si="9"/>
        <v>0</v>
      </c>
      <c r="M32" s="6">
        <f t="shared" si="13"/>
        <v>0.22</v>
      </c>
      <c r="N32" s="203">
        <f t="shared" si="10"/>
        <v>0</v>
      </c>
      <c r="P32" s="201">
        <f t="shared" si="11"/>
        <v>0</v>
      </c>
    </row>
    <row r="33" spans="3:17" x14ac:dyDescent="0.35">
      <c r="D33" s="184" t="s">
        <v>238</v>
      </c>
      <c r="E33" s="199"/>
      <c r="F33" s="203">
        <v>0</v>
      </c>
      <c r="H33" s="203">
        <v>0</v>
      </c>
      <c r="I33" s="4">
        <f t="shared" si="14"/>
        <v>0</v>
      </c>
      <c r="J33" s="201">
        <f t="shared" si="15"/>
        <v>0</v>
      </c>
      <c r="K33" s="6">
        <f t="shared" si="12"/>
        <v>0.4</v>
      </c>
      <c r="L33" s="5">
        <f t="shared" si="9"/>
        <v>0</v>
      </c>
      <c r="M33" s="6">
        <f t="shared" si="13"/>
        <v>0.25</v>
      </c>
      <c r="N33" s="203">
        <f t="shared" si="10"/>
        <v>0</v>
      </c>
      <c r="P33" s="201">
        <f t="shared" si="11"/>
        <v>0</v>
      </c>
    </row>
    <row r="34" spans="3:17" x14ac:dyDescent="0.35">
      <c r="D34" s="184" t="s">
        <v>46</v>
      </c>
      <c r="E34" s="199"/>
      <c r="F34" s="203">
        <v>55.6</v>
      </c>
      <c r="H34" s="203">
        <v>41.17</v>
      </c>
      <c r="I34" s="4">
        <f>H34*0.11</f>
        <v>4.5287000000000006</v>
      </c>
      <c r="J34" s="201">
        <f t="shared" si="15"/>
        <v>45.698700000000002</v>
      </c>
      <c r="K34" s="6">
        <f t="shared" si="12"/>
        <v>1</v>
      </c>
      <c r="L34" s="5">
        <f t="shared" si="9"/>
        <v>0</v>
      </c>
      <c r="M34" s="6">
        <f t="shared" si="13"/>
        <v>0.22500000000000001</v>
      </c>
      <c r="N34" s="203">
        <f t="shared" si="10"/>
        <v>0</v>
      </c>
      <c r="P34" s="201">
        <f t="shared" si="11"/>
        <v>0</v>
      </c>
    </row>
    <row r="35" spans="3:17" x14ac:dyDescent="0.35">
      <c r="D35" s="184" t="s">
        <v>163</v>
      </c>
      <c r="E35" s="199"/>
      <c r="F35" s="203">
        <v>0</v>
      </c>
      <c r="H35" s="203">
        <v>0</v>
      </c>
      <c r="I35" s="4">
        <f t="shared" si="14"/>
        <v>0</v>
      </c>
      <c r="J35" s="201">
        <f t="shared" si="15"/>
        <v>0</v>
      </c>
      <c r="K35" s="6">
        <f t="shared" si="12"/>
        <v>1</v>
      </c>
      <c r="L35" s="5">
        <f t="shared" si="9"/>
        <v>0</v>
      </c>
      <c r="M35" s="6">
        <f t="shared" si="13"/>
        <v>0.22</v>
      </c>
      <c r="N35" s="203">
        <f t="shared" si="10"/>
        <v>0</v>
      </c>
      <c r="P35" s="201">
        <f t="shared" si="11"/>
        <v>0</v>
      </c>
    </row>
    <row r="36" spans="3:17" x14ac:dyDescent="0.35">
      <c r="D36" s="184" t="s">
        <v>183</v>
      </c>
      <c r="E36" s="199"/>
      <c r="F36" s="203">
        <v>2318.27</v>
      </c>
      <c r="H36" s="203">
        <v>1264.47</v>
      </c>
      <c r="I36" s="4">
        <f t="shared" si="14"/>
        <v>139.0917</v>
      </c>
      <c r="J36" s="201">
        <f t="shared" si="15"/>
        <v>1403.5617</v>
      </c>
      <c r="K36" s="6">
        <f t="shared" si="12"/>
        <v>0</v>
      </c>
      <c r="L36" s="5">
        <f t="shared" si="9"/>
        <v>1403.5617</v>
      </c>
      <c r="M36" s="6">
        <f t="shared" si="13"/>
        <v>0.24</v>
      </c>
      <c r="N36" s="203">
        <f t="shared" si="10"/>
        <v>336.85480799999999</v>
      </c>
      <c r="P36" s="201">
        <f t="shared" si="11"/>
        <v>336.85480799999999</v>
      </c>
    </row>
    <row r="37" spans="3:17" x14ac:dyDescent="0.35">
      <c r="D37" s="184" t="s">
        <v>239</v>
      </c>
      <c r="E37" s="199"/>
      <c r="F37" s="203">
        <v>0</v>
      </c>
      <c r="H37" s="203">
        <v>0</v>
      </c>
      <c r="I37" s="4">
        <f t="shared" si="14"/>
        <v>0</v>
      </c>
      <c r="J37" s="201">
        <f t="shared" si="15"/>
        <v>0</v>
      </c>
      <c r="K37" s="6">
        <f t="shared" si="12"/>
        <v>0.25</v>
      </c>
      <c r="L37" s="5">
        <f t="shared" si="9"/>
        <v>0</v>
      </c>
      <c r="M37" s="6">
        <f t="shared" si="13"/>
        <v>0.19</v>
      </c>
      <c r="N37" s="203">
        <f t="shared" si="10"/>
        <v>0</v>
      </c>
      <c r="P37" s="201">
        <f t="shared" si="11"/>
        <v>0</v>
      </c>
    </row>
    <row r="38" spans="3:17" x14ac:dyDescent="0.35">
      <c r="D38" s="184" t="s">
        <v>36</v>
      </c>
      <c r="E38" s="199"/>
      <c r="F38" s="203">
        <v>0</v>
      </c>
      <c r="H38" s="203">
        <v>0</v>
      </c>
      <c r="I38" s="4">
        <f t="shared" si="14"/>
        <v>0</v>
      </c>
      <c r="J38" s="201">
        <f t="shared" si="15"/>
        <v>0</v>
      </c>
      <c r="K38" s="6">
        <f t="shared" si="12"/>
        <v>0.4</v>
      </c>
      <c r="L38" s="5">
        <f t="shared" si="9"/>
        <v>0</v>
      </c>
      <c r="M38" s="6">
        <f t="shared" si="13"/>
        <v>0.19</v>
      </c>
      <c r="N38" s="203">
        <f t="shared" si="10"/>
        <v>0</v>
      </c>
      <c r="P38" s="201">
        <f t="shared" si="11"/>
        <v>0</v>
      </c>
    </row>
    <row r="39" spans="3:17" x14ac:dyDescent="0.35">
      <c r="D39" s="184" t="s">
        <v>240</v>
      </c>
      <c r="E39" s="199"/>
      <c r="F39" s="203">
        <v>0</v>
      </c>
      <c r="H39" s="203">
        <v>0</v>
      </c>
      <c r="I39" s="4">
        <f t="shared" si="14"/>
        <v>0</v>
      </c>
      <c r="J39" s="201">
        <f t="shared" si="15"/>
        <v>0</v>
      </c>
      <c r="K39" s="6">
        <f t="shared" si="12"/>
        <v>0.5</v>
      </c>
      <c r="L39" s="5">
        <f t="shared" si="9"/>
        <v>0</v>
      </c>
      <c r="M39" s="6">
        <f t="shared" si="13"/>
        <v>0.22500000000000001</v>
      </c>
      <c r="N39" s="203">
        <f t="shared" si="10"/>
        <v>0</v>
      </c>
      <c r="P39" s="201">
        <f t="shared" si="11"/>
        <v>0</v>
      </c>
    </row>
    <row r="40" spans="3:17" x14ac:dyDescent="0.35">
      <c r="D40" s="184" t="s">
        <v>242</v>
      </c>
      <c r="E40" s="199"/>
      <c r="F40" s="203">
        <v>1</v>
      </c>
      <c r="H40" s="203">
        <v>0</v>
      </c>
      <c r="I40" s="4">
        <f>H40*0.11</f>
        <v>0</v>
      </c>
      <c r="J40" s="201">
        <f>H40+I40</f>
        <v>0</v>
      </c>
      <c r="K40" s="6">
        <f t="shared" si="12"/>
        <v>0</v>
      </c>
      <c r="L40" s="5">
        <f>J40*(1-K40)</f>
        <v>0</v>
      </c>
      <c r="M40" s="6">
        <f t="shared" si="13"/>
        <v>0.19</v>
      </c>
      <c r="N40" s="203">
        <f>L40*M40</f>
        <v>0</v>
      </c>
      <c r="P40" s="201">
        <f t="shared" si="11"/>
        <v>0</v>
      </c>
    </row>
    <row r="41" spans="3:17" x14ac:dyDescent="0.35">
      <c r="D41" s="184" t="s">
        <v>243</v>
      </c>
      <c r="E41" s="199"/>
      <c r="F41" s="203">
        <v>0</v>
      </c>
      <c r="H41" s="203">
        <v>0</v>
      </c>
      <c r="I41" s="4">
        <f t="shared" si="14"/>
        <v>0</v>
      </c>
      <c r="J41" s="201">
        <f t="shared" si="15"/>
        <v>0</v>
      </c>
      <c r="K41" s="6">
        <f t="shared" si="12"/>
        <v>0</v>
      </c>
      <c r="L41" s="5">
        <f t="shared" si="9"/>
        <v>0</v>
      </c>
      <c r="M41" s="6">
        <f t="shared" si="13"/>
        <v>0.23</v>
      </c>
      <c r="N41" s="203">
        <f t="shared" si="10"/>
        <v>0</v>
      </c>
      <c r="P41" s="201">
        <f t="shared" si="11"/>
        <v>0</v>
      </c>
    </row>
    <row r="42" spans="3:17" x14ac:dyDescent="0.35">
      <c r="D42" s="184" t="s">
        <v>35</v>
      </c>
      <c r="E42" s="199"/>
      <c r="F42" s="203">
        <v>0</v>
      </c>
      <c r="H42" s="203">
        <v>0</v>
      </c>
      <c r="I42" s="4">
        <f t="shared" si="14"/>
        <v>0</v>
      </c>
      <c r="J42" s="201">
        <f t="shared" si="15"/>
        <v>0</v>
      </c>
      <c r="K42" s="6">
        <f t="shared" si="12"/>
        <v>0.6</v>
      </c>
      <c r="L42" s="5">
        <f t="shared" si="9"/>
        <v>0</v>
      </c>
      <c r="M42" s="6">
        <f t="shared" si="13"/>
        <v>0.24</v>
      </c>
      <c r="N42" s="203">
        <f t="shared" si="10"/>
        <v>0</v>
      </c>
      <c r="P42" s="201">
        <f t="shared" si="11"/>
        <v>0</v>
      </c>
    </row>
    <row r="43" spans="3:17" x14ac:dyDescent="0.35">
      <c r="E43" s="199"/>
      <c r="F43" s="201"/>
      <c r="G43" s="201"/>
      <c r="H43" s="201"/>
      <c r="I43" s="4"/>
      <c r="J43" s="201"/>
      <c r="K43" s="201"/>
      <c r="L43" s="201"/>
    </row>
    <row r="44" spans="3:17" x14ac:dyDescent="0.35">
      <c r="C44" s="184" t="s">
        <v>67</v>
      </c>
      <c r="E44" s="199"/>
      <c r="F44" s="201"/>
      <c r="G44" s="201"/>
      <c r="H44" s="201"/>
      <c r="I44" s="4"/>
      <c r="J44" s="201"/>
      <c r="K44" s="201"/>
      <c r="L44" s="201"/>
      <c r="Q44" s="3"/>
    </row>
    <row r="45" spans="3:17" x14ac:dyDescent="0.35">
      <c r="D45" s="184" t="s">
        <v>33</v>
      </c>
      <c r="E45" s="199"/>
      <c r="F45" s="201">
        <f>552.37*12</f>
        <v>6628.4400000000005</v>
      </c>
      <c r="H45" s="201">
        <f>591.04*12</f>
        <v>7092.48</v>
      </c>
      <c r="I45" s="4">
        <f>J45-H45</f>
        <v>141.84000000000015</v>
      </c>
      <c r="J45" s="201">
        <f>602.86*12</f>
        <v>7234.32</v>
      </c>
      <c r="K45" s="6">
        <f>K29</f>
        <v>0.25</v>
      </c>
      <c r="L45" s="5">
        <f>J45*(1-K45)</f>
        <v>5425.74</v>
      </c>
      <c r="M45" s="6">
        <f>M29</f>
        <v>0.19</v>
      </c>
      <c r="N45" s="203">
        <f>L45*M45</f>
        <v>1030.8905999999999</v>
      </c>
      <c r="O45" s="205">
        <f t="shared" ref="O45:O58" si="16">-N45*$T$26</f>
        <v>0</v>
      </c>
      <c r="P45" s="201">
        <f t="shared" ref="P45:P58" si="17">+N45+O45</f>
        <v>1030.8905999999999</v>
      </c>
    </row>
    <row r="46" spans="3:17" x14ac:dyDescent="0.35">
      <c r="D46" s="184" t="s">
        <v>34</v>
      </c>
      <c r="E46" s="199"/>
      <c r="F46" s="201">
        <f t="shared" ref="F46:F58" si="18">552.37*12</f>
        <v>6628.4400000000005</v>
      </c>
      <c r="H46" s="201">
        <f t="shared" ref="H46:H58" si="19">591.04*12</f>
        <v>7092.48</v>
      </c>
      <c r="I46" s="4">
        <f t="shared" ref="I46:I58" si="20">J46-H46</f>
        <v>141.84000000000015</v>
      </c>
      <c r="J46" s="201">
        <f t="shared" ref="J46:J58" si="21">602.86*12</f>
        <v>7234.32</v>
      </c>
      <c r="K46" s="6">
        <f t="shared" ref="K46:K58" si="22">K30</f>
        <v>0.2</v>
      </c>
      <c r="L46" s="5">
        <f>J46*(1-K46)</f>
        <v>5787.4560000000001</v>
      </c>
      <c r="M46" s="6">
        <f t="shared" ref="M46:M58" si="23">M30</f>
        <v>0.19</v>
      </c>
      <c r="N46" s="203">
        <f>L46*M46</f>
        <v>1099.61664</v>
      </c>
      <c r="O46" s="205">
        <f t="shared" si="16"/>
        <v>0</v>
      </c>
      <c r="P46" s="201">
        <f t="shared" si="17"/>
        <v>1099.61664</v>
      </c>
    </row>
    <row r="47" spans="3:17" x14ac:dyDescent="0.35">
      <c r="D47" s="184" t="s">
        <v>34</v>
      </c>
      <c r="E47" s="199"/>
      <c r="F47" s="201">
        <v>0</v>
      </c>
      <c r="H47" s="201">
        <f t="shared" si="19"/>
        <v>7092.48</v>
      </c>
      <c r="I47" s="4">
        <f t="shared" si="20"/>
        <v>141.84000000000015</v>
      </c>
      <c r="J47" s="201">
        <f t="shared" si="21"/>
        <v>7234.32</v>
      </c>
      <c r="K47" s="6">
        <f t="shared" si="22"/>
        <v>0.2</v>
      </c>
      <c r="L47" s="5">
        <f>J47*(1-K47)</f>
        <v>5787.4560000000001</v>
      </c>
      <c r="M47" s="6">
        <f t="shared" si="23"/>
        <v>0.19</v>
      </c>
      <c r="N47" s="203">
        <f>L47*M47</f>
        <v>1099.61664</v>
      </c>
      <c r="O47" s="205">
        <f t="shared" si="16"/>
        <v>0</v>
      </c>
      <c r="P47" s="201">
        <f t="shared" si="17"/>
        <v>1099.61664</v>
      </c>
    </row>
    <row r="48" spans="3:17" x14ac:dyDescent="0.35">
      <c r="D48" s="184" t="s">
        <v>237</v>
      </c>
      <c r="E48" s="199"/>
      <c r="F48" s="201">
        <f t="shared" si="18"/>
        <v>6628.4400000000005</v>
      </c>
      <c r="H48" s="201">
        <f t="shared" si="19"/>
        <v>7092.48</v>
      </c>
      <c r="I48" s="4">
        <f t="shared" si="20"/>
        <v>141.84000000000015</v>
      </c>
      <c r="J48" s="201">
        <f t="shared" si="21"/>
        <v>7234.32</v>
      </c>
      <c r="K48" s="6">
        <f t="shared" si="22"/>
        <v>1</v>
      </c>
      <c r="L48" s="5">
        <f t="shared" ref="L48:L55" si="24">J48*(1-K48)</f>
        <v>0</v>
      </c>
      <c r="M48" s="6">
        <f t="shared" si="23"/>
        <v>0.22</v>
      </c>
      <c r="N48" s="203">
        <f>L48*M48</f>
        <v>0</v>
      </c>
      <c r="O48" s="205">
        <f t="shared" si="16"/>
        <v>0</v>
      </c>
      <c r="P48" s="201">
        <f t="shared" si="17"/>
        <v>0</v>
      </c>
    </row>
    <row r="49" spans="3:16" x14ac:dyDescent="0.35">
      <c r="D49" s="184" t="s">
        <v>238</v>
      </c>
      <c r="E49" s="199"/>
      <c r="F49" s="201">
        <f t="shared" si="18"/>
        <v>6628.4400000000005</v>
      </c>
      <c r="H49" s="201">
        <f t="shared" si="19"/>
        <v>7092.48</v>
      </c>
      <c r="I49" s="4">
        <f t="shared" si="20"/>
        <v>141.84000000000015</v>
      </c>
      <c r="J49" s="201">
        <f t="shared" si="21"/>
        <v>7234.32</v>
      </c>
      <c r="K49" s="6">
        <f t="shared" si="22"/>
        <v>0.4</v>
      </c>
      <c r="L49" s="5">
        <f t="shared" si="24"/>
        <v>4340.5919999999996</v>
      </c>
      <c r="M49" s="6">
        <f t="shared" si="23"/>
        <v>0.25</v>
      </c>
      <c r="N49" s="203">
        <f t="shared" ref="N49:N58" si="25">L49*M49</f>
        <v>1085.1479999999999</v>
      </c>
      <c r="O49" s="205">
        <f t="shared" si="16"/>
        <v>0</v>
      </c>
      <c r="P49" s="201">
        <f t="shared" si="17"/>
        <v>1085.1479999999999</v>
      </c>
    </row>
    <row r="50" spans="3:16" x14ac:dyDescent="0.35">
      <c r="D50" s="184" t="s">
        <v>46</v>
      </c>
      <c r="E50" s="199"/>
      <c r="F50" s="201">
        <f t="shared" si="18"/>
        <v>6628.4400000000005</v>
      </c>
      <c r="H50" s="201">
        <f t="shared" si="19"/>
        <v>7092.48</v>
      </c>
      <c r="I50" s="4">
        <f t="shared" si="20"/>
        <v>141.84000000000015</v>
      </c>
      <c r="J50" s="201">
        <f t="shared" si="21"/>
        <v>7234.32</v>
      </c>
      <c r="K50" s="6">
        <f t="shared" si="22"/>
        <v>1</v>
      </c>
      <c r="L50" s="5">
        <f t="shared" si="24"/>
        <v>0</v>
      </c>
      <c r="M50" s="6">
        <f t="shared" si="23"/>
        <v>0.22500000000000001</v>
      </c>
      <c r="N50" s="203">
        <f t="shared" si="25"/>
        <v>0</v>
      </c>
      <c r="O50" s="205">
        <f t="shared" si="16"/>
        <v>0</v>
      </c>
      <c r="P50" s="201">
        <f t="shared" si="17"/>
        <v>0</v>
      </c>
    </row>
    <row r="51" spans="3:16" x14ac:dyDescent="0.35">
      <c r="D51" s="184" t="s">
        <v>163</v>
      </c>
      <c r="E51" s="199"/>
      <c r="F51" s="201">
        <f t="shared" si="18"/>
        <v>6628.4400000000005</v>
      </c>
      <c r="H51" s="201">
        <f t="shared" si="19"/>
        <v>7092.48</v>
      </c>
      <c r="I51" s="4">
        <f t="shared" si="20"/>
        <v>141.84000000000015</v>
      </c>
      <c r="J51" s="201">
        <f t="shared" si="21"/>
        <v>7234.32</v>
      </c>
      <c r="K51" s="6">
        <f t="shared" si="22"/>
        <v>1</v>
      </c>
      <c r="L51" s="5">
        <f>J51*(1-K51)</f>
        <v>0</v>
      </c>
      <c r="M51" s="6">
        <f t="shared" si="23"/>
        <v>0.22</v>
      </c>
      <c r="N51" s="203">
        <f>L51*M51</f>
        <v>0</v>
      </c>
      <c r="O51" s="205">
        <f t="shared" si="16"/>
        <v>0</v>
      </c>
      <c r="P51" s="201">
        <f t="shared" si="17"/>
        <v>0</v>
      </c>
    </row>
    <row r="52" spans="3:16" x14ac:dyDescent="0.35">
      <c r="D52" s="184" t="s">
        <v>183</v>
      </c>
      <c r="E52" s="199"/>
      <c r="F52" s="201">
        <f t="shared" si="18"/>
        <v>6628.4400000000005</v>
      </c>
      <c r="H52" s="201">
        <f t="shared" si="19"/>
        <v>7092.48</v>
      </c>
      <c r="I52" s="4">
        <f t="shared" si="20"/>
        <v>141.84000000000015</v>
      </c>
      <c r="J52" s="201">
        <f t="shared" si="21"/>
        <v>7234.32</v>
      </c>
      <c r="K52" s="6">
        <f t="shared" si="22"/>
        <v>0</v>
      </c>
      <c r="L52" s="5">
        <f t="shared" si="24"/>
        <v>7234.32</v>
      </c>
      <c r="M52" s="6">
        <f t="shared" si="23"/>
        <v>0.24</v>
      </c>
      <c r="N52" s="203">
        <f t="shared" si="25"/>
        <v>1736.2367999999999</v>
      </c>
      <c r="O52" s="205">
        <f t="shared" si="16"/>
        <v>0</v>
      </c>
      <c r="P52" s="201">
        <f t="shared" si="17"/>
        <v>1736.2367999999999</v>
      </c>
    </row>
    <row r="53" spans="3:16" x14ac:dyDescent="0.35">
      <c r="D53" s="184" t="s">
        <v>239</v>
      </c>
      <c r="E53" s="199"/>
      <c r="F53" s="201">
        <f t="shared" si="18"/>
        <v>6628.4400000000005</v>
      </c>
      <c r="H53" s="201">
        <f t="shared" si="19"/>
        <v>7092.48</v>
      </c>
      <c r="I53" s="4">
        <f t="shared" si="20"/>
        <v>141.84000000000015</v>
      </c>
      <c r="J53" s="201">
        <f t="shared" si="21"/>
        <v>7234.32</v>
      </c>
      <c r="K53" s="6">
        <f t="shared" si="22"/>
        <v>0.25</v>
      </c>
      <c r="L53" s="5">
        <f t="shared" si="24"/>
        <v>5425.74</v>
      </c>
      <c r="M53" s="6">
        <f t="shared" si="23"/>
        <v>0.19</v>
      </c>
      <c r="N53" s="203">
        <f>L53*M53</f>
        <v>1030.8905999999999</v>
      </c>
      <c r="O53" s="205">
        <f t="shared" si="16"/>
        <v>0</v>
      </c>
      <c r="P53" s="201">
        <f t="shared" si="17"/>
        <v>1030.8905999999999</v>
      </c>
    </row>
    <row r="54" spans="3:16" x14ac:dyDescent="0.35">
      <c r="D54" s="184" t="s">
        <v>36</v>
      </c>
      <c r="E54" s="199"/>
      <c r="F54" s="201">
        <f t="shared" si="18"/>
        <v>6628.4400000000005</v>
      </c>
      <c r="H54" s="201">
        <f t="shared" si="19"/>
        <v>7092.48</v>
      </c>
      <c r="I54" s="4">
        <f t="shared" si="20"/>
        <v>141.84000000000015</v>
      </c>
      <c r="J54" s="201">
        <f t="shared" si="21"/>
        <v>7234.32</v>
      </c>
      <c r="K54" s="6">
        <f t="shared" si="22"/>
        <v>0.4</v>
      </c>
      <c r="L54" s="5">
        <f t="shared" si="24"/>
        <v>4340.5919999999996</v>
      </c>
      <c r="M54" s="6">
        <f t="shared" si="23"/>
        <v>0.19</v>
      </c>
      <c r="N54" s="203">
        <f t="shared" si="25"/>
        <v>824.71247999999991</v>
      </c>
      <c r="O54" s="205">
        <f t="shared" si="16"/>
        <v>0</v>
      </c>
      <c r="P54" s="201">
        <f t="shared" si="17"/>
        <v>824.71247999999991</v>
      </c>
    </row>
    <row r="55" spans="3:16" x14ac:dyDescent="0.35">
      <c r="D55" s="184" t="s">
        <v>240</v>
      </c>
      <c r="E55" s="199"/>
      <c r="F55" s="201">
        <v>0</v>
      </c>
      <c r="H55" s="201">
        <v>0</v>
      </c>
      <c r="I55" s="4"/>
      <c r="J55" s="201">
        <v>0</v>
      </c>
      <c r="K55" s="6">
        <f t="shared" si="22"/>
        <v>0.5</v>
      </c>
      <c r="L55" s="5">
        <f t="shared" si="24"/>
        <v>0</v>
      </c>
      <c r="M55" s="6">
        <f t="shared" si="23"/>
        <v>0.22500000000000001</v>
      </c>
      <c r="N55" s="203">
        <f t="shared" si="25"/>
        <v>0</v>
      </c>
      <c r="O55" s="205">
        <f t="shared" si="16"/>
        <v>0</v>
      </c>
      <c r="P55" s="201">
        <f t="shared" si="17"/>
        <v>0</v>
      </c>
    </row>
    <row r="56" spans="3:16" x14ac:dyDescent="0.35">
      <c r="D56" s="184" t="s">
        <v>242</v>
      </c>
      <c r="E56" s="199"/>
      <c r="F56" s="201">
        <v>0</v>
      </c>
      <c r="H56" s="201">
        <v>0</v>
      </c>
      <c r="I56" s="4"/>
      <c r="J56" s="201">
        <v>0</v>
      </c>
      <c r="K56" s="6">
        <f t="shared" si="22"/>
        <v>0</v>
      </c>
      <c r="L56" s="5">
        <f>J56*(1-K56)</f>
        <v>0</v>
      </c>
      <c r="M56" s="6">
        <f t="shared" si="23"/>
        <v>0.19</v>
      </c>
      <c r="N56" s="203">
        <f>L56*M56</f>
        <v>0</v>
      </c>
      <c r="O56" s="205">
        <f t="shared" si="16"/>
        <v>0</v>
      </c>
      <c r="P56" s="201">
        <f t="shared" si="17"/>
        <v>0</v>
      </c>
    </row>
    <row r="57" spans="3:16" x14ac:dyDescent="0.35">
      <c r="D57" s="184" t="s">
        <v>243</v>
      </c>
      <c r="E57" s="199"/>
      <c r="F57" s="201">
        <v>0</v>
      </c>
      <c r="H57" s="201">
        <f t="shared" si="19"/>
        <v>7092.48</v>
      </c>
      <c r="I57" s="4">
        <f t="shared" si="20"/>
        <v>141.84000000000015</v>
      </c>
      <c r="J57" s="201">
        <f t="shared" si="21"/>
        <v>7234.32</v>
      </c>
      <c r="K57" s="6">
        <f t="shared" si="22"/>
        <v>0</v>
      </c>
      <c r="L57" s="5">
        <f>J57*(1-K57)</f>
        <v>7234.32</v>
      </c>
      <c r="M57" s="6">
        <f t="shared" si="23"/>
        <v>0.23</v>
      </c>
      <c r="N57" s="203">
        <f>L57*M57</f>
        <v>1663.8936000000001</v>
      </c>
      <c r="O57" s="205">
        <f t="shared" si="16"/>
        <v>0</v>
      </c>
      <c r="P57" s="201">
        <f t="shared" si="17"/>
        <v>1663.8936000000001</v>
      </c>
    </row>
    <row r="58" spans="3:16" x14ac:dyDescent="0.35">
      <c r="D58" s="184" t="s">
        <v>35</v>
      </c>
      <c r="E58" s="199"/>
      <c r="F58" s="201">
        <f t="shared" si="18"/>
        <v>6628.4400000000005</v>
      </c>
      <c r="H58" s="201">
        <f t="shared" si="19"/>
        <v>7092.48</v>
      </c>
      <c r="I58" s="4">
        <f t="shared" si="20"/>
        <v>141.84000000000015</v>
      </c>
      <c r="J58" s="201">
        <f t="shared" si="21"/>
        <v>7234.32</v>
      </c>
      <c r="K58" s="6">
        <f t="shared" si="22"/>
        <v>0.6</v>
      </c>
      <c r="L58" s="5">
        <f>J58*(1-K58)</f>
        <v>2893.7280000000001</v>
      </c>
      <c r="M58" s="6">
        <f t="shared" si="23"/>
        <v>0.24</v>
      </c>
      <c r="N58" s="203">
        <f t="shared" si="25"/>
        <v>694.49472000000003</v>
      </c>
      <c r="O58" s="205">
        <f t="shared" si="16"/>
        <v>0</v>
      </c>
      <c r="P58" s="201">
        <f t="shared" si="17"/>
        <v>694.49472000000003</v>
      </c>
    </row>
    <row r="59" spans="3:16" x14ac:dyDescent="0.35">
      <c r="E59" s="199"/>
      <c r="F59" s="201"/>
      <c r="G59" s="201"/>
      <c r="H59" s="201"/>
      <c r="I59" s="4"/>
      <c r="J59" s="201"/>
      <c r="K59" s="201"/>
      <c r="L59" s="201"/>
    </row>
    <row r="60" spans="3:16" x14ac:dyDescent="0.35">
      <c r="C60" s="184" t="s">
        <v>68</v>
      </c>
      <c r="E60" s="199"/>
      <c r="F60" s="201"/>
      <c r="G60" s="201"/>
      <c r="H60" s="201"/>
      <c r="I60" s="4"/>
      <c r="J60" s="201"/>
      <c r="K60" s="201"/>
      <c r="L60" s="201"/>
    </row>
    <row r="61" spans="3:16" x14ac:dyDescent="0.35">
      <c r="D61" s="184" t="s">
        <v>33</v>
      </c>
      <c r="E61" s="199"/>
      <c r="F61" s="201">
        <v>71.599999999999994</v>
      </c>
      <c r="H61" s="201">
        <v>88.88</v>
      </c>
      <c r="I61" s="4">
        <f>H61*(1-1.01)</f>
        <v>-0.8888000000000007</v>
      </c>
      <c r="J61" s="201">
        <f>H61+I61</f>
        <v>87.991199999999992</v>
      </c>
      <c r="K61" s="6">
        <f>K45</f>
        <v>0.25</v>
      </c>
      <c r="L61" s="5">
        <f>J61*(1-K61)</f>
        <v>65.993399999999994</v>
      </c>
      <c r="M61" s="6">
        <f>M45</f>
        <v>0.19</v>
      </c>
      <c r="N61" s="203">
        <f>L61*M61</f>
        <v>12.538746</v>
      </c>
      <c r="P61" s="201">
        <f t="shared" ref="P61:P74" si="26">+N61+O61</f>
        <v>12.538746</v>
      </c>
    </row>
    <row r="62" spans="3:16" x14ac:dyDescent="0.35">
      <c r="D62" s="184" t="s">
        <v>34</v>
      </c>
      <c r="E62" s="199"/>
      <c r="F62" s="201">
        <v>66.23</v>
      </c>
      <c r="H62" s="201">
        <v>77.680000000000007</v>
      </c>
      <c r="I62" s="4">
        <f t="shared" ref="I62:I74" si="27">H62*(1-1.01)</f>
        <v>-0.77680000000000071</v>
      </c>
      <c r="J62" s="201">
        <f t="shared" ref="J62:J74" si="28">H62+I62</f>
        <v>76.903200000000012</v>
      </c>
      <c r="K62" s="6">
        <f t="shared" ref="K62:K74" si="29">K46</f>
        <v>0.2</v>
      </c>
      <c r="L62" s="5">
        <f>J62*(1-K62)</f>
        <v>61.522560000000013</v>
      </c>
      <c r="M62" s="6">
        <f t="shared" ref="M62:M74" si="30">M46</f>
        <v>0.19</v>
      </c>
      <c r="N62" s="203">
        <f>L62*M62</f>
        <v>11.689286400000002</v>
      </c>
      <c r="P62" s="201">
        <f t="shared" si="26"/>
        <v>11.689286400000002</v>
      </c>
    </row>
    <row r="63" spans="3:16" x14ac:dyDescent="0.35">
      <c r="D63" s="184" t="s">
        <v>34</v>
      </c>
      <c r="E63" s="199"/>
      <c r="F63" s="201">
        <v>0</v>
      </c>
      <c r="H63" s="201">
        <v>78</v>
      </c>
      <c r="I63" s="4">
        <f t="shared" si="27"/>
        <v>-0.78000000000000069</v>
      </c>
      <c r="J63" s="201">
        <f t="shared" si="28"/>
        <v>77.22</v>
      </c>
      <c r="K63" s="6">
        <f t="shared" si="29"/>
        <v>0.2</v>
      </c>
      <c r="L63" s="5">
        <f>J63*(1-K63)</f>
        <v>61.776000000000003</v>
      </c>
      <c r="M63" s="6">
        <f t="shared" si="30"/>
        <v>0.19</v>
      </c>
      <c r="N63" s="203">
        <f>L63*M63</f>
        <v>11.737440000000001</v>
      </c>
      <c r="P63" s="201">
        <f t="shared" si="26"/>
        <v>11.737440000000001</v>
      </c>
    </row>
    <row r="64" spans="3:16" x14ac:dyDescent="0.35">
      <c r="D64" s="184" t="s">
        <v>237</v>
      </c>
      <c r="E64" s="199"/>
      <c r="F64" s="201">
        <v>98.44</v>
      </c>
      <c r="H64" s="201">
        <v>115.04</v>
      </c>
      <c r="I64" s="4">
        <f t="shared" si="27"/>
        <v>-1.150400000000001</v>
      </c>
      <c r="J64" s="201">
        <f t="shared" si="28"/>
        <v>113.8896</v>
      </c>
      <c r="K64" s="6">
        <f t="shared" si="29"/>
        <v>1</v>
      </c>
      <c r="L64" s="5">
        <f t="shared" ref="L64:L71" si="31">J64*(1-K64)</f>
        <v>0</v>
      </c>
      <c r="M64" s="6">
        <f t="shared" si="30"/>
        <v>0.22</v>
      </c>
      <c r="N64" s="203">
        <f t="shared" ref="N64:N71" si="32">L64*M64</f>
        <v>0</v>
      </c>
      <c r="P64" s="201">
        <f t="shared" si="26"/>
        <v>0</v>
      </c>
    </row>
    <row r="65" spans="3:17" x14ac:dyDescent="0.35">
      <c r="D65" s="184" t="s">
        <v>238</v>
      </c>
      <c r="E65" s="199"/>
      <c r="F65" s="201">
        <v>250</v>
      </c>
      <c r="H65" s="201">
        <v>272.85000000000002</v>
      </c>
      <c r="I65" s="4">
        <f t="shared" si="27"/>
        <v>-2.7285000000000026</v>
      </c>
      <c r="J65" s="201">
        <f t="shared" si="28"/>
        <v>270.12150000000003</v>
      </c>
      <c r="K65" s="6">
        <f t="shared" si="29"/>
        <v>0.4</v>
      </c>
      <c r="L65" s="5">
        <f t="shared" si="31"/>
        <v>162.0729</v>
      </c>
      <c r="M65" s="6">
        <f t="shared" si="30"/>
        <v>0.25</v>
      </c>
      <c r="N65" s="203">
        <f t="shared" si="32"/>
        <v>40.518225000000001</v>
      </c>
      <c r="P65" s="201">
        <f t="shared" si="26"/>
        <v>40.518225000000001</v>
      </c>
    </row>
    <row r="66" spans="3:17" x14ac:dyDescent="0.35">
      <c r="D66" s="184" t="s">
        <v>46</v>
      </c>
      <c r="E66" s="199"/>
      <c r="F66" s="201">
        <v>1019.2</v>
      </c>
      <c r="H66" s="201">
        <v>986.25</v>
      </c>
      <c r="I66" s="4">
        <f t="shared" si="27"/>
        <v>-9.8625000000000096</v>
      </c>
      <c r="J66" s="201">
        <f t="shared" si="28"/>
        <v>976.38750000000005</v>
      </c>
      <c r="K66" s="6">
        <f t="shared" si="29"/>
        <v>1</v>
      </c>
      <c r="L66" s="5">
        <f t="shared" si="31"/>
        <v>0</v>
      </c>
      <c r="M66" s="6">
        <f t="shared" si="30"/>
        <v>0.22500000000000001</v>
      </c>
      <c r="N66" s="203">
        <f t="shared" si="32"/>
        <v>0</v>
      </c>
      <c r="P66" s="201">
        <f t="shared" si="26"/>
        <v>0</v>
      </c>
    </row>
    <row r="67" spans="3:17" x14ac:dyDescent="0.35">
      <c r="D67" s="184" t="s">
        <v>163</v>
      </c>
      <c r="E67" s="199"/>
      <c r="F67" s="201">
        <v>243.71</v>
      </c>
      <c r="H67" s="201">
        <v>265.74</v>
      </c>
      <c r="I67" s="4">
        <f t="shared" si="27"/>
        <v>-2.6574000000000026</v>
      </c>
      <c r="J67" s="201">
        <f t="shared" si="28"/>
        <v>263.08260000000001</v>
      </c>
      <c r="K67" s="6">
        <f t="shared" si="29"/>
        <v>1</v>
      </c>
      <c r="L67" s="5">
        <f t="shared" si="31"/>
        <v>0</v>
      </c>
      <c r="M67" s="6">
        <f t="shared" si="30"/>
        <v>0.22</v>
      </c>
      <c r="N67" s="203">
        <f t="shared" si="32"/>
        <v>0</v>
      </c>
      <c r="P67" s="201">
        <f t="shared" si="26"/>
        <v>0</v>
      </c>
    </row>
    <row r="68" spans="3:17" x14ac:dyDescent="0.35">
      <c r="D68" s="184" t="s">
        <v>183</v>
      </c>
      <c r="E68" s="199"/>
      <c r="F68" s="201">
        <v>73.64</v>
      </c>
      <c r="H68" s="201">
        <v>88.59</v>
      </c>
      <c r="I68" s="4">
        <f t="shared" si="27"/>
        <v>-0.8859000000000008</v>
      </c>
      <c r="J68" s="201">
        <f t="shared" si="28"/>
        <v>87.704099999999997</v>
      </c>
      <c r="K68" s="6">
        <f t="shared" si="29"/>
        <v>0</v>
      </c>
      <c r="L68" s="5">
        <f t="shared" si="31"/>
        <v>87.704099999999997</v>
      </c>
      <c r="M68" s="6">
        <f t="shared" si="30"/>
        <v>0.24</v>
      </c>
      <c r="N68" s="203">
        <f t="shared" si="32"/>
        <v>21.048983999999997</v>
      </c>
      <c r="P68" s="201">
        <f t="shared" si="26"/>
        <v>21.048983999999997</v>
      </c>
    </row>
    <row r="69" spans="3:17" x14ac:dyDescent="0.35">
      <c r="D69" s="184" t="s">
        <v>239</v>
      </c>
      <c r="E69" s="199"/>
      <c r="F69" s="201">
        <v>137.55000000000001</v>
      </c>
      <c r="H69" s="201">
        <v>161.63999999999999</v>
      </c>
      <c r="I69" s="4">
        <f t="shared" si="27"/>
        <v>-1.6164000000000014</v>
      </c>
      <c r="J69" s="201">
        <f t="shared" si="28"/>
        <v>160.02359999999999</v>
      </c>
      <c r="K69" s="6">
        <f t="shared" si="29"/>
        <v>0.25</v>
      </c>
      <c r="L69" s="5">
        <f t="shared" si="31"/>
        <v>120.01769999999999</v>
      </c>
      <c r="M69" s="6">
        <f t="shared" si="30"/>
        <v>0.19</v>
      </c>
      <c r="N69" s="203">
        <f t="shared" si="32"/>
        <v>22.803362999999997</v>
      </c>
      <c r="P69" s="201">
        <f t="shared" si="26"/>
        <v>22.803362999999997</v>
      </c>
    </row>
    <row r="70" spans="3:17" x14ac:dyDescent="0.35">
      <c r="D70" s="184" t="s">
        <v>36</v>
      </c>
      <c r="E70" s="199"/>
      <c r="F70" s="201">
        <v>194.3</v>
      </c>
      <c r="H70" s="201">
        <v>208.29</v>
      </c>
      <c r="I70" s="4">
        <f t="shared" si="27"/>
        <v>-2.0829000000000018</v>
      </c>
      <c r="J70" s="201">
        <f t="shared" si="28"/>
        <v>206.2071</v>
      </c>
      <c r="K70" s="6">
        <f t="shared" si="29"/>
        <v>0.4</v>
      </c>
      <c r="L70" s="5">
        <f t="shared" si="31"/>
        <v>123.72425999999999</v>
      </c>
      <c r="M70" s="6">
        <f t="shared" si="30"/>
        <v>0.19</v>
      </c>
      <c r="N70" s="203">
        <f t="shared" si="32"/>
        <v>23.507609399999996</v>
      </c>
      <c r="P70" s="201">
        <f t="shared" si="26"/>
        <v>23.507609399999996</v>
      </c>
    </row>
    <row r="71" spans="3:17" x14ac:dyDescent="0.35">
      <c r="D71" s="184" t="s">
        <v>240</v>
      </c>
      <c r="E71" s="199"/>
      <c r="F71" s="201">
        <v>0</v>
      </c>
      <c r="H71" s="201">
        <v>89.28</v>
      </c>
      <c r="I71" s="4">
        <f t="shared" si="27"/>
        <v>-0.89280000000000082</v>
      </c>
      <c r="J71" s="201">
        <f t="shared" si="28"/>
        <v>88.387200000000007</v>
      </c>
      <c r="K71" s="6">
        <f t="shared" si="29"/>
        <v>0.5</v>
      </c>
      <c r="L71" s="5">
        <f t="shared" si="31"/>
        <v>44.193600000000004</v>
      </c>
      <c r="M71" s="6">
        <f t="shared" si="30"/>
        <v>0.22500000000000001</v>
      </c>
      <c r="N71" s="203">
        <f t="shared" si="32"/>
        <v>9.9435600000000015</v>
      </c>
      <c r="P71" s="201">
        <f t="shared" si="26"/>
        <v>9.9435600000000015</v>
      </c>
    </row>
    <row r="72" spans="3:17" x14ac:dyDescent="0.35">
      <c r="D72" s="184" t="s">
        <v>242</v>
      </c>
      <c r="E72" s="199"/>
      <c r="F72" s="201">
        <v>0</v>
      </c>
      <c r="H72" s="201">
        <v>7.08</v>
      </c>
      <c r="I72" s="4">
        <f t="shared" si="27"/>
        <v>-7.0800000000000057E-2</v>
      </c>
      <c r="J72" s="201">
        <f>H72+I72</f>
        <v>7.0091999999999999</v>
      </c>
      <c r="K72" s="6">
        <f t="shared" si="29"/>
        <v>0</v>
      </c>
      <c r="L72" s="5">
        <f>J72*(1-K72)</f>
        <v>7.0091999999999999</v>
      </c>
      <c r="M72" s="6">
        <f t="shared" si="30"/>
        <v>0.19</v>
      </c>
      <c r="N72" s="203">
        <f>L72*M72</f>
        <v>1.3317479999999999</v>
      </c>
      <c r="P72" s="201">
        <f t="shared" si="26"/>
        <v>1.3317479999999999</v>
      </c>
    </row>
    <row r="73" spans="3:17" x14ac:dyDescent="0.35">
      <c r="D73" s="184" t="s">
        <v>243</v>
      </c>
      <c r="E73" s="199"/>
      <c r="F73" s="201">
        <v>83.72</v>
      </c>
      <c r="H73" s="201">
        <v>99.04</v>
      </c>
      <c r="I73" s="4">
        <f t="shared" si="27"/>
        <v>-0.99040000000000095</v>
      </c>
      <c r="J73" s="201">
        <f t="shared" si="28"/>
        <v>98.049600000000012</v>
      </c>
      <c r="K73" s="6">
        <f t="shared" si="29"/>
        <v>0</v>
      </c>
      <c r="L73" s="5">
        <f>J73*(1-K73)</f>
        <v>98.049600000000012</v>
      </c>
      <c r="M73" s="6">
        <f t="shared" si="30"/>
        <v>0.23</v>
      </c>
      <c r="N73" s="203">
        <f>L73*M73</f>
        <v>22.551408000000002</v>
      </c>
      <c r="P73" s="201">
        <f t="shared" si="26"/>
        <v>22.551408000000002</v>
      </c>
    </row>
    <row r="74" spans="3:17" x14ac:dyDescent="0.35">
      <c r="D74" s="184" t="s">
        <v>35</v>
      </c>
      <c r="E74" s="199"/>
      <c r="F74" s="201">
        <v>85.73</v>
      </c>
      <c r="H74" s="201">
        <v>100.17</v>
      </c>
      <c r="I74" s="4">
        <f t="shared" si="27"/>
        <v>-1.0017000000000009</v>
      </c>
      <c r="J74" s="201">
        <f t="shared" si="28"/>
        <v>99.168300000000002</v>
      </c>
      <c r="K74" s="6">
        <f t="shared" si="29"/>
        <v>0.6</v>
      </c>
      <c r="L74" s="5">
        <f>J74*(1-K74)</f>
        <v>39.667320000000004</v>
      </c>
      <c r="M74" s="6">
        <f t="shared" si="30"/>
        <v>0.24</v>
      </c>
      <c r="N74" s="203">
        <f>L74*M74</f>
        <v>9.5201568000000005</v>
      </c>
      <c r="P74" s="201">
        <f t="shared" si="26"/>
        <v>9.5201568000000005</v>
      </c>
    </row>
    <row r="75" spans="3:17" x14ac:dyDescent="0.35">
      <c r="E75" s="199"/>
      <c r="F75" s="201"/>
      <c r="G75" s="201"/>
      <c r="H75" s="201"/>
      <c r="I75" s="4"/>
      <c r="J75" s="201"/>
      <c r="K75" s="201"/>
      <c r="L75" s="201"/>
    </row>
    <row r="76" spans="3:17" x14ac:dyDescent="0.35">
      <c r="C76" s="184" t="s">
        <v>53</v>
      </c>
      <c r="E76" s="199"/>
      <c r="F76" s="201"/>
      <c r="G76" s="201"/>
      <c r="H76" s="201"/>
      <c r="I76" s="4"/>
      <c r="J76" s="201"/>
      <c r="K76" s="201"/>
      <c r="L76" s="201"/>
    </row>
    <row r="77" spans="3:17" x14ac:dyDescent="0.35">
      <c r="D77" s="184" t="s">
        <v>33</v>
      </c>
      <c r="E77" s="199"/>
      <c r="F77" s="201">
        <f>27.28*12</f>
        <v>327.36</v>
      </c>
      <c r="H77" s="201">
        <v>327</v>
      </c>
      <c r="I77" s="4">
        <f>J77-H77</f>
        <v>13.799999999999955</v>
      </c>
      <c r="J77" s="201">
        <f>(22.11+6.29)*12</f>
        <v>340.79999999999995</v>
      </c>
      <c r="K77" s="6">
        <f>K61</f>
        <v>0.25</v>
      </c>
      <c r="L77" s="5">
        <f>J77*(1-K77)</f>
        <v>255.59999999999997</v>
      </c>
      <c r="M77" s="6">
        <f>M61</f>
        <v>0.19</v>
      </c>
      <c r="N77" s="203">
        <f>L77*M77</f>
        <v>48.563999999999993</v>
      </c>
      <c r="O77" s="205">
        <f t="shared" ref="O77:O90" si="33">-N77*$T$27</f>
        <v>0</v>
      </c>
      <c r="P77" s="201">
        <f t="shared" ref="P77:P90" si="34">+N77+O77</f>
        <v>48.563999999999993</v>
      </c>
      <c r="Q77" s="3"/>
    </row>
    <row r="78" spans="3:17" x14ac:dyDescent="0.35">
      <c r="D78" s="184" t="s">
        <v>34</v>
      </c>
      <c r="E78" s="199"/>
      <c r="F78" s="201">
        <f t="shared" ref="F78:F90" si="35">27.28*12</f>
        <v>327.36</v>
      </c>
      <c r="H78" s="201">
        <v>327</v>
      </c>
      <c r="I78" s="4">
        <f t="shared" ref="I78:I90" si="36">J78-H78</f>
        <v>13.799999999999955</v>
      </c>
      <c r="J78" s="201">
        <f t="shared" ref="J78:J90" si="37">(22.11+6.29)*12</f>
        <v>340.79999999999995</v>
      </c>
      <c r="K78" s="6">
        <f t="shared" ref="K78:K90" si="38">K62</f>
        <v>0.2</v>
      </c>
      <c r="L78" s="5">
        <f>J78*(1-K78)</f>
        <v>272.64</v>
      </c>
      <c r="M78" s="6">
        <f t="shared" ref="M78:M90" si="39">M62</f>
        <v>0.19</v>
      </c>
      <c r="N78" s="203">
        <f>L78*M78</f>
        <v>51.801600000000001</v>
      </c>
      <c r="O78" s="205">
        <f t="shared" si="33"/>
        <v>0</v>
      </c>
      <c r="P78" s="201">
        <f t="shared" si="34"/>
        <v>51.801600000000001</v>
      </c>
      <c r="Q78" s="3"/>
    </row>
    <row r="79" spans="3:17" x14ac:dyDescent="0.35">
      <c r="D79" s="184" t="s">
        <v>34</v>
      </c>
      <c r="E79" s="199"/>
      <c r="F79" s="201"/>
      <c r="H79" s="201">
        <v>327</v>
      </c>
      <c r="I79" s="4">
        <f t="shared" si="36"/>
        <v>13.799999999999955</v>
      </c>
      <c r="J79" s="201">
        <f t="shared" si="37"/>
        <v>340.79999999999995</v>
      </c>
      <c r="K79" s="6">
        <f t="shared" si="38"/>
        <v>0.2</v>
      </c>
      <c r="L79" s="5">
        <f>J79*(1-K79)</f>
        <v>272.64</v>
      </c>
      <c r="M79" s="6">
        <f t="shared" si="39"/>
        <v>0.19</v>
      </c>
      <c r="N79" s="203">
        <f>L79*M79</f>
        <v>51.801600000000001</v>
      </c>
      <c r="O79" s="205">
        <f t="shared" si="33"/>
        <v>0</v>
      </c>
      <c r="P79" s="201">
        <f t="shared" si="34"/>
        <v>51.801600000000001</v>
      </c>
      <c r="Q79" s="3"/>
    </row>
    <row r="80" spans="3:17" x14ac:dyDescent="0.35">
      <c r="D80" s="184" t="s">
        <v>237</v>
      </c>
      <c r="E80" s="199"/>
      <c r="F80" s="201">
        <f t="shared" si="35"/>
        <v>327.36</v>
      </c>
      <c r="H80" s="201">
        <v>327</v>
      </c>
      <c r="I80" s="4">
        <f t="shared" si="36"/>
        <v>13.799999999999955</v>
      </c>
      <c r="J80" s="201">
        <f t="shared" si="37"/>
        <v>340.79999999999995</v>
      </c>
      <c r="K80" s="6">
        <f t="shared" si="38"/>
        <v>1</v>
      </c>
      <c r="L80" s="5">
        <f>J80*(1-K80)</f>
        <v>0</v>
      </c>
      <c r="M80" s="6">
        <f t="shared" si="39"/>
        <v>0.22</v>
      </c>
      <c r="N80" s="203">
        <f>L80*M80</f>
        <v>0</v>
      </c>
      <c r="O80" s="205">
        <f t="shared" si="33"/>
        <v>0</v>
      </c>
      <c r="P80" s="201">
        <f t="shared" si="34"/>
        <v>0</v>
      </c>
    </row>
    <row r="81" spans="3:16" x14ac:dyDescent="0.35">
      <c r="D81" s="184" t="s">
        <v>238</v>
      </c>
      <c r="E81" s="199"/>
      <c r="F81" s="201">
        <f t="shared" si="35"/>
        <v>327.36</v>
      </c>
      <c r="H81" s="201">
        <v>327</v>
      </c>
      <c r="I81" s="4">
        <f t="shared" si="36"/>
        <v>13.799999999999955</v>
      </c>
      <c r="J81" s="201">
        <f t="shared" si="37"/>
        <v>340.79999999999995</v>
      </c>
      <c r="K81" s="6">
        <f t="shared" si="38"/>
        <v>0.4</v>
      </c>
      <c r="L81" s="5">
        <f>J81*(1-K81)</f>
        <v>204.47999999999996</v>
      </c>
      <c r="M81" s="6">
        <f t="shared" si="39"/>
        <v>0.25</v>
      </c>
      <c r="N81" s="203">
        <f>L81*M81</f>
        <v>51.11999999999999</v>
      </c>
      <c r="O81" s="205">
        <f t="shared" si="33"/>
        <v>0</v>
      </c>
      <c r="P81" s="201">
        <f t="shared" si="34"/>
        <v>51.11999999999999</v>
      </c>
    </row>
    <row r="82" spans="3:16" x14ac:dyDescent="0.35">
      <c r="D82" s="184" t="s">
        <v>46</v>
      </c>
      <c r="E82" s="199"/>
      <c r="F82" s="201">
        <f t="shared" si="35"/>
        <v>327.36</v>
      </c>
      <c r="H82" s="201">
        <v>327</v>
      </c>
      <c r="I82" s="4">
        <f t="shared" si="36"/>
        <v>13.799999999999955</v>
      </c>
      <c r="J82" s="201">
        <f t="shared" si="37"/>
        <v>340.79999999999995</v>
      </c>
      <c r="K82" s="6">
        <f t="shared" si="38"/>
        <v>1</v>
      </c>
      <c r="L82" s="5">
        <f t="shared" ref="L82:L88" si="40">J82*(1-K82)</f>
        <v>0</v>
      </c>
      <c r="M82" s="6">
        <f t="shared" si="39"/>
        <v>0.22500000000000001</v>
      </c>
      <c r="N82" s="203">
        <f t="shared" ref="N82:N88" si="41">L82*M82</f>
        <v>0</v>
      </c>
      <c r="O82" s="205">
        <f t="shared" si="33"/>
        <v>0</v>
      </c>
      <c r="P82" s="201">
        <f t="shared" si="34"/>
        <v>0</v>
      </c>
    </row>
    <row r="83" spans="3:16" x14ac:dyDescent="0.35">
      <c r="D83" s="184" t="s">
        <v>163</v>
      </c>
      <c r="E83" s="199"/>
      <c r="F83" s="201">
        <f t="shared" si="35"/>
        <v>327.36</v>
      </c>
      <c r="H83" s="201">
        <v>327</v>
      </c>
      <c r="I83" s="4">
        <f t="shared" si="36"/>
        <v>13.799999999999955</v>
      </c>
      <c r="J83" s="201">
        <f t="shared" si="37"/>
        <v>340.79999999999995</v>
      </c>
      <c r="K83" s="6">
        <f t="shared" si="38"/>
        <v>1</v>
      </c>
      <c r="L83" s="5">
        <f t="shared" si="40"/>
        <v>0</v>
      </c>
      <c r="M83" s="6">
        <f t="shared" si="39"/>
        <v>0.22</v>
      </c>
      <c r="N83" s="203">
        <f t="shared" si="41"/>
        <v>0</v>
      </c>
      <c r="O83" s="205">
        <f t="shared" si="33"/>
        <v>0</v>
      </c>
      <c r="P83" s="201">
        <f t="shared" si="34"/>
        <v>0</v>
      </c>
    </row>
    <row r="84" spans="3:16" x14ac:dyDescent="0.35">
      <c r="D84" s="184" t="s">
        <v>183</v>
      </c>
      <c r="E84" s="199"/>
      <c r="F84" s="201">
        <f t="shared" si="35"/>
        <v>327.36</v>
      </c>
      <c r="H84" s="201">
        <v>327</v>
      </c>
      <c r="I84" s="4">
        <f t="shared" si="36"/>
        <v>13.799999999999955</v>
      </c>
      <c r="J84" s="201">
        <f t="shared" si="37"/>
        <v>340.79999999999995</v>
      </c>
      <c r="K84" s="6">
        <f t="shared" si="38"/>
        <v>0</v>
      </c>
      <c r="L84" s="5">
        <f t="shared" si="40"/>
        <v>340.79999999999995</v>
      </c>
      <c r="M84" s="6">
        <f t="shared" si="39"/>
        <v>0.24</v>
      </c>
      <c r="N84" s="203">
        <f t="shared" si="41"/>
        <v>81.791999999999987</v>
      </c>
      <c r="O84" s="205">
        <f t="shared" si="33"/>
        <v>0</v>
      </c>
      <c r="P84" s="201">
        <f t="shared" si="34"/>
        <v>81.791999999999987</v>
      </c>
    </row>
    <row r="85" spans="3:16" x14ac:dyDescent="0.35">
      <c r="D85" s="184" t="s">
        <v>239</v>
      </c>
      <c r="E85" s="199"/>
      <c r="F85" s="201">
        <f t="shared" si="35"/>
        <v>327.36</v>
      </c>
      <c r="H85" s="201">
        <v>327</v>
      </c>
      <c r="I85" s="4">
        <f t="shared" si="36"/>
        <v>13.799999999999955</v>
      </c>
      <c r="J85" s="201">
        <f t="shared" si="37"/>
        <v>340.79999999999995</v>
      </c>
      <c r="K85" s="6">
        <f t="shared" si="38"/>
        <v>0.25</v>
      </c>
      <c r="L85" s="5">
        <f t="shared" si="40"/>
        <v>255.59999999999997</v>
      </c>
      <c r="M85" s="6">
        <f t="shared" si="39"/>
        <v>0.19</v>
      </c>
      <c r="N85" s="203">
        <f t="shared" si="41"/>
        <v>48.563999999999993</v>
      </c>
      <c r="O85" s="205">
        <f t="shared" si="33"/>
        <v>0</v>
      </c>
      <c r="P85" s="201">
        <f t="shared" si="34"/>
        <v>48.563999999999993</v>
      </c>
    </row>
    <row r="86" spans="3:16" x14ac:dyDescent="0.35">
      <c r="D86" s="184" t="s">
        <v>36</v>
      </c>
      <c r="E86" s="199"/>
      <c r="F86" s="201">
        <f t="shared" si="35"/>
        <v>327.36</v>
      </c>
      <c r="H86" s="201">
        <v>327</v>
      </c>
      <c r="I86" s="4">
        <f t="shared" si="36"/>
        <v>13.799999999999955</v>
      </c>
      <c r="J86" s="201">
        <f t="shared" si="37"/>
        <v>340.79999999999995</v>
      </c>
      <c r="K86" s="6">
        <f t="shared" si="38"/>
        <v>0.4</v>
      </c>
      <c r="L86" s="5">
        <f t="shared" si="40"/>
        <v>204.47999999999996</v>
      </c>
      <c r="M86" s="6">
        <f t="shared" si="39"/>
        <v>0.19</v>
      </c>
      <c r="N86" s="203">
        <f t="shared" si="41"/>
        <v>38.851199999999992</v>
      </c>
      <c r="O86" s="205">
        <f t="shared" si="33"/>
        <v>0</v>
      </c>
      <c r="P86" s="201">
        <f t="shared" si="34"/>
        <v>38.851199999999992</v>
      </c>
    </row>
    <row r="87" spans="3:16" x14ac:dyDescent="0.35">
      <c r="D87" s="184" t="s">
        <v>240</v>
      </c>
      <c r="E87" s="199"/>
      <c r="F87" s="201">
        <v>0</v>
      </c>
      <c r="H87" s="201">
        <v>0</v>
      </c>
      <c r="I87" s="4">
        <f t="shared" si="36"/>
        <v>0</v>
      </c>
      <c r="J87" s="201">
        <v>0</v>
      </c>
      <c r="K87" s="6">
        <f t="shared" si="38"/>
        <v>0.5</v>
      </c>
      <c r="L87" s="5">
        <f t="shared" si="40"/>
        <v>0</v>
      </c>
      <c r="M87" s="6">
        <f t="shared" si="39"/>
        <v>0.22500000000000001</v>
      </c>
      <c r="N87" s="203">
        <f t="shared" si="41"/>
        <v>0</v>
      </c>
      <c r="O87" s="205">
        <f t="shared" si="33"/>
        <v>0</v>
      </c>
      <c r="P87" s="201">
        <f t="shared" si="34"/>
        <v>0</v>
      </c>
    </row>
    <row r="88" spans="3:16" x14ac:dyDescent="0.35">
      <c r="D88" s="184" t="s">
        <v>242</v>
      </c>
      <c r="E88" s="199"/>
      <c r="F88" s="201">
        <v>0</v>
      </c>
      <c r="H88" s="201">
        <v>0</v>
      </c>
      <c r="I88" s="4">
        <f t="shared" si="36"/>
        <v>0</v>
      </c>
      <c r="J88" s="201">
        <v>0</v>
      </c>
      <c r="K88" s="6">
        <f t="shared" si="38"/>
        <v>0</v>
      </c>
      <c r="L88" s="5">
        <f t="shared" si="40"/>
        <v>0</v>
      </c>
      <c r="M88" s="6">
        <f t="shared" si="39"/>
        <v>0.19</v>
      </c>
      <c r="N88" s="203">
        <f t="shared" si="41"/>
        <v>0</v>
      </c>
      <c r="O88" s="205">
        <f t="shared" si="33"/>
        <v>0</v>
      </c>
      <c r="P88" s="201">
        <f t="shared" si="34"/>
        <v>0</v>
      </c>
    </row>
    <row r="89" spans="3:16" x14ac:dyDescent="0.35">
      <c r="D89" s="184" t="s">
        <v>243</v>
      </c>
      <c r="E89" s="199"/>
      <c r="F89" s="201">
        <v>0</v>
      </c>
      <c r="H89" s="201">
        <v>327</v>
      </c>
      <c r="I89" s="4">
        <f t="shared" si="36"/>
        <v>13.799999999999955</v>
      </c>
      <c r="J89" s="201">
        <f t="shared" si="37"/>
        <v>340.79999999999995</v>
      </c>
      <c r="K89" s="6">
        <f t="shared" si="38"/>
        <v>0</v>
      </c>
      <c r="L89" s="5">
        <f>J89*(1-K89)</f>
        <v>340.79999999999995</v>
      </c>
      <c r="M89" s="6">
        <f t="shared" si="39"/>
        <v>0.23</v>
      </c>
      <c r="N89" s="203">
        <f>L89*M89</f>
        <v>78.383999999999986</v>
      </c>
      <c r="O89" s="205">
        <f t="shared" si="33"/>
        <v>0</v>
      </c>
      <c r="P89" s="201">
        <f t="shared" si="34"/>
        <v>78.383999999999986</v>
      </c>
    </row>
    <row r="90" spans="3:16" x14ac:dyDescent="0.35">
      <c r="D90" s="184" t="s">
        <v>35</v>
      </c>
      <c r="E90" s="199"/>
      <c r="F90" s="201">
        <f t="shared" si="35"/>
        <v>327.36</v>
      </c>
      <c r="H90" s="201">
        <v>327</v>
      </c>
      <c r="I90" s="4">
        <f t="shared" si="36"/>
        <v>13.799999999999955</v>
      </c>
      <c r="J90" s="201">
        <f t="shared" si="37"/>
        <v>340.79999999999995</v>
      </c>
      <c r="K90" s="6">
        <f t="shared" si="38"/>
        <v>0.6</v>
      </c>
      <c r="L90" s="5">
        <f>J90*(1-K90)</f>
        <v>136.32</v>
      </c>
      <c r="M90" s="6">
        <f t="shared" si="39"/>
        <v>0.24</v>
      </c>
      <c r="N90" s="203">
        <f>L90*M90</f>
        <v>32.716799999999999</v>
      </c>
      <c r="O90" s="205">
        <f t="shared" si="33"/>
        <v>0</v>
      </c>
      <c r="P90" s="201">
        <f t="shared" si="34"/>
        <v>32.716799999999999</v>
      </c>
    </row>
    <row r="91" spans="3:16" x14ac:dyDescent="0.35">
      <c r="E91" s="199"/>
      <c r="F91" s="201"/>
      <c r="G91" s="201"/>
      <c r="H91" s="201"/>
      <c r="I91" s="4"/>
      <c r="J91" s="201"/>
      <c r="K91" s="201"/>
      <c r="L91" s="201"/>
    </row>
    <row r="92" spans="3:16" x14ac:dyDescent="0.35">
      <c r="C92" s="184" t="s">
        <v>54</v>
      </c>
      <c r="E92" s="199"/>
      <c r="F92" s="201"/>
      <c r="G92" s="201"/>
      <c r="H92" s="201"/>
      <c r="I92" s="4"/>
      <c r="J92" s="201"/>
      <c r="K92" s="201"/>
      <c r="L92" s="201"/>
    </row>
    <row r="93" spans="3:16" x14ac:dyDescent="0.35">
      <c r="D93" s="184" t="s">
        <v>33</v>
      </c>
      <c r="E93" s="199"/>
      <c r="F93" s="201">
        <f>53.24*12</f>
        <v>638.88</v>
      </c>
      <c r="G93" s="201"/>
      <c r="H93" s="201">
        <f>59.2*12</f>
        <v>710.40000000000009</v>
      </c>
      <c r="I93" s="4">
        <f>J93-H93</f>
        <v>134.20981968000001</v>
      </c>
      <c r="J93" s="211">
        <f>ROUNDUP((J13+J29)*3,-3)*(0.16/1000*12)+ROUNDUP((J13+J29)*3,-3)*(0.026/1000*12)+(((J13+J29)*0.545/100/12)*12)</f>
        <v>844.6098196800001</v>
      </c>
      <c r="K93" s="6">
        <f>K77</f>
        <v>0.25</v>
      </c>
      <c r="L93" s="5">
        <f>J93*(1-K93)</f>
        <v>633.45736476000002</v>
      </c>
      <c r="M93" s="6">
        <f>M77</f>
        <v>0.19</v>
      </c>
      <c r="N93" s="203">
        <f>L93*M93</f>
        <v>120.3568993044</v>
      </c>
      <c r="P93" s="201">
        <f t="shared" ref="P93:P106" si="42">+N93+O93</f>
        <v>120.3568993044</v>
      </c>
    </row>
    <row r="94" spans="3:16" x14ac:dyDescent="0.35">
      <c r="D94" s="184" t="s">
        <v>34</v>
      </c>
      <c r="E94" s="199"/>
      <c r="F94" s="201">
        <f>48.75*12</f>
        <v>585</v>
      </c>
      <c r="G94" s="201"/>
      <c r="H94" s="201">
        <f>53.25*12</f>
        <v>639</v>
      </c>
      <c r="I94" s="4">
        <f t="shared" ref="I94:I106" si="43">J94-H94</f>
        <v>113.61392028000012</v>
      </c>
      <c r="J94" s="211">
        <f t="shared" ref="J94:J106" si="44">ROUNDUP((J14+J30)*3,-3)*(0.16/1000*12)+ROUNDUP((J14+J30)*3,-3)*(0.026/1000*12)+(((J14+J30)*0.545/100/12)*12)</f>
        <v>752.61392028000012</v>
      </c>
      <c r="K94" s="6">
        <f t="shared" ref="K94:K106" si="45">K78</f>
        <v>0.2</v>
      </c>
      <c r="L94" s="5">
        <f>J94*(1-K94)</f>
        <v>602.09113622400014</v>
      </c>
      <c r="M94" s="6">
        <f t="shared" ref="M94:M106" si="46">M78</f>
        <v>0.19</v>
      </c>
      <c r="N94" s="203">
        <f>L94*M94</f>
        <v>114.39731588256002</v>
      </c>
      <c r="P94" s="201">
        <f t="shared" si="42"/>
        <v>114.39731588256002</v>
      </c>
    </row>
    <row r="95" spans="3:16" x14ac:dyDescent="0.35">
      <c r="D95" s="184" t="s">
        <v>34</v>
      </c>
      <c r="E95" s="199"/>
      <c r="F95" s="201">
        <v>0</v>
      </c>
      <c r="G95" s="201"/>
      <c r="H95" s="201">
        <f>49.07*12</f>
        <v>588.84</v>
      </c>
      <c r="I95" s="4">
        <f t="shared" si="43"/>
        <v>123.14063190000013</v>
      </c>
      <c r="J95" s="211">
        <f t="shared" si="44"/>
        <v>711.98063190000016</v>
      </c>
      <c r="K95" s="6">
        <f t="shared" si="45"/>
        <v>0.2</v>
      </c>
      <c r="L95" s="5">
        <f>J95*(1-K95)</f>
        <v>569.58450552000011</v>
      </c>
      <c r="M95" s="6">
        <f t="shared" si="46"/>
        <v>0.19</v>
      </c>
      <c r="N95" s="203">
        <f>L95*M95</f>
        <v>108.22105604880002</v>
      </c>
      <c r="P95" s="201">
        <f t="shared" si="42"/>
        <v>108.22105604880002</v>
      </c>
    </row>
    <row r="96" spans="3:16" x14ac:dyDescent="0.35">
      <c r="D96" s="184" t="s">
        <v>237</v>
      </c>
      <c r="E96" s="199"/>
      <c r="F96" s="201">
        <f>72.27*12</f>
        <v>867.24</v>
      </c>
      <c r="G96" s="201"/>
      <c r="H96" s="201">
        <f>78.79*12</f>
        <v>945.48</v>
      </c>
      <c r="I96" s="4">
        <f t="shared" si="43"/>
        <v>133.84421592000012</v>
      </c>
      <c r="J96" s="211">
        <f t="shared" si="44"/>
        <v>1079.3242159200001</v>
      </c>
      <c r="K96" s="6">
        <f t="shared" si="45"/>
        <v>1</v>
      </c>
      <c r="L96" s="5">
        <f t="shared" ref="L96:L103" si="47">J96*(1-K96)</f>
        <v>0</v>
      </c>
      <c r="M96" s="6">
        <f t="shared" si="46"/>
        <v>0.22</v>
      </c>
      <c r="N96" s="203">
        <f t="shared" ref="N96:N103" si="48">L96*M96</f>
        <v>0</v>
      </c>
      <c r="P96" s="201">
        <f t="shared" si="42"/>
        <v>0</v>
      </c>
    </row>
    <row r="97" spans="3:17" x14ac:dyDescent="0.35">
      <c r="D97" s="184" t="s">
        <v>238</v>
      </c>
      <c r="E97" s="199"/>
      <c r="F97" s="201">
        <f>98.22*12</f>
        <v>1178.6399999999999</v>
      </c>
      <c r="G97" s="201"/>
      <c r="H97" s="201">
        <f>98.22*12</f>
        <v>1178.6399999999999</v>
      </c>
      <c r="I97" s="4">
        <f t="shared" si="43"/>
        <v>354.29075622000028</v>
      </c>
      <c r="J97" s="211">
        <f t="shared" si="44"/>
        <v>1532.9307562200001</v>
      </c>
      <c r="K97" s="6">
        <f t="shared" si="45"/>
        <v>0.4</v>
      </c>
      <c r="L97" s="5">
        <f t="shared" si="47"/>
        <v>919.75845373200002</v>
      </c>
      <c r="M97" s="6">
        <f t="shared" si="46"/>
        <v>0.25</v>
      </c>
      <c r="N97" s="203">
        <f t="shared" si="48"/>
        <v>229.93961343300001</v>
      </c>
      <c r="P97" s="201">
        <f t="shared" si="42"/>
        <v>229.93961343300001</v>
      </c>
    </row>
    <row r="98" spans="3:17" x14ac:dyDescent="0.35">
      <c r="D98" s="184" t="s">
        <v>46</v>
      </c>
      <c r="E98" s="199"/>
      <c r="F98" s="201">
        <f>47.72*12</f>
        <v>572.64</v>
      </c>
      <c r="G98" s="201"/>
      <c r="H98" s="201">
        <f>51.99*12</f>
        <v>623.88</v>
      </c>
      <c r="I98" s="4">
        <f t="shared" si="43"/>
        <v>91.828673250000065</v>
      </c>
      <c r="J98" s="211">
        <f t="shared" si="44"/>
        <v>715.70867325000006</v>
      </c>
      <c r="K98" s="6">
        <f t="shared" si="45"/>
        <v>1</v>
      </c>
      <c r="L98" s="5">
        <f t="shared" si="47"/>
        <v>0</v>
      </c>
      <c r="M98" s="6">
        <f t="shared" si="46"/>
        <v>0.22500000000000001</v>
      </c>
      <c r="N98" s="203">
        <f t="shared" si="48"/>
        <v>0</v>
      </c>
      <c r="P98" s="201">
        <f t="shared" si="42"/>
        <v>0</v>
      </c>
    </row>
    <row r="99" spans="3:17" x14ac:dyDescent="0.35">
      <c r="D99" s="184" t="s">
        <v>163</v>
      </c>
      <c r="E99" s="199"/>
      <c r="F99" s="201">
        <f>98.22*12</f>
        <v>1178.6399999999999</v>
      </c>
      <c r="G99" s="201"/>
      <c r="H99" s="201">
        <f>98.22*12</f>
        <v>1178.6399999999999</v>
      </c>
      <c r="I99" s="4">
        <f t="shared" si="43"/>
        <v>313.93120771500026</v>
      </c>
      <c r="J99" s="211">
        <f t="shared" si="44"/>
        <v>1492.5712077150001</v>
      </c>
      <c r="K99" s="6">
        <f t="shared" si="45"/>
        <v>1</v>
      </c>
      <c r="L99" s="5">
        <f t="shared" si="47"/>
        <v>0</v>
      </c>
      <c r="M99" s="6">
        <f t="shared" si="46"/>
        <v>0.22</v>
      </c>
      <c r="N99" s="203">
        <f t="shared" si="48"/>
        <v>0</v>
      </c>
      <c r="P99" s="201">
        <f t="shared" si="42"/>
        <v>0</v>
      </c>
    </row>
    <row r="100" spans="3:17" x14ac:dyDescent="0.35">
      <c r="D100" s="184" t="s">
        <v>183</v>
      </c>
      <c r="E100" s="199"/>
      <c r="F100" s="201">
        <f>55.62*12</f>
        <v>667.43999999999994</v>
      </c>
      <c r="G100" s="201"/>
      <c r="H100" s="201">
        <f>60.75*12</f>
        <v>729</v>
      </c>
      <c r="I100" s="4">
        <f t="shared" si="43"/>
        <v>120.45417526500012</v>
      </c>
      <c r="J100" s="211">
        <f t="shared" si="44"/>
        <v>849.45417526500012</v>
      </c>
      <c r="K100" s="6">
        <f t="shared" si="45"/>
        <v>0</v>
      </c>
      <c r="L100" s="5">
        <f t="shared" si="47"/>
        <v>849.45417526500012</v>
      </c>
      <c r="M100" s="6">
        <f t="shared" si="46"/>
        <v>0.24</v>
      </c>
      <c r="N100" s="203">
        <f t="shared" si="48"/>
        <v>203.86900206360002</v>
      </c>
      <c r="P100" s="201">
        <f t="shared" si="42"/>
        <v>203.86900206360002</v>
      </c>
    </row>
    <row r="101" spans="3:17" x14ac:dyDescent="0.35">
      <c r="D101" s="184" t="s">
        <v>239</v>
      </c>
      <c r="E101" s="199"/>
      <c r="F101" s="201">
        <f>98.22*12</f>
        <v>1178.6399999999999</v>
      </c>
      <c r="G101" s="201"/>
      <c r="H101" s="201">
        <f>98.22*12</f>
        <v>1178.6399999999999</v>
      </c>
      <c r="I101" s="4">
        <f t="shared" si="43"/>
        <v>333.86376915000028</v>
      </c>
      <c r="J101" s="211">
        <f t="shared" si="44"/>
        <v>1512.5037691500002</v>
      </c>
      <c r="K101" s="6">
        <f t="shared" si="45"/>
        <v>0.25</v>
      </c>
      <c r="L101" s="5">
        <f t="shared" si="47"/>
        <v>1134.3778268625001</v>
      </c>
      <c r="M101" s="6">
        <f t="shared" si="46"/>
        <v>0.19</v>
      </c>
      <c r="N101" s="203">
        <f t="shared" si="48"/>
        <v>215.53178710387502</v>
      </c>
      <c r="P101" s="201">
        <f t="shared" si="42"/>
        <v>215.53178710387502</v>
      </c>
    </row>
    <row r="102" spans="3:17" x14ac:dyDescent="0.35">
      <c r="D102" s="184" t="s">
        <v>36</v>
      </c>
      <c r="E102" s="199"/>
      <c r="F102" s="201">
        <f>98.22*12</f>
        <v>1178.6399999999999</v>
      </c>
      <c r="G102" s="201"/>
      <c r="H102" s="201">
        <f>98.22*12</f>
        <v>1178.6399999999999</v>
      </c>
      <c r="I102" s="4">
        <f t="shared" si="43"/>
        <v>1031.1690000000003</v>
      </c>
      <c r="J102" s="211">
        <f t="shared" si="44"/>
        <v>2209.8090000000002</v>
      </c>
      <c r="K102" s="6">
        <f t="shared" si="45"/>
        <v>0.4</v>
      </c>
      <c r="L102" s="5">
        <f t="shared" si="47"/>
        <v>1325.8854000000001</v>
      </c>
      <c r="M102" s="6">
        <f t="shared" si="46"/>
        <v>0.19</v>
      </c>
      <c r="N102" s="203">
        <f t="shared" si="48"/>
        <v>251.91822600000003</v>
      </c>
      <c r="P102" s="201">
        <f t="shared" si="42"/>
        <v>251.91822600000003</v>
      </c>
    </row>
    <row r="103" spans="3:17" x14ac:dyDescent="0.35">
      <c r="D103" s="184" t="s">
        <v>240</v>
      </c>
      <c r="E103" s="199"/>
      <c r="F103" s="201">
        <v>0</v>
      </c>
      <c r="G103" s="201"/>
      <c r="H103" s="201">
        <v>0</v>
      </c>
      <c r="I103" s="4">
        <f t="shared" si="43"/>
        <v>0</v>
      </c>
      <c r="J103" s="211">
        <v>0</v>
      </c>
      <c r="K103" s="6">
        <f t="shared" si="45"/>
        <v>0.5</v>
      </c>
      <c r="L103" s="5">
        <f t="shared" si="47"/>
        <v>0</v>
      </c>
      <c r="M103" s="6">
        <f t="shared" si="46"/>
        <v>0.22500000000000001</v>
      </c>
      <c r="N103" s="203">
        <f t="shared" si="48"/>
        <v>0</v>
      </c>
      <c r="P103" s="201">
        <f t="shared" si="42"/>
        <v>0</v>
      </c>
    </row>
    <row r="104" spans="3:17" x14ac:dyDescent="0.35">
      <c r="D104" s="184" t="s">
        <v>242</v>
      </c>
      <c r="E104" s="199"/>
      <c r="F104" s="201">
        <v>0</v>
      </c>
      <c r="G104" s="201"/>
      <c r="H104" s="201">
        <v>0</v>
      </c>
      <c r="I104" s="4">
        <f t="shared" si="43"/>
        <v>0</v>
      </c>
      <c r="J104" s="211">
        <v>0</v>
      </c>
      <c r="K104" s="6">
        <f t="shared" si="45"/>
        <v>0</v>
      </c>
      <c r="L104" s="5">
        <f>J104*(1-K104)</f>
        <v>0</v>
      </c>
      <c r="M104" s="6">
        <f t="shared" si="46"/>
        <v>0.19</v>
      </c>
      <c r="N104" s="203">
        <f>L104*M104</f>
        <v>0</v>
      </c>
      <c r="P104" s="201">
        <f t="shared" si="42"/>
        <v>0</v>
      </c>
    </row>
    <row r="105" spans="3:17" x14ac:dyDescent="0.35">
      <c r="D105" s="184" t="s">
        <v>243</v>
      </c>
      <c r="E105" s="199"/>
      <c r="F105" s="201">
        <f>48.37*12</f>
        <v>580.43999999999994</v>
      </c>
      <c r="G105" s="201"/>
      <c r="H105" s="201">
        <f>57.95*12</f>
        <v>695.40000000000009</v>
      </c>
      <c r="I105" s="4">
        <f t="shared" si="43"/>
        <v>101.28257519999988</v>
      </c>
      <c r="J105" s="211">
        <f t="shared" si="44"/>
        <v>796.68257519999997</v>
      </c>
      <c r="K105" s="6">
        <f t="shared" si="45"/>
        <v>0</v>
      </c>
      <c r="L105" s="5">
        <f>J105*(1-K105)</f>
        <v>796.68257519999997</v>
      </c>
      <c r="M105" s="6">
        <f t="shared" si="46"/>
        <v>0.23</v>
      </c>
      <c r="N105" s="203">
        <f>L105*M105</f>
        <v>183.23699229600001</v>
      </c>
      <c r="P105" s="201">
        <f t="shared" si="42"/>
        <v>183.23699229600001</v>
      </c>
    </row>
    <row r="106" spans="3:17" x14ac:dyDescent="0.35">
      <c r="D106" s="184" t="s">
        <v>35</v>
      </c>
      <c r="E106" s="199"/>
      <c r="F106" s="201">
        <f>62.85*12</f>
        <v>754.2</v>
      </c>
      <c r="G106" s="201"/>
      <c r="H106" s="201">
        <f>68.63*12</f>
        <v>823.56</v>
      </c>
      <c r="I106" s="4">
        <f t="shared" si="43"/>
        <v>115.66847980500029</v>
      </c>
      <c r="J106" s="211">
        <f t="shared" si="44"/>
        <v>939.22847980500023</v>
      </c>
      <c r="K106" s="6">
        <f t="shared" si="45"/>
        <v>0.6</v>
      </c>
      <c r="L106" s="5">
        <f>J106*(1-K106)</f>
        <v>375.69139192200009</v>
      </c>
      <c r="M106" s="6">
        <f t="shared" si="46"/>
        <v>0.24</v>
      </c>
      <c r="N106" s="203">
        <f>L106*M106</f>
        <v>90.165934061280012</v>
      </c>
      <c r="P106" s="201">
        <f t="shared" si="42"/>
        <v>90.165934061280012</v>
      </c>
    </row>
    <row r="107" spans="3:17" x14ac:dyDescent="0.35">
      <c r="E107" s="199"/>
      <c r="F107" s="201"/>
      <c r="G107" s="201"/>
      <c r="H107" s="201"/>
      <c r="I107" s="4"/>
      <c r="J107" s="201"/>
      <c r="K107" s="201"/>
      <c r="L107" s="201"/>
    </row>
    <row r="108" spans="3:17" x14ac:dyDescent="0.35">
      <c r="C108" s="184" t="s">
        <v>162</v>
      </c>
      <c r="E108" s="199"/>
      <c r="F108" s="201"/>
      <c r="G108" s="201"/>
      <c r="H108" s="201"/>
      <c r="I108" s="4"/>
      <c r="J108" s="201"/>
      <c r="K108" s="201"/>
      <c r="L108" s="201"/>
    </row>
    <row r="109" spans="3:17" x14ac:dyDescent="0.35">
      <c r="D109" s="184" t="s">
        <v>33</v>
      </c>
      <c r="E109" s="199"/>
      <c r="F109" s="201">
        <f t="shared" ref="F109:F119" si="49">(F13+F29)*0.0765</f>
        <v>4785.7489649999998</v>
      </c>
      <c r="G109" s="201"/>
      <c r="H109" s="201">
        <f t="shared" ref="H109:H118" si="50">(H13+H30)*0.0765</f>
        <v>4842.1065150000004</v>
      </c>
      <c r="I109" s="4">
        <f>J109-H109</f>
        <v>465.47499059999973</v>
      </c>
      <c r="J109" s="201">
        <f>(J13+J29)*0.0765</f>
        <v>5307.5815056000001</v>
      </c>
      <c r="K109" s="6">
        <f>K93</f>
        <v>0.25</v>
      </c>
      <c r="L109" s="5">
        <f t="shared" ref="L109:L122" si="51">J109*(1-K109)</f>
        <v>3980.6861292000003</v>
      </c>
      <c r="M109" s="6">
        <f>M93</f>
        <v>0.19</v>
      </c>
      <c r="N109" s="203">
        <f t="shared" ref="N109:N122" si="52">L109*M109</f>
        <v>756.33036454800003</v>
      </c>
      <c r="P109" s="201">
        <f t="shared" ref="P109:P122" si="53">+N109+O109</f>
        <v>756.33036454800003</v>
      </c>
      <c r="Q109" s="9"/>
    </row>
    <row r="110" spans="3:17" x14ac:dyDescent="0.35">
      <c r="D110" s="184" t="s">
        <v>34</v>
      </c>
      <c r="E110" s="199"/>
      <c r="F110" s="201">
        <f t="shared" si="49"/>
        <v>4331.7543599999999</v>
      </c>
      <c r="G110" s="201"/>
      <c r="H110" s="201">
        <f t="shared" si="50"/>
        <v>4232.956905</v>
      </c>
      <c r="I110" s="4">
        <f t="shared" ref="I110:I122" si="54">J110-H110</f>
        <v>503.89390259999982</v>
      </c>
      <c r="J110" s="201">
        <f t="shared" ref="J110:J120" si="55">(J14+J30)*0.0765</f>
        <v>4736.8508075999998</v>
      </c>
      <c r="K110" s="6">
        <f t="shared" ref="K110:K122" si="56">K94</f>
        <v>0.2</v>
      </c>
      <c r="L110" s="5">
        <f t="shared" si="51"/>
        <v>3789.48064608</v>
      </c>
      <c r="M110" s="6">
        <f t="shared" ref="M110:M122" si="57">M94</f>
        <v>0.19</v>
      </c>
      <c r="N110" s="203">
        <f t="shared" si="52"/>
        <v>720.00132275520002</v>
      </c>
      <c r="P110" s="201">
        <f t="shared" si="53"/>
        <v>720.00132275520002</v>
      </c>
      <c r="Q110" s="9"/>
    </row>
    <row r="111" spans="3:17" x14ac:dyDescent="0.35">
      <c r="D111" s="184" t="s">
        <v>34</v>
      </c>
      <c r="E111" s="199"/>
      <c r="F111" s="201">
        <f t="shared" si="49"/>
        <v>0</v>
      </c>
      <c r="G111" s="201"/>
      <c r="H111" s="201">
        <f t="shared" si="50"/>
        <v>4009.8240000000001</v>
      </c>
      <c r="I111" s="4">
        <f t="shared" si="54"/>
        <v>469.96872300000041</v>
      </c>
      <c r="J111" s="201">
        <f t="shared" si="55"/>
        <v>4479.7927230000005</v>
      </c>
      <c r="K111" s="6">
        <f t="shared" si="56"/>
        <v>0.2</v>
      </c>
      <c r="L111" s="5">
        <f t="shared" si="51"/>
        <v>3583.8341784000004</v>
      </c>
      <c r="M111" s="6">
        <f t="shared" si="57"/>
        <v>0.19</v>
      </c>
      <c r="N111" s="203">
        <f t="shared" si="52"/>
        <v>680.92849389600008</v>
      </c>
      <c r="P111" s="201">
        <f t="shared" si="53"/>
        <v>680.92849389600008</v>
      </c>
      <c r="Q111" s="9"/>
    </row>
    <row r="112" spans="3:17" x14ac:dyDescent="0.35">
      <c r="D112" s="184" t="s">
        <v>237</v>
      </c>
      <c r="E112" s="199"/>
      <c r="F112" s="201">
        <f t="shared" si="49"/>
        <v>5677.5400650000001</v>
      </c>
      <c r="G112" s="201"/>
      <c r="H112" s="201">
        <f t="shared" si="50"/>
        <v>6112.66824</v>
      </c>
      <c r="I112" s="4">
        <f t="shared" si="54"/>
        <v>672.39350639999975</v>
      </c>
      <c r="J112" s="201">
        <f t="shared" si="55"/>
        <v>6785.0617463999997</v>
      </c>
      <c r="K112" s="6">
        <f t="shared" si="56"/>
        <v>1</v>
      </c>
      <c r="L112" s="5">
        <f t="shared" si="51"/>
        <v>0</v>
      </c>
      <c r="M112" s="6">
        <f t="shared" si="57"/>
        <v>0.22</v>
      </c>
      <c r="N112" s="203">
        <f t="shared" si="52"/>
        <v>0</v>
      </c>
      <c r="P112" s="201">
        <f t="shared" si="53"/>
        <v>0</v>
      </c>
    </row>
    <row r="113" spans="3:17" x14ac:dyDescent="0.35">
      <c r="D113" s="184" t="s">
        <v>238</v>
      </c>
      <c r="E113" s="199"/>
      <c r="F113" s="201">
        <f t="shared" si="49"/>
        <v>8076.9694500000005</v>
      </c>
      <c r="G113" s="201"/>
      <c r="H113" s="201">
        <f t="shared" si="50"/>
        <v>8690.7618449999991</v>
      </c>
      <c r="I113" s="4">
        <f t="shared" si="54"/>
        <v>952.48785239999961</v>
      </c>
      <c r="J113" s="201">
        <f t="shared" si="55"/>
        <v>9643.2496973999987</v>
      </c>
      <c r="K113" s="6">
        <f t="shared" si="56"/>
        <v>0.4</v>
      </c>
      <c r="L113" s="5">
        <f t="shared" si="51"/>
        <v>5785.949818439999</v>
      </c>
      <c r="M113" s="6">
        <f t="shared" si="57"/>
        <v>0.25</v>
      </c>
      <c r="N113" s="203">
        <f t="shared" si="52"/>
        <v>1446.4874546099998</v>
      </c>
      <c r="P113" s="201">
        <f t="shared" si="53"/>
        <v>1446.4874546099998</v>
      </c>
    </row>
    <row r="114" spans="3:17" x14ac:dyDescent="0.35">
      <c r="D114" s="184" t="s">
        <v>46</v>
      </c>
      <c r="E114" s="199"/>
      <c r="F114" s="201">
        <f t="shared" si="49"/>
        <v>3685.6934999999999</v>
      </c>
      <c r="G114" s="201"/>
      <c r="H114" s="201">
        <f t="shared" si="50"/>
        <v>4051.6182450000001</v>
      </c>
      <c r="I114" s="4">
        <f t="shared" si="54"/>
        <v>449.17395749999969</v>
      </c>
      <c r="J114" s="201">
        <f t="shared" si="55"/>
        <v>4500.7922024999998</v>
      </c>
      <c r="K114" s="6">
        <f t="shared" si="56"/>
        <v>1</v>
      </c>
      <c r="L114" s="5">
        <f t="shared" si="51"/>
        <v>0</v>
      </c>
      <c r="M114" s="6">
        <f t="shared" si="57"/>
        <v>0.22500000000000001</v>
      </c>
      <c r="N114" s="203">
        <f t="shared" si="52"/>
        <v>0</v>
      </c>
      <c r="P114" s="201">
        <f t="shared" si="53"/>
        <v>0</v>
      </c>
    </row>
    <row r="115" spans="3:17" x14ac:dyDescent="0.35">
      <c r="D115" s="184" t="s">
        <v>163</v>
      </c>
      <c r="E115" s="199"/>
      <c r="F115" s="201">
        <f t="shared" si="49"/>
        <v>7884.3600449999994</v>
      </c>
      <c r="G115" s="201"/>
      <c r="H115" s="201">
        <f t="shared" si="50"/>
        <v>8556.2220600000001</v>
      </c>
      <c r="I115" s="4">
        <f t="shared" si="54"/>
        <v>833.8119565500001</v>
      </c>
      <c r="J115" s="201">
        <f t="shared" si="55"/>
        <v>9390.0340165500002</v>
      </c>
      <c r="K115" s="6">
        <f t="shared" si="56"/>
        <v>1</v>
      </c>
      <c r="L115" s="5">
        <f t="shared" si="51"/>
        <v>0</v>
      </c>
      <c r="M115" s="6">
        <f t="shared" si="57"/>
        <v>0.22</v>
      </c>
      <c r="N115" s="203">
        <f t="shared" si="52"/>
        <v>0</v>
      </c>
      <c r="P115" s="201">
        <f t="shared" si="53"/>
        <v>0</v>
      </c>
    </row>
    <row r="116" spans="3:17" x14ac:dyDescent="0.35">
      <c r="D116" s="184" t="s">
        <v>183</v>
      </c>
      <c r="E116" s="199"/>
      <c r="F116" s="201">
        <f t="shared" si="49"/>
        <v>4692.0020399999994</v>
      </c>
      <c r="G116" s="201"/>
      <c r="H116" s="201">
        <f t="shared" si="50"/>
        <v>4717.9080000000004</v>
      </c>
      <c r="I116" s="4">
        <f t="shared" si="54"/>
        <v>626.34235005000028</v>
      </c>
      <c r="J116" s="201">
        <f t="shared" si="55"/>
        <v>5344.2503500500006</v>
      </c>
      <c r="K116" s="6">
        <f t="shared" si="56"/>
        <v>0</v>
      </c>
      <c r="L116" s="5">
        <f t="shared" si="51"/>
        <v>5344.2503500500006</v>
      </c>
      <c r="M116" s="6">
        <f t="shared" si="57"/>
        <v>0.24</v>
      </c>
      <c r="N116" s="203">
        <f t="shared" si="52"/>
        <v>1282.620084012</v>
      </c>
      <c r="P116" s="201">
        <f t="shared" si="53"/>
        <v>1282.620084012</v>
      </c>
    </row>
    <row r="117" spans="3:17" x14ac:dyDescent="0.35">
      <c r="D117" s="184" t="s">
        <v>239</v>
      </c>
      <c r="E117" s="199"/>
      <c r="F117" s="201">
        <f t="shared" si="49"/>
        <v>7950.4109099999996</v>
      </c>
      <c r="G117" s="201"/>
      <c r="H117" s="201">
        <f t="shared" si="50"/>
        <v>8570.4250499999998</v>
      </c>
      <c r="I117" s="4">
        <f t="shared" si="54"/>
        <v>942.74675549999847</v>
      </c>
      <c r="J117" s="201">
        <f t="shared" si="55"/>
        <v>9513.1718054999983</v>
      </c>
      <c r="K117" s="6">
        <f t="shared" si="56"/>
        <v>0.25</v>
      </c>
      <c r="L117" s="5">
        <f t="shared" si="51"/>
        <v>7134.8788541249987</v>
      </c>
      <c r="M117" s="6">
        <f t="shared" si="57"/>
        <v>0.19</v>
      </c>
      <c r="N117" s="203">
        <f t="shared" si="52"/>
        <v>1355.6269822837498</v>
      </c>
      <c r="P117" s="201">
        <f t="shared" si="53"/>
        <v>1355.6269822837498</v>
      </c>
    </row>
    <row r="118" spans="3:17" x14ac:dyDescent="0.35">
      <c r="D118" s="184" t="s">
        <v>36</v>
      </c>
      <c r="E118" s="199"/>
      <c r="F118" s="201">
        <f t="shared" si="49"/>
        <v>11197.511550000001</v>
      </c>
      <c r="G118" s="201"/>
      <c r="H118" s="201">
        <f t="shared" si="50"/>
        <v>11768.680439999998</v>
      </c>
      <c r="I118" s="4">
        <f t="shared" si="54"/>
        <v>2143.6095600000008</v>
      </c>
      <c r="J118" s="201">
        <f t="shared" si="55"/>
        <v>13912.289999999999</v>
      </c>
      <c r="K118" s="6">
        <f t="shared" si="56"/>
        <v>0.4</v>
      </c>
      <c r="L118" s="5">
        <f t="shared" si="51"/>
        <v>8347.3739999999998</v>
      </c>
      <c r="M118" s="6">
        <f t="shared" si="57"/>
        <v>0.19</v>
      </c>
      <c r="N118" s="203">
        <f t="shared" si="52"/>
        <v>1586.0010600000001</v>
      </c>
      <c r="P118" s="201">
        <f t="shared" si="53"/>
        <v>1586.0010600000001</v>
      </c>
    </row>
    <row r="119" spans="3:17" x14ac:dyDescent="0.35">
      <c r="D119" s="184" t="s">
        <v>240</v>
      </c>
      <c r="E119" s="199"/>
      <c r="F119" s="201">
        <f t="shared" si="49"/>
        <v>0</v>
      </c>
      <c r="G119" s="201"/>
      <c r="H119" s="201">
        <f>(H23+H41)*0.0765</f>
        <v>0</v>
      </c>
      <c r="I119" s="4">
        <f t="shared" si="54"/>
        <v>381.88799999999998</v>
      </c>
      <c r="J119" s="201">
        <f t="shared" si="55"/>
        <v>381.88799999999998</v>
      </c>
      <c r="K119" s="6">
        <f t="shared" si="56"/>
        <v>0.5</v>
      </c>
      <c r="L119" s="5">
        <f t="shared" si="51"/>
        <v>190.94399999999999</v>
      </c>
      <c r="M119" s="6">
        <f t="shared" si="57"/>
        <v>0.22500000000000001</v>
      </c>
      <c r="N119" s="203">
        <f t="shared" si="52"/>
        <v>42.962399999999995</v>
      </c>
      <c r="P119" s="201">
        <f t="shared" si="53"/>
        <v>42.962399999999995</v>
      </c>
    </row>
    <row r="120" spans="3:17" x14ac:dyDescent="0.35">
      <c r="D120" s="184" t="s">
        <v>242</v>
      </c>
      <c r="E120" s="199"/>
      <c r="F120" s="201">
        <v>0</v>
      </c>
      <c r="G120" s="201"/>
      <c r="H120" s="201">
        <v>0</v>
      </c>
      <c r="I120" s="4">
        <f>J120-H120</f>
        <v>397.8</v>
      </c>
      <c r="J120" s="201">
        <f t="shared" si="55"/>
        <v>397.8</v>
      </c>
      <c r="K120" s="6">
        <f t="shared" si="56"/>
        <v>0</v>
      </c>
      <c r="L120" s="5">
        <f t="shared" si="51"/>
        <v>397.8</v>
      </c>
      <c r="M120" s="6">
        <f t="shared" si="57"/>
        <v>0.19</v>
      </c>
      <c r="N120" s="203">
        <f t="shared" si="52"/>
        <v>75.582000000000008</v>
      </c>
      <c r="P120" s="201">
        <f t="shared" si="53"/>
        <v>75.582000000000008</v>
      </c>
    </row>
    <row r="121" spans="3:17" x14ac:dyDescent="0.35">
      <c r="D121" s="184" t="s">
        <v>243</v>
      </c>
      <c r="E121" s="199"/>
      <c r="F121" s="201">
        <f>(F25+F41)*0.0765</f>
        <v>4861.011195</v>
      </c>
      <c r="G121" s="201"/>
      <c r="H121" s="201">
        <f>(H25+H42)*0.0765</f>
        <v>4514.2343999999994</v>
      </c>
      <c r="I121" s="4">
        <f t="shared" si="54"/>
        <v>496.56578400000035</v>
      </c>
      <c r="J121" s="201">
        <f>(J25+J41)*0.0765</f>
        <v>5010.8001839999997</v>
      </c>
      <c r="K121" s="6">
        <f t="shared" si="56"/>
        <v>0</v>
      </c>
      <c r="L121" s="5">
        <f t="shared" si="51"/>
        <v>5010.8001839999997</v>
      </c>
      <c r="M121" s="6">
        <f t="shared" si="57"/>
        <v>0.23</v>
      </c>
      <c r="N121" s="203">
        <f t="shared" si="52"/>
        <v>1152.4840423200001</v>
      </c>
      <c r="P121" s="201">
        <f t="shared" si="53"/>
        <v>1152.4840423200001</v>
      </c>
    </row>
    <row r="122" spans="3:17" x14ac:dyDescent="0.35">
      <c r="D122" s="184" t="s">
        <v>35</v>
      </c>
      <c r="E122" s="199"/>
      <c r="F122" s="201">
        <f>(F26+F42)*0.0765</f>
        <v>4929.7663350000003</v>
      </c>
      <c r="G122" s="201"/>
      <c r="H122" s="201">
        <f>(H26+H43)*0.0765</f>
        <v>5328.9433349999999</v>
      </c>
      <c r="I122" s="4">
        <f t="shared" si="54"/>
        <v>586.18376685000021</v>
      </c>
      <c r="J122" s="201">
        <f>(J26+J42)*0.0765</f>
        <v>5915.1271018500001</v>
      </c>
      <c r="K122" s="6">
        <f t="shared" si="56"/>
        <v>0.6</v>
      </c>
      <c r="L122" s="5">
        <f t="shared" si="51"/>
        <v>2366.0508407400002</v>
      </c>
      <c r="M122" s="6">
        <f t="shared" si="57"/>
        <v>0.24</v>
      </c>
      <c r="N122" s="203">
        <f t="shared" si="52"/>
        <v>567.85220177760004</v>
      </c>
      <c r="P122" s="201">
        <f t="shared" si="53"/>
        <v>567.85220177760004</v>
      </c>
    </row>
    <row r="123" spans="3:17" x14ac:dyDescent="0.35">
      <c r="E123" s="199"/>
      <c r="F123" s="201"/>
      <c r="G123" s="201"/>
      <c r="H123" s="201"/>
      <c r="I123" s="4"/>
      <c r="J123" s="201"/>
      <c r="K123" s="212"/>
      <c r="L123" s="5"/>
      <c r="M123" s="212"/>
      <c r="N123" s="203"/>
    </row>
    <row r="124" spans="3:17" x14ac:dyDescent="0.35">
      <c r="C124" s="184" t="s">
        <v>244</v>
      </c>
      <c r="E124" s="199"/>
      <c r="F124" s="201"/>
      <c r="G124" s="201"/>
      <c r="H124" s="201"/>
      <c r="I124" s="4"/>
      <c r="J124" s="201"/>
      <c r="K124" s="201"/>
      <c r="L124" s="201"/>
    </row>
    <row r="125" spans="3:17" x14ac:dyDescent="0.35">
      <c r="D125" s="184" t="s">
        <v>33</v>
      </c>
      <c r="E125" s="199"/>
      <c r="F125" s="201">
        <v>2064</v>
      </c>
      <c r="G125" s="201"/>
      <c r="H125" s="201">
        <v>2064</v>
      </c>
      <c r="I125" s="4">
        <f>J125-H125</f>
        <v>636</v>
      </c>
      <c r="J125" s="201">
        <f>225*12</f>
        <v>2700</v>
      </c>
      <c r="K125" s="6">
        <f>K109</f>
        <v>0.25</v>
      </c>
      <c r="L125" s="5">
        <f>J125*(1-K125)</f>
        <v>2025</v>
      </c>
      <c r="M125" s="6">
        <f>M109</f>
        <v>0.19</v>
      </c>
      <c r="N125" s="203">
        <f>L125*M125</f>
        <v>384.75</v>
      </c>
      <c r="P125" s="201">
        <f t="shared" ref="P125:P138" si="58">+N125+O125</f>
        <v>384.75</v>
      </c>
      <c r="Q125" s="10"/>
    </row>
    <row r="126" spans="3:17" x14ac:dyDescent="0.35">
      <c r="D126" s="184" t="s">
        <v>34</v>
      </c>
      <c r="E126" s="199"/>
      <c r="F126" s="201">
        <v>2064</v>
      </c>
      <c r="G126" s="201"/>
      <c r="H126" s="201">
        <v>2064</v>
      </c>
      <c r="I126" s="4">
        <f t="shared" ref="I126:I138" si="59">J126-H126</f>
        <v>636</v>
      </c>
      <c r="J126" s="201">
        <f t="shared" ref="J126:J134" si="60">225*12</f>
        <v>2700</v>
      </c>
      <c r="K126" s="6">
        <f t="shared" ref="K126:K138" si="61">K110</f>
        <v>0.2</v>
      </c>
      <c r="L126" s="5">
        <f t="shared" ref="L126:L135" si="62">J126*(1-K126)</f>
        <v>2160</v>
      </c>
      <c r="M126" s="6">
        <f t="shared" ref="M126:M138" si="63">M110</f>
        <v>0.19</v>
      </c>
      <c r="N126" s="203">
        <f t="shared" ref="N126:N135" si="64">L126*M126</f>
        <v>410.4</v>
      </c>
      <c r="P126" s="201">
        <f t="shared" si="58"/>
        <v>410.4</v>
      </c>
      <c r="Q126" s="10"/>
    </row>
    <row r="127" spans="3:17" x14ac:dyDescent="0.35">
      <c r="D127" s="184" t="s">
        <v>34</v>
      </c>
      <c r="E127" s="199"/>
      <c r="F127" s="201">
        <v>2064</v>
      </c>
      <c r="G127" s="201"/>
      <c r="H127" s="201">
        <v>2064</v>
      </c>
      <c r="I127" s="4">
        <f t="shared" si="59"/>
        <v>636</v>
      </c>
      <c r="J127" s="201">
        <f t="shared" si="60"/>
        <v>2700</v>
      </c>
      <c r="K127" s="6">
        <f t="shared" si="61"/>
        <v>0.2</v>
      </c>
      <c r="L127" s="5">
        <f t="shared" si="62"/>
        <v>2160</v>
      </c>
      <c r="M127" s="6">
        <f t="shared" si="63"/>
        <v>0.19</v>
      </c>
      <c r="N127" s="203">
        <f t="shared" si="64"/>
        <v>410.4</v>
      </c>
      <c r="P127" s="201">
        <f t="shared" si="58"/>
        <v>410.4</v>
      </c>
      <c r="Q127" s="10"/>
    </row>
    <row r="128" spans="3:17" x14ac:dyDescent="0.35">
      <c r="D128" s="184" t="s">
        <v>237</v>
      </c>
      <c r="E128" s="199"/>
      <c r="F128" s="201">
        <v>2064</v>
      </c>
      <c r="G128" s="201"/>
      <c r="H128" s="201">
        <v>2064</v>
      </c>
      <c r="I128" s="4">
        <f t="shared" si="59"/>
        <v>636</v>
      </c>
      <c r="J128" s="201">
        <f t="shared" si="60"/>
        <v>2700</v>
      </c>
      <c r="K128" s="6">
        <f t="shared" si="61"/>
        <v>1</v>
      </c>
      <c r="L128" s="5">
        <f t="shared" si="62"/>
        <v>0</v>
      </c>
      <c r="M128" s="6">
        <f t="shared" si="63"/>
        <v>0.22</v>
      </c>
      <c r="N128" s="203">
        <f t="shared" si="64"/>
        <v>0</v>
      </c>
      <c r="P128" s="201">
        <f t="shared" si="58"/>
        <v>0</v>
      </c>
    </row>
    <row r="129" spans="3:31" x14ac:dyDescent="0.35">
      <c r="D129" s="184" t="s">
        <v>238</v>
      </c>
      <c r="E129" s="199"/>
      <c r="F129" s="201">
        <v>2064</v>
      </c>
      <c r="G129" s="201"/>
      <c r="H129" s="201">
        <v>2064</v>
      </c>
      <c r="I129" s="4">
        <f t="shared" si="59"/>
        <v>636</v>
      </c>
      <c r="J129" s="201">
        <f t="shared" si="60"/>
        <v>2700</v>
      </c>
      <c r="K129" s="6">
        <f t="shared" si="61"/>
        <v>0.4</v>
      </c>
      <c r="L129" s="5">
        <f t="shared" si="62"/>
        <v>1620</v>
      </c>
      <c r="M129" s="6">
        <f t="shared" si="63"/>
        <v>0.25</v>
      </c>
      <c r="N129" s="203">
        <f t="shared" si="64"/>
        <v>405</v>
      </c>
      <c r="P129" s="201">
        <f t="shared" si="58"/>
        <v>405</v>
      </c>
    </row>
    <row r="130" spans="3:31" x14ac:dyDescent="0.35">
      <c r="D130" s="184" t="s">
        <v>46</v>
      </c>
      <c r="E130" s="199"/>
      <c r="F130" s="201">
        <v>2064</v>
      </c>
      <c r="G130" s="201"/>
      <c r="H130" s="201">
        <v>2064</v>
      </c>
      <c r="I130" s="4">
        <f t="shared" si="59"/>
        <v>636</v>
      </c>
      <c r="J130" s="201">
        <f t="shared" si="60"/>
        <v>2700</v>
      </c>
      <c r="K130" s="6">
        <f t="shared" si="61"/>
        <v>1</v>
      </c>
      <c r="L130" s="5">
        <f t="shared" si="62"/>
        <v>0</v>
      </c>
      <c r="M130" s="6">
        <f t="shared" si="63"/>
        <v>0.22500000000000001</v>
      </c>
      <c r="N130" s="203">
        <f t="shared" si="64"/>
        <v>0</v>
      </c>
      <c r="P130" s="201">
        <f t="shared" si="58"/>
        <v>0</v>
      </c>
    </row>
    <row r="131" spans="3:31" x14ac:dyDescent="0.35">
      <c r="D131" s="184" t="s">
        <v>163</v>
      </c>
      <c r="E131" s="199"/>
      <c r="F131" s="201">
        <v>2064</v>
      </c>
      <c r="G131" s="201"/>
      <c r="H131" s="201">
        <v>2064</v>
      </c>
      <c r="I131" s="4">
        <f t="shared" si="59"/>
        <v>636</v>
      </c>
      <c r="J131" s="201">
        <f t="shared" si="60"/>
        <v>2700</v>
      </c>
      <c r="K131" s="6">
        <f t="shared" si="61"/>
        <v>1</v>
      </c>
      <c r="L131" s="5">
        <f t="shared" si="62"/>
        <v>0</v>
      </c>
      <c r="M131" s="6">
        <f t="shared" si="63"/>
        <v>0.22</v>
      </c>
      <c r="N131" s="203">
        <f t="shared" si="64"/>
        <v>0</v>
      </c>
      <c r="P131" s="201">
        <f t="shared" si="58"/>
        <v>0</v>
      </c>
    </row>
    <row r="132" spans="3:31" x14ac:dyDescent="0.35">
      <c r="D132" s="184" t="s">
        <v>183</v>
      </c>
      <c r="E132" s="199"/>
      <c r="F132" s="201">
        <v>2064</v>
      </c>
      <c r="G132" s="201"/>
      <c r="H132" s="201">
        <v>2064</v>
      </c>
      <c r="I132" s="4">
        <f t="shared" si="59"/>
        <v>636</v>
      </c>
      <c r="J132" s="201">
        <f t="shared" si="60"/>
        <v>2700</v>
      </c>
      <c r="K132" s="6">
        <f t="shared" si="61"/>
        <v>0</v>
      </c>
      <c r="L132" s="5">
        <f t="shared" si="62"/>
        <v>2700</v>
      </c>
      <c r="M132" s="6">
        <f t="shared" si="63"/>
        <v>0.24</v>
      </c>
      <c r="N132" s="203">
        <f t="shared" si="64"/>
        <v>648</v>
      </c>
      <c r="P132" s="201">
        <f t="shared" si="58"/>
        <v>648</v>
      </c>
    </row>
    <row r="133" spans="3:31" x14ac:dyDescent="0.35">
      <c r="D133" s="184" t="s">
        <v>239</v>
      </c>
      <c r="E133" s="199"/>
      <c r="F133" s="201">
        <v>2064</v>
      </c>
      <c r="G133" s="201"/>
      <c r="H133" s="201">
        <v>2064</v>
      </c>
      <c r="I133" s="4">
        <f t="shared" si="59"/>
        <v>636</v>
      </c>
      <c r="J133" s="201">
        <f t="shared" si="60"/>
        <v>2700</v>
      </c>
      <c r="K133" s="6">
        <f t="shared" si="61"/>
        <v>0.25</v>
      </c>
      <c r="L133" s="5">
        <f t="shared" si="62"/>
        <v>2025</v>
      </c>
      <c r="M133" s="6">
        <f t="shared" si="63"/>
        <v>0.19</v>
      </c>
      <c r="N133" s="203">
        <f t="shared" si="64"/>
        <v>384.75</v>
      </c>
      <c r="P133" s="201">
        <f t="shared" si="58"/>
        <v>384.75</v>
      </c>
    </row>
    <row r="134" spans="3:31" x14ac:dyDescent="0.35">
      <c r="D134" s="184" t="s">
        <v>36</v>
      </c>
      <c r="E134" s="199"/>
      <c r="F134" s="201">
        <v>2064</v>
      </c>
      <c r="G134" s="201"/>
      <c r="H134" s="201">
        <v>2064</v>
      </c>
      <c r="I134" s="4">
        <f t="shared" si="59"/>
        <v>636</v>
      </c>
      <c r="J134" s="201">
        <f t="shared" si="60"/>
        <v>2700</v>
      </c>
      <c r="K134" s="6">
        <f t="shared" si="61"/>
        <v>0.4</v>
      </c>
      <c r="L134" s="5">
        <f t="shared" si="62"/>
        <v>1620</v>
      </c>
      <c r="M134" s="6">
        <f t="shared" si="63"/>
        <v>0.19</v>
      </c>
      <c r="N134" s="203">
        <f t="shared" si="64"/>
        <v>307.8</v>
      </c>
      <c r="P134" s="201">
        <f t="shared" si="58"/>
        <v>307.8</v>
      </c>
    </row>
    <row r="135" spans="3:31" x14ac:dyDescent="0.35">
      <c r="D135" s="184" t="s">
        <v>240</v>
      </c>
      <c r="E135" s="199"/>
      <c r="F135" s="201">
        <v>0</v>
      </c>
      <c r="G135" s="201"/>
      <c r="H135" s="201">
        <v>0</v>
      </c>
      <c r="I135" s="4">
        <v>0</v>
      </c>
      <c r="J135" s="201">
        <v>0</v>
      </c>
      <c r="K135" s="6">
        <f t="shared" si="61"/>
        <v>0.5</v>
      </c>
      <c r="L135" s="5">
        <f t="shared" si="62"/>
        <v>0</v>
      </c>
      <c r="M135" s="6">
        <f t="shared" si="63"/>
        <v>0.22500000000000001</v>
      </c>
      <c r="N135" s="203">
        <f t="shared" si="64"/>
        <v>0</v>
      </c>
      <c r="P135" s="201">
        <f t="shared" si="58"/>
        <v>0</v>
      </c>
    </row>
    <row r="136" spans="3:31" x14ac:dyDescent="0.35">
      <c r="D136" s="184" t="s">
        <v>242</v>
      </c>
      <c r="E136" s="199"/>
      <c r="F136" s="201">
        <v>0</v>
      </c>
      <c r="G136" s="201"/>
      <c r="H136" s="201">
        <v>0</v>
      </c>
      <c r="I136" s="4">
        <v>0</v>
      </c>
      <c r="J136" s="201">
        <v>0</v>
      </c>
      <c r="K136" s="6">
        <f t="shared" si="61"/>
        <v>0</v>
      </c>
      <c r="L136" s="5">
        <f>J136*(1-K136)</f>
        <v>0</v>
      </c>
      <c r="M136" s="6">
        <f t="shared" si="63"/>
        <v>0.19</v>
      </c>
      <c r="N136" s="203">
        <f>L136*M136</f>
        <v>0</v>
      </c>
      <c r="P136" s="201">
        <f t="shared" si="58"/>
        <v>0</v>
      </c>
    </row>
    <row r="137" spans="3:31" x14ac:dyDescent="0.35">
      <c r="D137" s="184" t="s">
        <v>243</v>
      </c>
      <c r="E137" s="199"/>
      <c r="F137" s="201">
        <v>2064</v>
      </c>
      <c r="G137" s="201"/>
      <c r="H137" s="201">
        <v>2064</v>
      </c>
      <c r="I137" s="4">
        <f t="shared" si="59"/>
        <v>636</v>
      </c>
      <c r="J137" s="201">
        <v>2700</v>
      </c>
      <c r="K137" s="6">
        <f t="shared" si="61"/>
        <v>0</v>
      </c>
      <c r="L137" s="5">
        <f>J137*(1-K137)</f>
        <v>2700</v>
      </c>
      <c r="M137" s="6">
        <f t="shared" si="63"/>
        <v>0.23</v>
      </c>
      <c r="N137" s="203">
        <f>L137*M137</f>
        <v>621</v>
      </c>
      <c r="P137" s="201">
        <f t="shared" si="58"/>
        <v>621</v>
      </c>
      <c r="S137" s="213"/>
      <c r="T137" s="183"/>
      <c r="U137" s="183"/>
      <c r="V137" s="183"/>
      <c r="W137" s="183"/>
      <c r="X137" s="183"/>
      <c r="Y137" s="183"/>
      <c r="Z137" s="183"/>
      <c r="AA137" s="183"/>
      <c r="AB137" s="183"/>
      <c r="AC137" s="183"/>
      <c r="AD137" s="183"/>
      <c r="AE137" s="183"/>
    </row>
    <row r="138" spans="3:31" x14ac:dyDescent="0.35">
      <c r="D138" s="184" t="s">
        <v>35</v>
      </c>
      <c r="E138" s="199"/>
      <c r="F138" s="201">
        <v>2064</v>
      </c>
      <c r="G138" s="201"/>
      <c r="H138" s="201">
        <v>2064</v>
      </c>
      <c r="I138" s="4">
        <f t="shared" si="59"/>
        <v>636</v>
      </c>
      <c r="J138" s="201">
        <v>2700</v>
      </c>
      <c r="K138" s="6">
        <f t="shared" si="61"/>
        <v>0.6</v>
      </c>
      <c r="L138" s="5">
        <f>J138*(1-K138)</f>
        <v>1080</v>
      </c>
      <c r="M138" s="6">
        <f t="shared" si="63"/>
        <v>0.24</v>
      </c>
      <c r="N138" s="203">
        <f>L138*M138</f>
        <v>259.2</v>
      </c>
      <c r="P138" s="201">
        <f t="shared" si="58"/>
        <v>259.2</v>
      </c>
      <c r="S138" s="214"/>
    </row>
    <row r="139" spans="3:31" x14ac:dyDescent="0.35">
      <c r="E139" s="199"/>
      <c r="F139" s="201"/>
      <c r="G139" s="201"/>
      <c r="H139" s="201"/>
      <c r="I139" s="4"/>
      <c r="J139" s="201"/>
      <c r="K139" s="201"/>
      <c r="L139" s="201"/>
    </row>
    <row r="140" spans="3:31" x14ac:dyDescent="0.35">
      <c r="C140" s="184" t="s">
        <v>164</v>
      </c>
      <c r="E140" s="199"/>
      <c r="F140" s="201"/>
      <c r="G140" s="201"/>
      <c r="H140" s="201"/>
      <c r="I140" s="4"/>
      <c r="J140" s="201"/>
      <c r="K140" s="201"/>
      <c r="L140" s="201"/>
    </row>
    <row r="141" spans="3:31" x14ac:dyDescent="0.35">
      <c r="D141" s="184" t="s">
        <v>33</v>
      </c>
      <c r="E141" s="199"/>
      <c r="F141" s="201">
        <f t="shared" ref="F141:F151" si="65">(F13+F29)*0.2695/2+(F13+F29)*0.2406/2</f>
        <v>15955.6244905</v>
      </c>
      <c r="G141" s="201"/>
      <c r="H141" s="201">
        <f>(H13+H29)*0.2695/2+(H13+H29)*0.2679/2</f>
        <v>16794.996768000005</v>
      </c>
      <c r="I141" s="4">
        <f>J141-H141</f>
        <v>2905.4969380799957</v>
      </c>
      <c r="J141" s="201">
        <f>(J13+J29)*0.2679/2+(J13+J29)*0.3/2</f>
        <v>19700.49370608</v>
      </c>
      <c r="K141" s="6">
        <f>K125</f>
        <v>0.25</v>
      </c>
      <c r="L141" s="5">
        <f>J141*(1-K141)</f>
        <v>14775.37027956</v>
      </c>
      <c r="M141" s="6">
        <f>M125</f>
        <v>0.19</v>
      </c>
      <c r="N141" s="203">
        <f>L141*M141</f>
        <v>2807.3203531163999</v>
      </c>
      <c r="P141" s="201">
        <f t="shared" ref="P141:P154" si="66">+N141+O141</f>
        <v>2807.3203531163999</v>
      </c>
      <c r="Q141" s="10"/>
    </row>
    <row r="142" spans="3:31" x14ac:dyDescent="0.35">
      <c r="D142" s="184" t="s">
        <v>34</v>
      </c>
      <c r="E142" s="199"/>
      <c r="F142" s="201">
        <f t="shared" si="65"/>
        <v>14442.012412</v>
      </c>
      <c r="G142" s="201"/>
      <c r="H142" s="201">
        <f t="shared" ref="H142:H150" si="67">(H14+H30)*0.2695/2+(H14+H30)*0.2679/2</f>
        <v>14989.010328000002</v>
      </c>
      <c r="I142" s="4">
        <f t="shared" ref="I142:I154" si="68">J142-H142</f>
        <v>2593.0653166799984</v>
      </c>
      <c r="J142" s="201">
        <f t="shared" ref="J142:J150" si="69">(J14+J30)*0.2679/2+(J14+J30)*0.3/2</f>
        <v>17582.075644680001</v>
      </c>
      <c r="K142" s="6">
        <f t="shared" ref="K142:K154" si="70">K126</f>
        <v>0.2</v>
      </c>
      <c r="L142" s="5">
        <f t="shared" ref="L142:L154" si="71">J142*(1-K142)</f>
        <v>14065.660515744001</v>
      </c>
      <c r="M142" s="6">
        <f t="shared" ref="M142:M154" si="72">M126</f>
        <v>0.19</v>
      </c>
      <c r="N142" s="203">
        <f t="shared" ref="N142:N154" si="73">L142*M142</f>
        <v>2672.47549799136</v>
      </c>
      <c r="P142" s="201">
        <f t="shared" si="66"/>
        <v>2672.47549799136</v>
      </c>
      <c r="Q142" s="10"/>
    </row>
    <row r="143" spans="3:31" x14ac:dyDescent="0.35">
      <c r="D143" s="184" t="s">
        <v>34</v>
      </c>
      <c r="E143" s="199"/>
      <c r="F143" s="201">
        <f t="shared" si="65"/>
        <v>0</v>
      </c>
      <c r="G143" s="201"/>
      <c r="H143" s="201">
        <f t="shared" si="67"/>
        <v>14175.590940000002</v>
      </c>
      <c r="I143" s="4">
        <f t="shared" si="68"/>
        <v>2452.3455789</v>
      </c>
      <c r="J143" s="201">
        <f t="shared" si="69"/>
        <v>16627.936518900002</v>
      </c>
      <c r="K143" s="6">
        <f t="shared" si="70"/>
        <v>0.2</v>
      </c>
      <c r="L143" s="5">
        <f t="shared" si="71"/>
        <v>13302.349215120003</v>
      </c>
      <c r="M143" s="6">
        <f t="shared" si="72"/>
        <v>0.19</v>
      </c>
      <c r="N143" s="203">
        <f t="shared" si="73"/>
        <v>2527.4463508728004</v>
      </c>
      <c r="P143" s="201">
        <f t="shared" si="66"/>
        <v>2527.4463508728004</v>
      </c>
      <c r="Q143" s="10"/>
    </row>
    <row r="144" spans="3:31" x14ac:dyDescent="0.35">
      <c r="D144" s="184" t="s">
        <v>237</v>
      </c>
      <c r="E144" s="199"/>
      <c r="F144" s="201">
        <f t="shared" si="65"/>
        <v>18928.844360499999</v>
      </c>
      <c r="G144" s="201"/>
      <c r="H144" s="201">
        <f t="shared" si="67"/>
        <v>21470.247792000002</v>
      </c>
      <c r="I144" s="4">
        <f t="shared" si="68"/>
        <v>3714.3049255199985</v>
      </c>
      <c r="J144" s="201">
        <f t="shared" si="69"/>
        <v>25184.55271752</v>
      </c>
      <c r="K144" s="6">
        <f t="shared" si="70"/>
        <v>1</v>
      </c>
      <c r="L144" s="5">
        <f t="shared" si="71"/>
        <v>0</v>
      </c>
      <c r="M144" s="6">
        <f t="shared" si="72"/>
        <v>0.22</v>
      </c>
      <c r="N144" s="203">
        <f t="shared" si="73"/>
        <v>0</v>
      </c>
      <c r="P144" s="201">
        <f t="shared" si="66"/>
        <v>0</v>
      </c>
    </row>
    <row r="145" spans="2:31" x14ac:dyDescent="0.35">
      <c r="D145" s="184" t="s">
        <v>238</v>
      </c>
      <c r="E145" s="199"/>
      <c r="F145" s="201">
        <f t="shared" si="65"/>
        <v>26928.510565000004</v>
      </c>
      <c r="G145" s="201"/>
      <c r="H145" s="201">
        <f t="shared" si="67"/>
        <v>30514.528572000003</v>
      </c>
      <c r="I145" s="4">
        <f t="shared" si="68"/>
        <v>5278.9453048199939</v>
      </c>
      <c r="J145" s="201">
        <f t="shared" si="69"/>
        <v>35793.473876819997</v>
      </c>
      <c r="K145" s="6">
        <f t="shared" si="70"/>
        <v>0.4</v>
      </c>
      <c r="L145" s="5">
        <f t="shared" si="71"/>
        <v>21476.084326091997</v>
      </c>
      <c r="M145" s="6">
        <f t="shared" si="72"/>
        <v>0.25</v>
      </c>
      <c r="N145" s="203">
        <f t="shared" si="73"/>
        <v>5369.0210815229993</v>
      </c>
      <c r="P145" s="201">
        <f t="shared" si="66"/>
        <v>5369.0210815229993</v>
      </c>
    </row>
    <row r="146" spans="2:31" x14ac:dyDescent="0.35">
      <c r="D146" s="184" t="s">
        <v>46</v>
      </c>
      <c r="E146" s="199"/>
      <c r="F146" s="201">
        <f t="shared" si="65"/>
        <v>12288.053950000001</v>
      </c>
      <c r="G146" s="201"/>
      <c r="H146" s="201">
        <f t="shared" si="67"/>
        <v>14242.04045</v>
      </c>
      <c r="I146" s="4">
        <f t="shared" si="68"/>
        <v>2463.8411957499993</v>
      </c>
      <c r="J146" s="201">
        <f t="shared" si="69"/>
        <v>16705.88164575</v>
      </c>
      <c r="K146" s="6">
        <f t="shared" si="70"/>
        <v>1</v>
      </c>
      <c r="L146" s="5">
        <f t="shared" si="71"/>
        <v>0</v>
      </c>
      <c r="M146" s="6">
        <f t="shared" si="72"/>
        <v>0.22500000000000001</v>
      </c>
      <c r="N146" s="203">
        <f t="shared" si="73"/>
        <v>0</v>
      </c>
      <c r="P146" s="201">
        <f t="shared" si="66"/>
        <v>0</v>
      </c>
    </row>
    <row r="147" spans="2:31" x14ac:dyDescent="0.35">
      <c r="D147" s="184" t="s">
        <v>163</v>
      </c>
      <c r="E147" s="199"/>
      <c r="F147" s="201">
        <f t="shared" si="65"/>
        <v>26286.353326500001</v>
      </c>
      <c r="G147" s="201"/>
      <c r="H147" s="201">
        <f t="shared" si="67"/>
        <v>29713.267859000003</v>
      </c>
      <c r="I147" s="4">
        <f t="shared" si="68"/>
        <v>5140.3289906649989</v>
      </c>
      <c r="J147" s="201">
        <f t="shared" si="69"/>
        <v>34853.596849665002</v>
      </c>
      <c r="K147" s="6">
        <f t="shared" si="70"/>
        <v>1</v>
      </c>
      <c r="L147" s="5">
        <f t="shared" si="71"/>
        <v>0</v>
      </c>
      <c r="M147" s="6">
        <f t="shared" si="72"/>
        <v>0.22</v>
      </c>
      <c r="N147" s="203">
        <f t="shared" si="73"/>
        <v>0</v>
      </c>
      <c r="P147" s="201">
        <f t="shared" si="66"/>
        <v>0</v>
      </c>
    </row>
    <row r="148" spans="2:31" x14ac:dyDescent="0.35">
      <c r="D148" s="184" t="s">
        <v>183</v>
      </c>
      <c r="E148" s="199"/>
      <c r="F148" s="201">
        <f t="shared" si="65"/>
        <v>15643.073467999999</v>
      </c>
      <c r="G148" s="201"/>
      <c r="H148" s="201">
        <f t="shared" si="67"/>
        <v>16911.029489</v>
      </c>
      <c r="I148" s="4">
        <f t="shared" si="68"/>
        <v>2925.5703397149991</v>
      </c>
      <c r="J148" s="201">
        <f t="shared" si="69"/>
        <v>19836.599828715</v>
      </c>
      <c r="K148" s="6">
        <f t="shared" si="70"/>
        <v>0</v>
      </c>
      <c r="L148" s="5">
        <f t="shared" si="71"/>
        <v>19836.599828715</v>
      </c>
      <c r="M148" s="6">
        <f t="shared" si="72"/>
        <v>0.24</v>
      </c>
      <c r="N148" s="203">
        <f t="shared" si="73"/>
        <v>4760.7839588915995</v>
      </c>
      <c r="P148" s="201">
        <f t="shared" si="66"/>
        <v>4760.7839588915995</v>
      </c>
    </row>
    <row r="149" spans="2:31" x14ac:dyDescent="0.35">
      <c r="D149" s="184" t="s">
        <v>239</v>
      </c>
      <c r="E149" s="199"/>
      <c r="F149" s="201">
        <f t="shared" si="65"/>
        <v>26506.566047</v>
      </c>
      <c r="G149" s="201"/>
      <c r="H149" s="201">
        <f t="shared" si="67"/>
        <v>30102.91779</v>
      </c>
      <c r="I149" s="4">
        <f t="shared" si="68"/>
        <v>5207.7375586499984</v>
      </c>
      <c r="J149" s="201">
        <f t="shared" si="69"/>
        <v>35310.655348649998</v>
      </c>
      <c r="K149" s="6">
        <f t="shared" si="70"/>
        <v>0.25</v>
      </c>
      <c r="L149" s="5">
        <f t="shared" si="71"/>
        <v>26482.991511487497</v>
      </c>
      <c r="M149" s="6">
        <f t="shared" si="72"/>
        <v>0.19</v>
      </c>
      <c r="N149" s="203">
        <f t="shared" si="73"/>
        <v>5031.7683871826248</v>
      </c>
      <c r="P149" s="201">
        <f t="shared" si="66"/>
        <v>5031.7683871826248</v>
      </c>
    </row>
    <row r="150" spans="2:31" x14ac:dyDescent="0.35">
      <c r="D150" s="184" t="s">
        <v>36</v>
      </c>
      <c r="E150" s="199"/>
      <c r="F150" s="201">
        <f t="shared" si="65"/>
        <v>37332.357135000006</v>
      </c>
      <c r="G150" s="201"/>
      <c r="H150" s="201">
        <f t="shared" si="67"/>
        <v>41336.528552000003</v>
      </c>
      <c r="I150" s="4">
        <f t="shared" si="68"/>
        <v>10302.618447999994</v>
      </c>
      <c r="J150" s="201">
        <f t="shared" si="69"/>
        <v>51639.146999999997</v>
      </c>
      <c r="K150" s="6">
        <f t="shared" si="70"/>
        <v>0.4</v>
      </c>
      <c r="L150" s="5">
        <f t="shared" si="71"/>
        <v>30983.488199999996</v>
      </c>
      <c r="M150" s="6">
        <f t="shared" si="72"/>
        <v>0.19</v>
      </c>
      <c r="N150" s="203">
        <f t="shared" si="73"/>
        <v>5886.8627579999993</v>
      </c>
      <c r="P150" s="201">
        <f t="shared" si="66"/>
        <v>5886.8627579999993</v>
      </c>
    </row>
    <row r="151" spans="2:31" x14ac:dyDescent="0.35">
      <c r="D151" s="184" t="s">
        <v>240</v>
      </c>
      <c r="E151" s="199"/>
      <c r="F151" s="201">
        <f t="shared" si="65"/>
        <v>0</v>
      </c>
      <c r="G151" s="201"/>
      <c r="H151" s="201">
        <v>0</v>
      </c>
      <c r="I151" s="4">
        <v>0</v>
      </c>
      <c r="J151" s="201">
        <v>0</v>
      </c>
      <c r="K151" s="6">
        <f t="shared" si="70"/>
        <v>0.5</v>
      </c>
      <c r="L151" s="5">
        <f t="shared" si="71"/>
        <v>0</v>
      </c>
      <c r="M151" s="6">
        <f t="shared" si="72"/>
        <v>0.22500000000000001</v>
      </c>
      <c r="N151" s="203">
        <f t="shared" si="73"/>
        <v>0</v>
      </c>
      <c r="P151" s="201">
        <f t="shared" si="66"/>
        <v>0</v>
      </c>
    </row>
    <row r="152" spans="2:31" x14ac:dyDescent="0.35">
      <c r="D152" s="184" t="s">
        <v>242</v>
      </c>
      <c r="E152" s="199"/>
      <c r="F152" s="201">
        <v>0</v>
      </c>
      <c r="G152" s="201"/>
      <c r="H152" s="201">
        <v>0</v>
      </c>
      <c r="I152" s="4">
        <v>0</v>
      </c>
      <c r="J152" s="201">
        <v>0</v>
      </c>
      <c r="K152" s="6">
        <f t="shared" si="70"/>
        <v>0</v>
      </c>
      <c r="L152" s="5">
        <f t="shared" si="71"/>
        <v>0</v>
      </c>
      <c r="M152" s="6">
        <f t="shared" si="72"/>
        <v>0.19</v>
      </c>
      <c r="N152" s="203">
        <f t="shared" si="73"/>
        <v>0</v>
      </c>
      <c r="P152" s="201">
        <f t="shared" si="66"/>
        <v>0</v>
      </c>
    </row>
    <row r="153" spans="2:31" x14ac:dyDescent="0.35">
      <c r="D153" s="184" t="s">
        <v>243</v>
      </c>
      <c r="E153" s="199"/>
      <c r="F153" s="201">
        <f>(F25+F41)*0.2695/2+(F25+F41)*0.2406/2</f>
        <v>16206.547781500001</v>
      </c>
      <c r="G153" s="201"/>
      <c r="H153" s="201">
        <f>(H25+H41)*0.2695/2+(H25+H41)*0.2679/2</f>
        <v>15855.87952</v>
      </c>
      <c r="I153" s="4">
        <f t="shared" si="68"/>
        <v>2743.0317511999983</v>
      </c>
      <c r="J153" s="201">
        <f>(J25+J41)*0.2679/2+(J25+J41)*0.3/2</f>
        <v>18598.911271199999</v>
      </c>
      <c r="K153" s="6">
        <f t="shared" si="70"/>
        <v>0</v>
      </c>
      <c r="L153" s="5">
        <f t="shared" si="71"/>
        <v>18598.911271199999</v>
      </c>
      <c r="M153" s="6">
        <f t="shared" si="72"/>
        <v>0.23</v>
      </c>
      <c r="N153" s="203">
        <f t="shared" si="73"/>
        <v>4277.7495923759998</v>
      </c>
      <c r="P153" s="201">
        <f t="shared" si="66"/>
        <v>4277.7495923759998</v>
      </c>
    </row>
    <row r="154" spans="2:31" x14ac:dyDescent="0.35">
      <c r="D154" s="184" t="s">
        <v>35</v>
      </c>
      <c r="E154" s="199"/>
      <c r="F154" s="201">
        <f>(F26+F42)*0.2695/2+(F26+F42)*0.2406/2</f>
        <v>16435.776519500003</v>
      </c>
      <c r="G154" s="201"/>
      <c r="H154" s="201">
        <f>(H26+H42)*0.2695/2+(H26+H42)*0.2679/2</f>
        <v>18717.478093000002</v>
      </c>
      <c r="I154" s="4">
        <f t="shared" si="68"/>
        <v>3238.0819144550005</v>
      </c>
      <c r="J154" s="201">
        <f>(J26+J42)*0.2679/2+(J26+J42)*0.3/2</f>
        <v>21955.560007455002</v>
      </c>
      <c r="K154" s="6">
        <f t="shared" si="70"/>
        <v>0.6</v>
      </c>
      <c r="L154" s="5">
        <f t="shared" si="71"/>
        <v>8782.2240029820005</v>
      </c>
      <c r="M154" s="6">
        <f t="shared" si="72"/>
        <v>0.24</v>
      </c>
      <c r="N154" s="203">
        <f t="shared" si="73"/>
        <v>2107.7337607156801</v>
      </c>
      <c r="P154" s="201">
        <f t="shared" si="66"/>
        <v>2107.7337607156801</v>
      </c>
    </row>
    <row r="155" spans="2:31" x14ac:dyDescent="0.35">
      <c r="E155" s="199"/>
      <c r="F155" s="201"/>
      <c r="G155" s="201"/>
      <c r="H155" s="201"/>
      <c r="I155" s="4"/>
      <c r="J155" s="201"/>
      <c r="K155" s="201"/>
      <c r="L155" s="201"/>
    </row>
    <row r="156" spans="2:31" x14ac:dyDescent="0.35">
      <c r="E156" s="199"/>
      <c r="F156" s="201"/>
      <c r="G156" s="201"/>
      <c r="H156" s="201"/>
      <c r="I156" s="4"/>
      <c r="J156" s="201"/>
      <c r="K156" s="201"/>
      <c r="L156" s="201"/>
      <c r="P156" s="201"/>
      <c r="Q156" s="215"/>
    </row>
    <row r="157" spans="2:31" s="183" customFormat="1" x14ac:dyDescent="0.35">
      <c r="B157" s="183" t="s">
        <v>58</v>
      </c>
      <c r="E157" s="188"/>
      <c r="F157" s="216">
        <f>SUM(F13:F156)</f>
        <v>1290898.1184704993</v>
      </c>
      <c r="G157" s="216"/>
      <c r="H157" s="237">
        <f>SUM(H13:H156)</f>
        <v>1452703.4651879994</v>
      </c>
      <c r="I157" s="216">
        <f>SUM(I13:I156)</f>
        <v>190840.10659226999</v>
      </c>
      <c r="J157" s="216">
        <f>SUM(J13:J156)</f>
        <v>1653735.5717802711</v>
      </c>
      <c r="K157" s="216"/>
      <c r="L157" s="216">
        <f>SUM(L13:L156)</f>
        <v>891576.68681142083</v>
      </c>
      <c r="N157" s="216">
        <f>SUM(N13:N156)</f>
        <v>187757.65824636558</v>
      </c>
      <c r="O157" s="216">
        <f>SUM(O13:O156)</f>
        <v>0</v>
      </c>
      <c r="P157" s="216">
        <f>SUM(P13:P156)</f>
        <v>187757.65824636558</v>
      </c>
      <c r="Q157" s="217"/>
      <c r="S157" s="184"/>
      <c r="T157" s="184"/>
      <c r="U157" s="184"/>
      <c r="V157" s="184"/>
      <c r="W157" s="184"/>
      <c r="X157" s="184"/>
      <c r="Y157" s="184"/>
      <c r="Z157" s="184"/>
      <c r="AA157" s="184"/>
      <c r="AB157" s="184"/>
      <c r="AC157" s="184"/>
      <c r="AD157" s="184"/>
      <c r="AE157" s="184"/>
    </row>
    <row r="158" spans="2:31" x14ac:dyDescent="0.35">
      <c r="E158" s="199"/>
      <c r="F158" s="201"/>
      <c r="G158" s="201"/>
      <c r="H158" s="201"/>
      <c r="I158" s="2">
        <f>I157*N158</f>
        <v>40189.130159288521</v>
      </c>
      <c r="J158" s="201"/>
      <c r="K158" s="201"/>
      <c r="L158" s="201"/>
      <c r="N158" s="6">
        <f>N157/L157</f>
        <v>0.2105905874657292</v>
      </c>
    </row>
    <row r="159" spans="2:31" x14ac:dyDescent="0.35">
      <c r="E159" s="199"/>
      <c r="F159" s="201"/>
      <c r="G159" s="201"/>
      <c r="H159" s="201"/>
      <c r="I159" s="7" t="s">
        <v>70</v>
      </c>
      <c r="J159" s="201"/>
      <c r="K159" s="201"/>
      <c r="L159" s="201"/>
      <c r="N159" s="6"/>
      <c r="Q159" s="218"/>
    </row>
    <row r="160" spans="2:31" x14ac:dyDescent="0.35">
      <c r="B160" s="219"/>
      <c r="E160" s="199"/>
      <c r="F160" s="201"/>
      <c r="G160" s="201"/>
      <c r="H160" s="201"/>
      <c r="I160" s="4"/>
      <c r="J160" s="201"/>
      <c r="K160" s="201"/>
      <c r="L160" s="201"/>
      <c r="Q160" s="218"/>
    </row>
    <row r="161" spans="2:17" x14ac:dyDescent="0.35">
      <c r="B161" s="219"/>
      <c r="E161" s="199"/>
      <c r="F161" s="201"/>
      <c r="G161" s="201"/>
      <c r="H161" s="201"/>
      <c r="I161" s="4"/>
      <c r="J161" s="201"/>
      <c r="K161" s="201"/>
      <c r="L161" s="201"/>
      <c r="Q161" s="218"/>
    </row>
    <row r="162" spans="2:17" x14ac:dyDescent="0.35">
      <c r="E162" s="199"/>
      <c r="F162" s="201"/>
      <c r="G162" s="201"/>
      <c r="H162" s="201"/>
      <c r="I162" s="4"/>
      <c r="K162" s="201"/>
      <c r="L162" s="201"/>
    </row>
    <row r="163" spans="2:17" ht="6" customHeight="1" x14ac:dyDescent="0.35">
      <c r="E163" s="199"/>
      <c r="F163" s="201"/>
      <c r="G163" s="201"/>
      <c r="H163" s="201"/>
      <c r="I163" s="4"/>
      <c r="J163" s="201"/>
      <c r="K163" s="201"/>
      <c r="L163" s="201"/>
    </row>
    <row r="164" spans="2:17" x14ac:dyDescent="0.35">
      <c r="B164" s="183"/>
      <c r="C164" s="183"/>
    </row>
    <row r="165" spans="2:17" x14ac:dyDescent="0.35">
      <c r="B165" s="183"/>
      <c r="C165" s="183"/>
    </row>
    <row r="166" spans="2:17" x14ac:dyDescent="0.35">
      <c r="C166" s="183"/>
      <c r="J166" s="185"/>
      <c r="K166" s="185"/>
      <c r="L166" s="185"/>
      <c r="N166" s="185"/>
    </row>
    <row r="168" spans="2:17" x14ac:dyDescent="0.35">
      <c r="F168" s="186">
        <v>2021</v>
      </c>
      <c r="G168" s="187"/>
      <c r="H168" s="186">
        <v>2022</v>
      </c>
      <c r="I168" s="188"/>
      <c r="J168" s="189">
        <v>2023</v>
      </c>
      <c r="K168" s="188"/>
      <c r="L168" s="188"/>
      <c r="M168" s="190" t="s">
        <v>49</v>
      </c>
      <c r="N168" s="191"/>
    </row>
    <row r="169" spans="2:17" ht="31" x14ac:dyDescent="0.35">
      <c r="C169" s="192"/>
      <c r="D169" s="193"/>
      <c r="E169" s="194" t="s">
        <v>42</v>
      </c>
      <c r="F169" s="195" t="s">
        <v>30</v>
      </c>
      <c r="G169" s="196" t="s">
        <v>236</v>
      </c>
      <c r="H169" s="195" t="s">
        <v>0</v>
      </c>
      <c r="I169" s="195" t="s">
        <v>22</v>
      </c>
      <c r="J169" s="198" t="s">
        <v>23</v>
      </c>
      <c r="K169" s="198" t="s">
        <v>56</v>
      </c>
      <c r="L169" s="198" t="s">
        <v>57</v>
      </c>
      <c r="M169" s="196" t="s">
        <v>50</v>
      </c>
      <c r="N169" s="196" t="s">
        <v>51</v>
      </c>
      <c r="O169" s="196" t="s">
        <v>897</v>
      </c>
      <c r="P169" s="196" t="s">
        <v>949</v>
      </c>
    </row>
    <row r="170" spans="2:17" x14ac:dyDescent="0.35">
      <c r="B170" s="183" t="s">
        <v>43</v>
      </c>
      <c r="C170" s="192"/>
      <c r="D170" s="193"/>
      <c r="E170" s="224"/>
      <c r="F170" s="225"/>
      <c r="G170" s="226"/>
      <c r="H170" s="225"/>
      <c r="I170" s="225"/>
      <c r="J170" s="225"/>
      <c r="K170" s="225"/>
      <c r="L170" s="225"/>
      <c r="M170" s="226"/>
      <c r="N170" s="226"/>
      <c r="O170" s="226"/>
      <c r="P170" s="226"/>
    </row>
    <row r="171" spans="2:17" x14ac:dyDescent="0.35">
      <c r="C171" s="184" t="s">
        <v>38</v>
      </c>
      <c r="E171" s="199"/>
      <c r="F171" s="201"/>
      <c r="G171" s="201"/>
      <c r="H171" s="201"/>
      <c r="I171" s="4"/>
      <c r="J171" s="201"/>
      <c r="K171" s="201"/>
      <c r="L171" s="201"/>
    </row>
    <row r="172" spans="2:17" x14ac:dyDescent="0.35">
      <c r="D172" s="184" t="s">
        <v>43</v>
      </c>
      <c r="E172" s="199">
        <v>2</v>
      </c>
      <c r="F172" s="201">
        <v>6000</v>
      </c>
      <c r="G172" s="201"/>
      <c r="H172" s="201">
        <f>F172</f>
        <v>6000</v>
      </c>
      <c r="I172" s="201">
        <v>0</v>
      </c>
      <c r="J172" s="201">
        <f>F172+I172</f>
        <v>6000</v>
      </c>
      <c r="K172" s="6">
        <v>0</v>
      </c>
      <c r="L172" s="5">
        <f>J172*(1-K172)</f>
        <v>6000</v>
      </c>
      <c r="M172" s="6">
        <v>0.24</v>
      </c>
      <c r="N172" s="203">
        <f>L172*M172</f>
        <v>1440</v>
      </c>
      <c r="O172" s="205"/>
      <c r="P172" s="201">
        <f t="shared" ref="P172:P176" si="74">+N172+O172</f>
        <v>1440</v>
      </c>
    </row>
    <row r="173" spans="2:17" x14ac:dyDescent="0.35">
      <c r="D173" s="184" t="s">
        <v>43</v>
      </c>
      <c r="E173" s="199">
        <v>2</v>
      </c>
      <c r="F173" s="201">
        <v>6200</v>
      </c>
      <c r="G173" s="201"/>
      <c r="H173" s="201">
        <f>F173</f>
        <v>6200</v>
      </c>
      <c r="I173" s="201">
        <v>0</v>
      </c>
      <c r="J173" s="201">
        <v>6000</v>
      </c>
      <c r="K173" s="6">
        <v>0</v>
      </c>
      <c r="L173" s="5">
        <f>J173*(1-K173)</f>
        <v>6000</v>
      </c>
      <c r="M173" s="6">
        <v>0.24</v>
      </c>
      <c r="N173" s="203">
        <f>L173*M173</f>
        <v>1440</v>
      </c>
      <c r="O173" s="205"/>
      <c r="P173" s="201">
        <f t="shared" si="74"/>
        <v>1440</v>
      </c>
    </row>
    <row r="174" spans="2:17" x14ac:dyDescent="0.35">
      <c r="D174" s="184" t="s">
        <v>43</v>
      </c>
      <c r="E174" s="199">
        <v>2</v>
      </c>
      <c r="F174" s="201">
        <v>6000</v>
      </c>
      <c r="G174" s="201"/>
      <c r="H174" s="201">
        <f>F174</f>
        <v>6000</v>
      </c>
      <c r="I174" s="201">
        <v>0</v>
      </c>
      <c r="J174" s="201">
        <f>F174+I174</f>
        <v>6000</v>
      </c>
      <c r="K174" s="6">
        <v>0</v>
      </c>
      <c r="L174" s="5">
        <f>J174*(1-K174)</f>
        <v>6000</v>
      </c>
      <c r="M174" s="6">
        <v>0.24</v>
      </c>
      <c r="N174" s="203">
        <f>L174*M174</f>
        <v>1440</v>
      </c>
      <c r="O174" s="205"/>
      <c r="P174" s="201">
        <f t="shared" si="74"/>
        <v>1440</v>
      </c>
    </row>
    <row r="175" spans="2:17" x14ac:dyDescent="0.35">
      <c r="D175" s="184" t="s">
        <v>43</v>
      </c>
      <c r="E175" s="199">
        <v>2</v>
      </c>
      <c r="F175" s="201">
        <v>6000</v>
      </c>
      <c r="G175" s="201"/>
      <c r="H175" s="201">
        <f>F175</f>
        <v>6000</v>
      </c>
      <c r="I175" s="201">
        <v>0</v>
      </c>
      <c r="J175" s="201">
        <v>6200</v>
      </c>
      <c r="K175" s="6">
        <v>0</v>
      </c>
      <c r="L175" s="5">
        <f>J175*(1-K175)</f>
        <v>6200</v>
      </c>
      <c r="M175" s="6">
        <v>0.24</v>
      </c>
      <c r="N175" s="203">
        <f>L175*M175</f>
        <v>1488</v>
      </c>
      <c r="O175" s="205"/>
      <c r="P175" s="201">
        <f t="shared" si="74"/>
        <v>1488</v>
      </c>
    </row>
    <row r="176" spans="2:17" x14ac:dyDescent="0.35">
      <c r="D176" s="184" t="s">
        <v>43</v>
      </c>
      <c r="E176" s="199">
        <v>2</v>
      </c>
      <c r="F176" s="201">
        <v>6000</v>
      </c>
      <c r="G176" s="201"/>
      <c r="H176" s="201">
        <f>F176</f>
        <v>6000</v>
      </c>
      <c r="I176" s="201">
        <v>0</v>
      </c>
      <c r="J176" s="201">
        <f>F176+I176</f>
        <v>6000</v>
      </c>
      <c r="K176" s="6">
        <v>0</v>
      </c>
      <c r="L176" s="5">
        <f>J176*(1-K176)</f>
        <v>6000</v>
      </c>
      <c r="M176" s="6">
        <v>0.24</v>
      </c>
      <c r="N176" s="203">
        <f>L176*M176</f>
        <v>1440</v>
      </c>
      <c r="O176" s="205"/>
      <c r="P176" s="201">
        <f t="shared" si="74"/>
        <v>1440</v>
      </c>
    </row>
    <row r="177" spans="3:16" x14ac:dyDescent="0.35">
      <c r="E177" s="199"/>
      <c r="F177" s="201"/>
      <c r="G177" s="201"/>
      <c r="H177" s="201"/>
      <c r="I177" s="201"/>
      <c r="J177" s="201"/>
      <c r="K177" s="201"/>
      <c r="L177" s="201"/>
      <c r="O177" s="205"/>
    </row>
    <row r="178" spans="3:16" x14ac:dyDescent="0.35">
      <c r="C178" s="184" t="s">
        <v>66</v>
      </c>
      <c r="E178" s="199"/>
      <c r="F178" s="201"/>
      <c r="G178" s="201"/>
      <c r="H178" s="201"/>
      <c r="I178" s="201"/>
      <c r="J178" s="201"/>
      <c r="K178" s="201"/>
      <c r="L178" s="201"/>
      <c r="O178" s="205"/>
    </row>
    <row r="179" spans="3:16" x14ac:dyDescent="0.35">
      <c r="D179" s="184" t="s">
        <v>43</v>
      </c>
      <c r="E179" s="199"/>
      <c r="F179" s="201">
        <v>0</v>
      </c>
      <c r="G179" s="201"/>
      <c r="H179" s="201"/>
      <c r="I179" s="201">
        <v>0</v>
      </c>
      <c r="J179" s="201">
        <f>F179+I179</f>
        <v>0</v>
      </c>
      <c r="K179" s="6">
        <f>K172</f>
        <v>0</v>
      </c>
      <c r="L179" s="5">
        <f>J179*(1-K179)</f>
        <v>0</v>
      </c>
      <c r="M179" s="6">
        <f>M172</f>
        <v>0.24</v>
      </c>
      <c r="N179" s="203">
        <f>L179*M179</f>
        <v>0</v>
      </c>
      <c r="O179" s="205"/>
      <c r="P179" s="201">
        <f t="shared" ref="P179:P183" si="75">+N179+O179</f>
        <v>0</v>
      </c>
    </row>
    <row r="180" spans="3:16" x14ac:dyDescent="0.35">
      <c r="D180" s="184" t="s">
        <v>43</v>
      </c>
      <c r="E180" s="199"/>
      <c r="F180" s="201">
        <v>0</v>
      </c>
      <c r="G180" s="201"/>
      <c r="H180" s="201"/>
      <c r="I180" s="201">
        <v>0</v>
      </c>
      <c r="J180" s="201">
        <f>F180+I180</f>
        <v>0</v>
      </c>
      <c r="K180" s="6">
        <f>K173</f>
        <v>0</v>
      </c>
      <c r="L180" s="5">
        <f>J180*(1-K180)</f>
        <v>0</v>
      </c>
      <c r="M180" s="6">
        <f>M173</f>
        <v>0.24</v>
      </c>
      <c r="N180" s="203">
        <f>L180*M180</f>
        <v>0</v>
      </c>
      <c r="O180" s="205"/>
      <c r="P180" s="201">
        <f t="shared" si="75"/>
        <v>0</v>
      </c>
    </row>
    <row r="181" spans="3:16" x14ac:dyDescent="0.35">
      <c r="D181" s="184" t="s">
        <v>43</v>
      </c>
      <c r="E181" s="199"/>
      <c r="F181" s="201">
        <v>0</v>
      </c>
      <c r="G181" s="201"/>
      <c r="H181" s="201"/>
      <c r="I181" s="201">
        <v>0</v>
      </c>
      <c r="J181" s="201">
        <f>F181+I181</f>
        <v>0</v>
      </c>
      <c r="K181" s="6">
        <f>K174</f>
        <v>0</v>
      </c>
      <c r="L181" s="5">
        <f>J181*(1-K181)</f>
        <v>0</v>
      </c>
      <c r="M181" s="6">
        <f>M174</f>
        <v>0.24</v>
      </c>
      <c r="N181" s="203">
        <f>L181*M181</f>
        <v>0</v>
      </c>
      <c r="O181" s="205"/>
      <c r="P181" s="201">
        <f t="shared" si="75"/>
        <v>0</v>
      </c>
    </row>
    <row r="182" spans="3:16" x14ac:dyDescent="0.35">
      <c r="D182" s="184" t="s">
        <v>43</v>
      </c>
      <c r="E182" s="199"/>
      <c r="F182" s="201">
        <v>0</v>
      </c>
      <c r="G182" s="201"/>
      <c r="H182" s="201"/>
      <c r="I182" s="201">
        <v>0</v>
      </c>
      <c r="J182" s="201">
        <f>F182+I182</f>
        <v>0</v>
      </c>
      <c r="K182" s="6">
        <f>K175</f>
        <v>0</v>
      </c>
      <c r="L182" s="5">
        <f>J182*(1-K182)</f>
        <v>0</v>
      </c>
      <c r="M182" s="6">
        <f>M175</f>
        <v>0.24</v>
      </c>
      <c r="N182" s="203">
        <f>L182*M182</f>
        <v>0</v>
      </c>
      <c r="O182" s="205"/>
      <c r="P182" s="201">
        <f t="shared" si="75"/>
        <v>0</v>
      </c>
    </row>
    <row r="183" spans="3:16" x14ac:dyDescent="0.35">
      <c r="D183" s="184" t="s">
        <v>43</v>
      </c>
      <c r="E183" s="199"/>
      <c r="F183" s="201">
        <v>0</v>
      </c>
      <c r="G183" s="201"/>
      <c r="H183" s="201"/>
      <c r="I183" s="201">
        <v>0</v>
      </c>
      <c r="J183" s="201">
        <f>F183+I183</f>
        <v>0</v>
      </c>
      <c r="K183" s="6">
        <f>K176</f>
        <v>0</v>
      </c>
      <c r="L183" s="5">
        <f>J183*(1-K183)</f>
        <v>0</v>
      </c>
      <c r="M183" s="6">
        <f>M176</f>
        <v>0.24</v>
      </c>
      <c r="N183" s="203">
        <f>L183*M183</f>
        <v>0</v>
      </c>
      <c r="O183" s="205"/>
      <c r="P183" s="201">
        <f t="shared" si="75"/>
        <v>0</v>
      </c>
    </row>
    <row r="184" spans="3:16" x14ac:dyDescent="0.35">
      <c r="E184" s="199"/>
      <c r="F184" s="201"/>
      <c r="G184" s="201"/>
      <c r="H184" s="201"/>
      <c r="I184" s="201"/>
      <c r="J184" s="201"/>
      <c r="K184" s="201"/>
      <c r="L184" s="201"/>
      <c r="O184" s="205"/>
    </row>
    <row r="185" spans="3:16" x14ac:dyDescent="0.35">
      <c r="C185" s="184" t="s">
        <v>67</v>
      </c>
      <c r="E185" s="199"/>
      <c r="F185" s="201"/>
      <c r="G185" s="201"/>
      <c r="H185" s="201"/>
      <c r="I185" s="201"/>
      <c r="J185" s="201"/>
      <c r="K185" s="201"/>
      <c r="L185" s="201"/>
      <c r="O185" s="205"/>
    </row>
    <row r="186" spans="3:16" x14ac:dyDescent="0.35">
      <c r="D186" s="184" t="s">
        <v>43</v>
      </c>
      <c r="E186" s="199"/>
      <c r="F186" s="201">
        <f>552.37*12</f>
        <v>6628.4400000000005</v>
      </c>
      <c r="G186" s="201"/>
      <c r="H186" s="201">
        <f>591.04*12</f>
        <v>7092.48</v>
      </c>
      <c r="I186" s="201">
        <f>J186-H186</f>
        <v>9837.52</v>
      </c>
      <c r="J186" s="201">
        <v>16930</v>
      </c>
      <c r="K186" s="6">
        <f>K179</f>
        <v>0</v>
      </c>
      <c r="L186" s="5">
        <f>J186*(1-K186)</f>
        <v>16930</v>
      </c>
      <c r="M186" s="6">
        <f>M179</f>
        <v>0.24</v>
      </c>
      <c r="N186" s="203">
        <f>L186*M186</f>
        <v>4063.2</v>
      </c>
      <c r="O186" s="205">
        <f>-N186*$T$28</f>
        <v>-4063.2</v>
      </c>
      <c r="P186" s="201">
        <f t="shared" ref="P186:P190" si="76">+N186+O186</f>
        <v>0</v>
      </c>
    </row>
    <row r="187" spans="3:16" x14ac:dyDescent="0.35">
      <c r="D187" s="184" t="s">
        <v>43</v>
      </c>
      <c r="E187" s="199"/>
      <c r="F187" s="201">
        <f>552.37*12</f>
        <v>6628.4400000000005</v>
      </c>
      <c r="G187" s="201"/>
      <c r="H187" s="201">
        <f>591.04*12</f>
        <v>7092.48</v>
      </c>
      <c r="I187" s="201">
        <f>J187-H187</f>
        <v>141.84000000000015</v>
      </c>
      <c r="J187" s="201">
        <f>602.86*12</f>
        <v>7234.32</v>
      </c>
      <c r="K187" s="6">
        <f>K180</f>
        <v>0</v>
      </c>
      <c r="L187" s="5">
        <f>J187*(1-K187)</f>
        <v>7234.32</v>
      </c>
      <c r="M187" s="6">
        <f>M180</f>
        <v>0.24</v>
      </c>
      <c r="N187" s="203">
        <f>L187*M187</f>
        <v>1736.2367999999999</v>
      </c>
      <c r="O187" s="205">
        <f>-N187*$T$28</f>
        <v>-1736.2367999999999</v>
      </c>
      <c r="P187" s="201">
        <f t="shared" si="76"/>
        <v>0</v>
      </c>
    </row>
    <row r="188" spans="3:16" x14ac:dyDescent="0.35">
      <c r="D188" s="184" t="s">
        <v>43</v>
      </c>
      <c r="E188" s="199"/>
      <c r="F188" s="201">
        <f>552.37*12</f>
        <v>6628.4400000000005</v>
      </c>
      <c r="G188" s="201"/>
      <c r="H188" s="201">
        <f>591.04*12</f>
        <v>7092.48</v>
      </c>
      <c r="I188" s="201">
        <f>J188-H188</f>
        <v>141.84000000000015</v>
      </c>
      <c r="J188" s="201">
        <f>602.86*12</f>
        <v>7234.32</v>
      </c>
      <c r="K188" s="6">
        <f>K181</f>
        <v>0</v>
      </c>
      <c r="L188" s="5">
        <f>J188*(1-K188)</f>
        <v>7234.32</v>
      </c>
      <c r="M188" s="6">
        <f>M181</f>
        <v>0.24</v>
      </c>
      <c r="N188" s="203">
        <f>L188*M188</f>
        <v>1736.2367999999999</v>
      </c>
      <c r="O188" s="205">
        <f>-N188*$T$28</f>
        <v>-1736.2367999999999</v>
      </c>
      <c r="P188" s="201">
        <f t="shared" si="76"/>
        <v>0</v>
      </c>
    </row>
    <row r="189" spans="3:16" x14ac:dyDescent="0.35">
      <c r="D189" s="184" t="s">
        <v>43</v>
      </c>
      <c r="E189" s="199"/>
      <c r="F189" s="201">
        <v>0</v>
      </c>
      <c r="G189" s="201"/>
      <c r="H189" s="201"/>
      <c r="I189" s="201">
        <f>J189-F189</f>
        <v>0</v>
      </c>
      <c r="J189" s="201">
        <f>F189*(1+$Q$44)</f>
        <v>0</v>
      </c>
      <c r="K189" s="6">
        <f>K182</f>
        <v>0</v>
      </c>
      <c r="L189" s="5">
        <f>J189*(1-K189)</f>
        <v>0</v>
      </c>
      <c r="M189" s="6">
        <f>M182</f>
        <v>0.24</v>
      </c>
      <c r="N189" s="203">
        <f>L189*M189</f>
        <v>0</v>
      </c>
      <c r="O189" s="205">
        <f>-N189*$T$28</f>
        <v>0</v>
      </c>
      <c r="P189" s="201">
        <f t="shared" si="76"/>
        <v>0</v>
      </c>
    </row>
    <row r="190" spans="3:16" x14ac:dyDescent="0.35">
      <c r="D190" s="184" t="s">
        <v>43</v>
      </c>
      <c r="E190" s="199"/>
      <c r="F190" s="201">
        <v>0</v>
      </c>
      <c r="G190" s="201"/>
      <c r="H190" s="201"/>
      <c r="I190" s="201">
        <f>J190-F190</f>
        <v>0</v>
      </c>
      <c r="J190" s="201">
        <f>F190*(1+$Q$44)</f>
        <v>0</v>
      </c>
      <c r="K190" s="6">
        <f>K183</f>
        <v>0</v>
      </c>
      <c r="L190" s="5">
        <f>J190*(1-K190)</f>
        <v>0</v>
      </c>
      <c r="M190" s="6">
        <f>M183</f>
        <v>0.24</v>
      </c>
      <c r="N190" s="203">
        <f>L190*M190</f>
        <v>0</v>
      </c>
      <c r="O190" s="205">
        <f>-N190*$T$28</f>
        <v>0</v>
      </c>
      <c r="P190" s="201">
        <f t="shared" si="76"/>
        <v>0</v>
      </c>
    </row>
    <row r="191" spans="3:16" x14ac:dyDescent="0.35">
      <c r="E191" s="199"/>
      <c r="F191" s="201"/>
      <c r="G191" s="201"/>
      <c r="H191" s="201"/>
      <c r="I191" s="201"/>
      <c r="J191" s="201"/>
      <c r="K191" s="201"/>
      <c r="L191" s="201"/>
      <c r="O191" s="205"/>
    </row>
    <row r="192" spans="3:16" x14ac:dyDescent="0.35">
      <c r="C192" s="184" t="s">
        <v>68</v>
      </c>
      <c r="E192" s="199"/>
      <c r="F192" s="201"/>
      <c r="G192" s="201"/>
      <c r="H192" s="201"/>
      <c r="I192" s="201"/>
      <c r="J192" s="201"/>
      <c r="K192" s="201"/>
      <c r="L192" s="201"/>
      <c r="O192" s="205"/>
    </row>
    <row r="193" spans="3:16" x14ac:dyDescent="0.35">
      <c r="D193" s="184" t="s">
        <v>43</v>
      </c>
      <c r="E193" s="199"/>
      <c r="F193" s="201">
        <v>8.0399999999999991</v>
      </c>
      <c r="G193" s="201"/>
      <c r="H193" s="201">
        <v>8.7200000000000006</v>
      </c>
      <c r="I193" s="4">
        <f>H193*(1-1.01)</f>
        <v>-8.7200000000000083E-2</v>
      </c>
      <c r="J193" s="201">
        <v>9</v>
      </c>
      <c r="K193" s="6">
        <f>K186</f>
        <v>0</v>
      </c>
      <c r="L193" s="5">
        <f>J193*(1-K193)</f>
        <v>9</v>
      </c>
      <c r="M193" s="6">
        <f>M186</f>
        <v>0.24</v>
      </c>
      <c r="N193" s="203">
        <f>L193*M193</f>
        <v>2.16</v>
      </c>
      <c r="O193" s="205"/>
      <c r="P193" s="201">
        <f t="shared" ref="P193:P197" si="77">+N193+O193</f>
        <v>2.16</v>
      </c>
    </row>
    <row r="194" spans="3:16" x14ac:dyDescent="0.35">
      <c r="D194" s="184" t="s">
        <v>43</v>
      </c>
      <c r="E194" s="199"/>
      <c r="F194" s="201">
        <v>8.31</v>
      </c>
      <c r="G194" s="201"/>
      <c r="H194" s="201">
        <v>8.7200000000000006</v>
      </c>
      <c r="I194" s="4">
        <f>H194*(1-1.01)</f>
        <v>-8.7200000000000083E-2</v>
      </c>
      <c r="J194" s="201">
        <f>H194+I194</f>
        <v>8.6328000000000014</v>
      </c>
      <c r="K194" s="6">
        <f>K187</f>
        <v>0</v>
      </c>
      <c r="L194" s="5">
        <f>J194*(1-K194)</f>
        <v>8.6328000000000014</v>
      </c>
      <c r="M194" s="6">
        <f>M187</f>
        <v>0.24</v>
      </c>
      <c r="N194" s="203">
        <f>L194*M194</f>
        <v>2.0718720000000004</v>
      </c>
      <c r="O194" s="205"/>
      <c r="P194" s="201">
        <f t="shared" si="77"/>
        <v>2.0718720000000004</v>
      </c>
    </row>
    <row r="195" spans="3:16" x14ac:dyDescent="0.35">
      <c r="D195" s="184" t="s">
        <v>43</v>
      </c>
      <c r="E195" s="199"/>
      <c r="F195" s="201">
        <v>8.0399999999999991</v>
      </c>
      <c r="G195" s="201"/>
      <c r="H195" s="201">
        <v>8.7200000000000006</v>
      </c>
      <c r="I195" s="4">
        <f>H195*(1-1.01)</f>
        <v>-8.7200000000000083E-2</v>
      </c>
      <c r="J195" s="201">
        <f>H195+I195</f>
        <v>8.6328000000000014</v>
      </c>
      <c r="K195" s="6">
        <f>K188</f>
        <v>0</v>
      </c>
      <c r="L195" s="5">
        <f>J195*(1-K195)</f>
        <v>8.6328000000000014</v>
      </c>
      <c r="M195" s="6">
        <f>M188</f>
        <v>0.24</v>
      </c>
      <c r="N195" s="203">
        <f>L195*M195</f>
        <v>2.0718720000000004</v>
      </c>
      <c r="O195" s="205"/>
      <c r="P195" s="201">
        <f t="shared" si="77"/>
        <v>2.0718720000000004</v>
      </c>
    </row>
    <row r="196" spans="3:16" x14ac:dyDescent="0.35">
      <c r="D196" s="184" t="s">
        <v>43</v>
      </c>
      <c r="E196" s="199"/>
      <c r="F196" s="201">
        <v>8.0399999999999991</v>
      </c>
      <c r="G196" s="201"/>
      <c r="H196" s="201">
        <v>8.7200000000000006</v>
      </c>
      <c r="I196" s="4">
        <f>H196*(1-1.01)</f>
        <v>-8.7200000000000083E-2</v>
      </c>
      <c r="J196" s="201">
        <f>H196+I196</f>
        <v>8.6328000000000014</v>
      </c>
      <c r="K196" s="6">
        <f>K189</f>
        <v>0</v>
      </c>
      <c r="L196" s="5">
        <f>J196*(1-K196)</f>
        <v>8.6328000000000014</v>
      </c>
      <c r="M196" s="6">
        <f>M189</f>
        <v>0.24</v>
      </c>
      <c r="N196" s="203">
        <f>L196*M196</f>
        <v>2.0718720000000004</v>
      </c>
      <c r="O196" s="205"/>
      <c r="P196" s="201">
        <f t="shared" si="77"/>
        <v>2.0718720000000004</v>
      </c>
    </row>
    <row r="197" spans="3:16" x14ac:dyDescent="0.35">
      <c r="D197" s="184" t="s">
        <v>43</v>
      </c>
      <c r="E197" s="199"/>
      <c r="F197" s="201">
        <v>8.0399999999999991</v>
      </c>
      <c r="G197" s="201"/>
      <c r="H197" s="201">
        <v>8.7200000000000006</v>
      </c>
      <c r="I197" s="4">
        <f>H197*(1-1.01)</f>
        <v>-8.7200000000000083E-2</v>
      </c>
      <c r="J197" s="201">
        <f>H197+I197</f>
        <v>8.6328000000000014</v>
      </c>
      <c r="K197" s="6">
        <f>K190</f>
        <v>0</v>
      </c>
      <c r="L197" s="5">
        <f>J197*(1-K197)</f>
        <v>8.6328000000000014</v>
      </c>
      <c r="M197" s="6">
        <f>M190</f>
        <v>0.24</v>
      </c>
      <c r="N197" s="203">
        <f>L197*M197</f>
        <v>2.0718720000000004</v>
      </c>
      <c r="O197" s="205"/>
      <c r="P197" s="201">
        <f t="shared" si="77"/>
        <v>2.0718720000000004</v>
      </c>
    </row>
    <row r="198" spans="3:16" x14ac:dyDescent="0.35">
      <c r="E198" s="199"/>
      <c r="F198" s="201"/>
      <c r="G198" s="201"/>
      <c r="H198" s="201"/>
      <c r="I198" s="201"/>
      <c r="J198" s="201"/>
      <c r="K198" s="201"/>
      <c r="L198" s="201"/>
      <c r="O198" s="205"/>
    </row>
    <row r="199" spans="3:16" x14ac:dyDescent="0.35">
      <c r="C199" s="184" t="s">
        <v>53</v>
      </c>
      <c r="E199" s="199"/>
      <c r="F199" s="201"/>
      <c r="G199" s="201"/>
      <c r="H199" s="201"/>
      <c r="I199" s="201"/>
      <c r="J199" s="201"/>
      <c r="K199" s="201"/>
      <c r="L199" s="201"/>
      <c r="O199" s="205"/>
    </row>
    <row r="200" spans="3:16" x14ac:dyDescent="0.35">
      <c r="D200" s="184" t="s">
        <v>43</v>
      </c>
      <c r="E200" s="199"/>
      <c r="F200" s="201">
        <f>27.28*12</f>
        <v>327.36</v>
      </c>
      <c r="G200" s="201"/>
      <c r="H200" s="201">
        <f>27.28*12</f>
        <v>327.36</v>
      </c>
      <c r="I200" s="201">
        <f>J200-H200</f>
        <v>13.439999999999941</v>
      </c>
      <c r="J200" s="201">
        <f>(22.11+6.29)*12</f>
        <v>340.79999999999995</v>
      </c>
      <c r="K200" s="6">
        <f>K193</f>
        <v>0</v>
      </c>
      <c r="L200" s="5">
        <f>J200*(1-K200)</f>
        <v>340.79999999999995</v>
      </c>
      <c r="M200" s="6">
        <f>M193</f>
        <v>0.24</v>
      </c>
      <c r="N200" s="203">
        <f>L200*M200</f>
        <v>81.791999999999987</v>
      </c>
      <c r="O200" s="205">
        <f>-N200*$T$28</f>
        <v>-81.791999999999987</v>
      </c>
      <c r="P200" s="201">
        <f t="shared" ref="P200:P204" si="78">+N200+O200</f>
        <v>0</v>
      </c>
    </row>
    <row r="201" spans="3:16" x14ac:dyDescent="0.35">
      <c r="D201" s="184" t="s">
        <v>43</v>
      </c>
      <c r="E201" s="199"/>
      <c r="F201" s="201">
        <f>27.28*12</f>
        <v>327.36</v>
      </c>
      <c r="G201" s="201"/>
      <c r="H201" s="201">
        <f>27.28*12</f>
        <v>327.36</v>
      </c>
      <c r="I201" s="201">
        <f>J201-H201</f>
        <v>13.439999999999941</v>
      </c>
      <c r="J201" s="201">
        <f>(22.11+6.29)*12</f>
        <v>340.79999999999995</v>
      </c>
      <c r="K201" s="6">
        <f>K194</f>
        <v>0</v>
      </c>
      <c r="L201" s="5">
        <f>J201*(1-K201)</f>
        <v>340.79999999999995</v>
      </c>
      <c r="M201" s="6">
        <f>M194</f>
        <v>0.24</v>
      </c>
      <c r="N201" s="203">
        <f>L201*M201</f>
        <v>81.791999999999987</v>
      </c>
      <c r="O201" s="205">
        <f>-N201*$T$28</f>
        <v>-81.791999999999987</v>
      </c>
      <c r="P201" s="201">
        <f t="shared" si="78"/>
        <v>0</v>
      </c>
    </row>
    <row r="202" spans="3:16" x14ac:dyDescent="0.35">
      <c r="D202" s="184" t="s">
        <v>43</v>
      </c>
      <c r="E202" s="199"/>
      <c r="F202" s="201">
        <f>27.28*12</f>
        <v>327.36</v>
      </c>
      <c r="G202" s="201"/>
      <c r="H202" s="201">
        <f>27.28*12</f>
        <v>327.36</v>
      </c>
      <c r="I202" s="201">
        <f>J202-H202</f>
        <v>13.439999999999941</v>
      </c>
      <c r="J202" s="201">
        <f>(22.11+6.29)*12</f>
        <v>340.79999999999995</v>
      </c>
      <c r="K202" s="6">
        <f>K195</f>
        <v>0</v>
      </c>
      <c r="L202" s="5">
        <f>J202*(1-K202)</f>
        <v>340.79999999999995</v>
      </c>
      <c r="M202" s="6">
        <f>M195</f>
        <v>0.24</v>
      </c>
      <c r="N202" s="203">
        <f>L202*M202</f>
        <v>81.791999999999987</v>
      </c>
      <c r="O202" s="205">
        <f>-N202*$T$28</f>
        <v>-81.791999999999987</v>
      </c>
      <c r="P202" s="201">
        <f t="shared" si="78"/>
        <v>0</v>
      </c>
    </row>
    <row r="203" spans="3:16" x14ac:dyDescent="0.35">
      <c r="D203" s="184" t="s">
        <v>43</v>
      </c>
      <c r="E203" s="199"/>
      <c r="F203" s="201">
        <v>0</v>
      </c>
      <c r="G203" s="201"/>
      <c r="H203" s="201">
        <v>0</v>
      </c>
      <c r="I203" s="201">
        <f>J203-F203</f>
        <v>0</v>
      </c>
      <c r="J203" s="201">
        <f>F203*(1+$Q$77)</f>
        <v>0</v>
      </c>
      <c r="K203" s="6">
        <f>K196</f>
        <v>0</v>
      </c>
      <c r="L203" s="5">
        <f>J203*(1-K203)</f>
        <v>0</v>
      </c>
      <c r="M203" s="6">
        <f>M196</f>
        <v>0.24</v>
      </c>
      <c r="N203" s="203">
        <f>L203*M203</f>
        <v>0</v>
      </c>
      <c r="O203" s="205">
        <f>-N203*$T$28</f>
        <v>0</v>
      </c>
      <c r="P203" s="201">
        <f t="shared" si="78"/>
        <v>0</v>
      </c>
    </row>
    <row r="204" spans="3:16" x14ac:dyDescent="0.35">
      <c r="D204" s="184" t="s">
        <v>43</v>
      </c>
      <c r="E204" s="199"/>
      <c r="F204" s="201">
        <v>0</v>
      </c>
      <c r="G204" s="201"/>
      <c r="H204" s="201">
        <v>0</v>
      </c>
      <c r="I204" s="201">
        <f>J204-F204</f>
        <v>0</v>
      </c>
      <c r="J204" s="201">
        <f>F204*(1+$Q$77)</f>
        <v>0</v>
      </c>
      <c r="K204" s="6">
        <f>K197</f>
        <v>0</v>
      </c>
      <c r="L204" s="5">
        <f>J204*(1-K204)</f>
        <v>0</v>
      </c>
      <c r="M204" s="6">
        <f>M197</f>
        <v>0.24</v>
      </c>
      <c r="N204" s="203">
        <f>L204*M204</f>
        <v>0</v>
      </c>
      <c r="O204" s="205">
        <f>-N204*$T$28</f>
        <v>0</v>
      </c>
      <c r="P204" s="201">
        <f t="shared" si="78"/>
        <v>0</v>
      </c>
    </row>
    <row r="205" spans="3:16" x14ac:dyDescent="0.35">
      <c r="E205" s="199"/>
      <c r="F205" s="201"/>
      <c r="G205" s="201"/>
      <c r="H205" s="201"/>
      <c r="I205" s="201"/>
      <c r="J205" s="201"/>
      <c r="K205" s="201"/>
      <c r="L205" s="201"/>
      <c r="O205" s="205"/>
    </row>
    <row r="206" spans="3:16" x14ac:dyDescent="0.35">
      <c r="C206" s="184" t="s">
        <v>54</v>
      </c>
      <c r="E206" s="199"/>
      <c r="F206" s="201"/>
      <c r="G206" s="201"/>
      <c r="H206" s="201"/>
      <c r="I206" s="201"/>
      <c r="J206" s="201"/>
      <c r="K206" s="201"/>
      <c r="L206" s="201"/>
      <c r="O206" s="205"/>
    </row>
    <row r="207" spans="3:16" x14ac:dyDescent="0.35">
      <c r="D207" s="184" t="s">
        <v>43</v>
      </c>
      <c r="E207" s="199"/>
      <c r="F207" s="201">
        <v>0</v>
      </c>
      <c r="G207" s="201"/>
      <c r="H207" s="201">
        <v>0</v>
      </c>
      <c r="I207" s="201">
        <v>0</v>
      </c>
      <c r="J207" s="201">
        <v>0</v>
      </c>
      <c r="K207" s="6">
        <f>K200</f>
        <v>0</v>
      </c>
      <c r="L207" s="5">
        <f>J207*(1-K207)</f>
        <v>0</v>
      </c>
      <c r="M207" s="6">
        <f>M200</f>
        <v>0.24</v>
      </c>
      <c r="N207" s="203">
        <f>L207*M207</f>
        <v>0</v>
      </c>
      <c r="O207" s="205"/>
      <c r="P207" s="201">
        <f t="shared" ref="P207:P211" si="79">+N207+O207</f>
        <v>0</v>
      </c>
    </row>
    <row r="208" spans="3:16" x14ac:dyDescent="0.35">
      <c r="D208" s="184" t="s">
        <v>43</v>
      </c>
      <c r="E208" s="199"/>
      <c r="F208" s="201">
        <v>0</v>
      </c>
      <c r="G208" s="201"/>
      <c r="H208" s="201">
        <v>0</v>
      </c>
      <c r="I208" s="201">
        <v>0</v>
      </c>
      <c r="J208" s="201">
        <f>F208+I208</f>
        <v>0</v>
      </c>
      <c r="K208" s="6">
        <f>K201</f>
        <v>0</v>
      </c>
      <c r="L208" s="5">
        <f>J208*(1-K208)</f>
        <v>0</v>
      </c>
      <c r="M208" s="6">
        <f>M201</f>
        <v>0.24</v>
      </c>
      <c r="N208" s="203">
        <f>L208*M208</f>
        <v>0</v>
      </c>
      <c r="O208" s="205"/>
      <c r="P208" s="201">
        <f t="shared" si="79"/>
        <v>0</v>
      </c>
    </row>
    <row r="209" spans="3:31" x14ac:dyDescent="0.35">
      <c r="D209" s="184" t="s">
        <v>43</v>
      </c>
      <c r="E209" s="199"/>
      <c r="F209" s="201">
        <v>0</v>
      </c>
      <c r="G209" s="201"/>
      <c r="H209" s="201">
        <v>0</v>
      </c>
      <c r="I209" s="201">
        <v>0</v>
      </c>
      <c r="J209" s="201">
        <f>F209+I209</f>
        <v>0</v>
      </c>
      <c r="K209" s="6">
        <f>K202</f>
        <v>0</v>
      </c>
      <c r="L209" s="5">
        <f>J209*(1-K209)</f>
        <v>0</v>
      </c>
      <c r="M209" s="6">
        <f>M202</f>
        <v>0.24</v>
      </c>
      <c r="N209" s="203">
        <f>L209*M209</f>
        <v>0</v>
      </c>
      <c r="O209" s="205"/>
      <c r="P209" s="201">
        <f t="shared" si="79"/>
        <v>0</v>
      </c>
    </row>
    <row r="210" spans="3:31" x14ac:dyDescent="0.35">
      <c r="D210" s="184" t="s">
        <v>43</v>
      </c>
      <c r="E210" s="199"/>
      <c r="F210" s="201">
        <v>0</v>
      </c>
      <c r="G210" s="201"/>
      <c r="H210" s="201">
        <v>0</v>
      </c>
      <c r="I210" s="201">
        <v>0</v>
      </c>
      <c r="J210" s="201">
        <f>F210+I210</f>
        <v>0</v>
      </c>
      <c r="K210" s="6">
        <f>K203</f>
        <v>0</v>
      </c>
      <c r="L210" s="5">
        <f>J210*(1-K210)</f>
        <v>0</v>
      </c>
      <c r="M210" s="6">
        <f>M203</f>
        <v>0.24</v>
      </c>
      <c r="N210" s="203">
        <f>L210*M210</f>
        <v>0</v>
      </c>
      <c r="O210" s="205"/>
      <c r="P210" s="201">
        <f t="shared" si="79"/>
        <v>0</v>
      </c>
    </row>
    <row r="211" spans="3:31" x14ac:dyDescent="0.35">
      <c r="D211" s="184" t="s">
        <v>43</v>
      </c>
      <c r="E211" s="199"/>
      <c r="F211" s="201">
        <v>0</v>
      </c>
      <c r="G211" s="201"/>
      <c r="H211" s="201">
        <v>0</v>
      </c>
      <c r="I211" s="201">
        <v>0</v>
      </c>
      <c r="J211" s="201">
        <f>F211+I211</f>
        <v>0</v>
      </c>
      <c r="K211" s="6">
        <f>K204</f>
        <v>0</v>
      </c>
      <c r="L211" s="5">
        <f>J211*(1-K211)</f>
        <v>0</v>
      </c>
      <c r="M211" s="6">
        <f>M204</f>
        <v>0.24</v>
      </c>
      <c r="N211" s="203">
        <f>L211*M211</f>
        <v>0</v>
      </c>
      <c r="O211" s="205"/>
      <c r="P211" s="201">
        <f t="shared" si="79"/>
        <v>0</v>
      </c>
    </row>
    <row r="212" spans="3:31" x14ac:dyDescent="0.35">
      <c r="E212" s="199"/>
      <c r="F212" s="201"/>
      <c r="G212" s="201"/>
      <c r="H212" s="201"/>
      <c r="I212" s="201"/>
      <c r="J212" s="201"/>
      <c r="K212" s="201"/>
      <c r="L212" s="201"/>
      <c r="O212" s="205"/>
    </row>
    <row r="213" spans="3:31" x14ac:dyDescent="0.35">
      <c r="C213" s="184" t="s">
        <v>162</v>
      </c>
      <c r="E213" s="199"/>
      <c r="F213" s="201"/>
      <c r="G213" s="201"/>
      <c r="H213" s="201"/>
      <c r="I213" s="201"/>
      <c r="J213" s="201"/>
      <c r="K213" s="201"/>
      <c r="L213" s="201"/>
      <c r="O213" s="205"/>
    </row>
    <row r="214" spans="3:31" x14ac:dyDescent="0.35">
      <c r="D214" s="184" t="s">
        <v>43</v>
      </c>
      <c r="E214" s="199"/>
      <c r="F214" s="201">
        <f>F172*0.0765</f>
        <v>459</v>
      </c>
      <c r="G214" s="201"/>
      <c r="H214" s="201">
        <f>H172*0.0765</f>
        <v>459</v>
      </c>
      <c r="I214" s="201">
        <f>J214-H214</f>
        <v>0</v>
      </c>
      <c r="J214" s="201">
        <f>J172*0.0765</f>
        <v>459</v>
      </c>
      <c r="K214" s="6">
        <f>K207</f>
        <v>0</v>
      </c>
      <c r="L214" s="5">
        <f>J214*(1-K214)</f>
        <v>459</v>
      </c>
      <c r="M214" s="6">
        <f>M207</f>
        <v>0.24</v>
      </c>
      <c r="N214" s="203">
        <f>L214*M214</f>
        <v>110.16</v>
      </c>
      <c r="O214" s="205"/>
      <c r="P214" s="201">
        <f t="shared" ref="P214:P218" si="80">+N214+O214</f>
        <v>110.16</v>
      </c>
      <c r="S214" s="183"/>
      <c r="T214" s="183"/>
      <c r="U214" s="183"/>
      <c r="V214" s="183"/>
      <c r="W214" s="183"/>
      <c r="X214" s="183"/>
      <c r="Y214" s="183"/>
      <c r="Z214" s="183"/>
      <c r="AA214" s="183"/>
      <c r="AB214" s="183"/>
      <c r="AC214" s="183"/>
      <c r="AD214" s="183"/>
      <c r="AE214" s="183"/>
    </row>
    <row r="215" spans="3:31" x14ac:dyDescent="0.35">
      <c r="D215" s="184" t="s">
        <v>43</v>
      </c>
      <c r="E215" s="199"/>
      <c r="F215" s="201">
        <f>F173*0.0765</f>
        <v>474.3</v>
      </c>
      <c r="G215" s="201"/>
      <c r="H215" s="201">
        <f>H173*0.0765</f>
        <v>474.3</v>
      </c>
      <c r="I215" s="201">
        <f>J215-H215</f>
        <v>-15.300000000000011</v>
      </c>
      <c r="J215" s="201">
        <f>J173*0.0765</f>
        <v>459</v>
      </c>
      <c r="K215" s="6">
        <f>K208</f>
        <v>0</v>
      </c>
      <c r="L215" s="5">
        <f>J215*(1-K215)</f>
        <v>459</v>
      </c>
      <c r="M215" s="6">
        <f>M208</f>
        <v>0.24</v>
      </c>
      <c r="N215" s="203">
        <f>L215*M215</f>
        <v>110.16</v>
      </c>
      <c r="O215" s="205"/>
      <c r="P215" s="201">
        <f t="shared" si="80"/>
        <v>110.16</v>
      </c>
    </row>
    <row r="216" spans="3:31" x14ac:dyDescent="0.35">
      <c r="D216" s="184" t="s">
        <v>43</v>
      </c>
      <c r="E216" s="199"/>
      <c r="F216" s="201">
        <f>F174*0.0765</f>
        <v>459</v>
      </c>
      <c r="G216" s="201"/>
      <c r="H216" s="201">
        <f>H174*0.0765</f>
        <v>459</v>
      </c>
      <c r="I216" s="201">
        <f>J216-H216</f>
        <v>0</v>
      </c>
      <c r="J216" s="201">
        <f>J174*0.0765</f>
        <v>459</v>
      </c>
      <c r="K216" s="6">
        <f>K209</f>
        <v>0</v>
      </c>
      <c r="L216" s="5">
        <f>J216*(1-K216)</f>
        <v>459</v>
      </c>
      <c r="M216" s="6">
        <f>M209</f>
        <v>0.24</v>
      </c>
      <c r="N216" s="203">
        <f>L216*M216</f>
        <v>110.16</v>
      </c>
      <c r="O216" s="205"/>
      <c r="P216" s="201">
        <f t="shared" si="80"/>
        <v>110.16</v>
      </c>
    </row>
    <row r="217" spans="3:31" x14ac:dyDescent="0.35">
      <c r="D217" s="184" t="s">
        <v>43</v>
      </c>
      <c r="E217" s="199"/>
      <c r="F217" s="201">
        <f>F175*0.0765</f>
        <v>459</v>
      </c>
      <c r="G217" s="201"/>
      <c r="H217" s="201">
        <f>H175*0.0765</f>
        <v>459</v>
      </c>
      <c r="I217" s="201">
        <f>J217-H217</f>
        <v>15.300000000000011</v>
      </c>
      <c r="J217" s="201">
        <f>J175*0.0765</f>
        <v>474.3</v>
      </c>
      <c r="K217" s="6">
        <f>K210</f>
        <v>0</v>
      </c>
      <c r="L217" s="5">
        <f>J217*(1-K217)</f>
        <v>474.3</v>
      </c>
      <c r="M217" s="6">
        <f>M210</f>
        <v>0.24</v>
      </c>
      <c r="N217" s="203">
        <f>L217*M217</f>
        <v>113.83199999999999</v>
      </c>
      <c r="O217" s="205"/>
      <c r="P217" s="201">
        <f t="shared" si="80"/>
        <v>113.83199999999999</v>
      </c>
    </row>
    <row r="218" spans="3:31" x14ac:dyDescent="0.35">
      <c r="D218" s="184" t="s">
        <v>43</v>
      </c>
      <c r="E218" s="199"/>
      <c r="F218" s="201">
        <f>F176*0.0765</f>
        <v>459</v>
      </c>
      <c r="G218" s="201"/>
      <c r="H218" s="201">
        <f>H176*0.0765</f>
        <v>459</v>
      </c>
      <c r="I218" s="201">
        <f>J218-H218</f>
        <v>0</v>
      </c>
      <c r="J218" s="201">
        <f>J176*0.0765</f>
        <v>459</v>
      </c>
      <c r="K218" s="6">
        <f>K211</f>
        <v>0</v>
      </c>
      <c r="L218" s="5">
        <f>J218*(1-K218)</f>
        <v>459</v>
      </c>
      <c r="M218" s="6">
        <f>M211</f>
        <v>0.24</v>
      </c>
      <c r="N218" s="203">
        <f>L218*M218</f>
        <v>110.16</v>
      </c>
      <c r="O218" s="205"/>
      <c r="P218" s="201">
        <f t="shared" si="80"/>
        <v>110.16</v>
      </c>
    </row>
    <row r="219" spans="3:31" x14ac:dyDescent="0.35">
      <c r="E219" s="199"/>
      <c r="F219" s="201"/>
      <c r="G219" s="201"/>
      <c r="H219" s="201"/>
      <c r="I219" s="201"/>
      <c r="J219" s="201"/>
      <c r="K219" s="201"/>
      <c r="L219" s="201"/>
      <c r="O219" s="205"/>
    </row>
    <row r="220" spans="3:31" x14ac:dyDescent="0.35">
      <c r="C220" s="184" t="s">
        <v>244</v>
      </c>
      <c r="E220" s="199"/>
      <c r="F220" s="201"/>
      <c r="G220" s="201"/>
      <c r="H220" s="201"/>
      <c r="I220" s="201"/>
      <c r="J220" s="201"/>
      <c r="K220" s="201"/>
      <c r="L220" s="201"/>
      <c r="O220" s="205"/>
    </row>
    <row r="221" spans="3:31" x14ac:dyDescent="0.35">
      <c r="D221" s="184" t="s">
        <v>43</v>
      </c>
      <c r="E221" s="199"/>
      <c r="F221" s="201">
        <f>F164*0.2695/2+F164*0.2406/2</f>
        <v>0</v>
      </c>
      <c r="G221" s="201"/>
      <c r="H221" s="201">
        <f>H164*0.2695/2+H164*0.2679/2</f>
        <v>0</v>
      </c>
      <c r="I221" s="201">
        <f>J221-H221</f>
        <v>0</v>
      </c>
      <c r="J221" s="201">
        <f>J164*0.2679</f>
        <v>0</v>
      </c>
      <c r="K221" s="6">
        <f>K214</f>
        <v>0</v>
      </c>
      <c r="L221" s="5">
        <f>J221*(1-K221)</f>
        <v>0</v>
      </c>
      <c r="M221" s="6">
        <f>M214</f>
        <v>0.24</v>
      </c>
      <c r="N221" s="203">
        <f>L221*M221</f>
        <v>0</v>
      </c>
      <c r="O221" s="205"/>
      <c r="P221" s="201">
        <f t="shared" ref="P221:P225" si="81">+N221+O221</f>
        <v>0</v>
      </c>
    </row>
    <row r="222" spans="3:31" x14ac:dyDescent="0.35">
      <c r="D222" s="184" t="s">
        <v>43</v>
      </c>
      <c r="E222" s="199"/>
      <c r="F222" s="201">
        <f>F165*0.2695/2+F165*0.2406/2</f>
        <v>0</v>
      </c>
      <c r="G222" s="201"/>
      <c r="H222" s="201">
        <f>H165*0.2695/2+H165*0.2679/2</f>
        <v>0</v>
      </c>
      <c r="I222" s="201">
        <f>J222-H222</f>
        <v>0</v>
      </c>
      <c r="J222" s="201">
        <f>J165*0.2679</f>
        <v>0</v>
      </c>
      <c r="K222" s="6">
        <f>K215</f>
        <v>0</v>
      </c>
      <c r="L222" s="5">
        <f>J222*(1-K222)</f>
        <v>0</v>
      </c>
      <c r="M222" s="6">
        <f>M215</f>
        <v>0.24</v>
      </c>
      <c r="N222" s="203">
        <f>L222*M222</f>
        <v>0</v>
      </c>
      <c r="O222" s="205"/>
      <c r="P222" s="201">
        <f t="shared" si="81"/>
        <v>0</v>
      </c>
    </row>
    <row r="223" spans="3:31" x14ac:dyDescent="0.35">
      <c r="D223" s="184" t="s">
        <v>43</v>
      </c>
      <c r="E223" s="199"/>
      <c r="F223" s="201">
        <f>F166*0.2695/2+F166*0.2406/2</f>
        <v>0</v>
      </c>
      <c r="G223" s="201"/>
      <c r="H223" s="201">
        <f>H166*0.2695/2+H166*0.2679/2</f>
        <v>0</v>
      </c>
      <c r="I223" s="201">
        <f>J223-H223</f>
        <v>0</v>
      </c>
      <c r="J223" s="201">
        <f>J166*0.2679</f>
        <v>0</v>
      </c>
      <c r="K223" s="6">
        <f>K216</f>
        <v>0</v>
      </c>
      <c r="L223" s="5">
        <f>J223*(1-K223)</f>
        <v>0</v>
      </c>
      <c r="M223" s="6">
        <f>M216</f>
        <v>0.24</v>
      </c>
      <c r="N223" s="203">
        <f>L223*M223</f>
        <v>0</v>
      </c>
      <c r="O223" s="205"/>
      <c r="P223" s="201">
        <f t="shared" si="81"/>
        <v>0</v>
      </c>
    </row>
    <row r="224" spans="3:31" x14ac:dyDescent="0.35">
      <c r="D224" s="184" t="s">
        <v>43</v>
      </c>
      <c r="E224" s="199"/>
      <c r="F224" s="201">
        <f>172*12</f>
        <v>2064</v>
      </c>
      <c r="G224" s="201"/>
      <c r="H224" s="201">
        <f>172*12</f>
        <v>2064</v>
      </c>
      <c r="I224" s="201">
        <f>J224-H224</f>
        <v>636</v>
      </c>
      <c r="J224" s="201">
        <v>2700</v>
      </c>
      <c r="K224" s="6">
        <f>K217</f>
        <v>0</v>
      </c>
      <c r="L224" s="5">
        <f>J224*(1-K224)</f>
        <v>2700</v>
      </c>
      <c r="M224" s="6">
        <f>M217</f>
        <v>0.24</v>
      </c>
      <c r="N224" s="203">
        <f>L224*M224</f>
        <v>648</v>
      </c>
      <c r="O224" s="205"/>
      <c r="P224" s="201">
        <f t="shared" si="81"/>
        <v>648</v>
      </c>
    </row>
    <row r="225" spans="2:31" x14ac:dyDescent="0.35">
      <c r="D225" s="184" t="s">
        <v>43</v>
      </c>
      <c r="E225" s="199"/>
      <c r="F225" s="201">
        <f>172*12</f>
        <v>2064</v>
      </c>
      <c r="G225" s="201"/>
      <c r="H225" s="201">
        <f>172*12</f>
        <v>2064</v>
      </c>
      <c r="I225" s="201">
        <f>J225-H225</f>
        <v>636</v>
      </c>
      <c r="J225" s="201">
        <v>2700</v>
      </c>
      <c r="K225" s="6">
        <f>K218</f>
        <v>0</v>
      </c>
      <c r="L225" s="5">
        <f>J225*(1-K225)</f>
        <v>2700</v>
      </c>
      <c r="M225" s="6">
        <f>M218</f>
        <v>0.24</v>
      </c>
      <c r="N225" s="203">
        <f>L225*M225</f>
        <v>648</v>
      </c>
      <c r="O225" s="205"/>
      <c r="P225" s="201">
        <f t="shared" si="81"/>
        <v>648</v>
      </c>
    </row>
    <row r="226" spans="2:31" x14ac:dyDescent="0.35">
      <c r="E226" s="199"/>
      <c r="F226" s="201"/>
      <c r="G226" s="201"/>
      <c r="H226" s="201"/>
      <c r="I226" s="201"/>
      <c r="J226" s="201"/>
      <c r="K226" s="201"/>
      <c r="L226" s="201"/>
      <c r="O226" s="205"/>
    </row>
    <row r="227" spans="2:31" x14ac:dyDescent="0.35">
      <c r="C227" s="184" t="s">
        <v>55</v>
      </c>
      <c r="E227" s="199"/>
      <c r="F227" s="201"/>
      <c r="G227" s="201"/>
      <c r="H227" s="201"/>
      <c r="I227" s="201"/>
      <c r="J227" s="201"/>
      <c r="K227" s="201"/>
      <c r="L227" s="201"/>
      <c r="O227" s="205"/>
    </row>
    <row r="228" spans="2:31" x14ac:dyDescent="0.35">
      <c r="D228" s="184" t="s">
        <v>43</v>
      </c>
      <c r="E228" s="199"/>
      <c r="F228" s="201">
        <f>F172*0.2695/2+F172*0.2406/2</f>
        <v>1530.3000000000002</v>
      </c>
      <c r="G228" s="201"/>
      <c r="H228" s="201">
        <f>H172*0.2695/2+H172*0.2679/2</f>
        <v>1612.2</v>
      </c>
      <c r="I228" s="201">
        <f>J228-H228</f>
        <v>91.5</v>
      </c>
      <c r="J228" s="201">
        <f>J172*0.2679/2+J172*0.3/2</f>
        <v>1703.7</v>
      </c>
      <c r="K228" s="6">
        <f>K221</f>
        <v>0</v>
      </c>
      <c r="L228" s="5">
        <f>J228*(1-K228)</f>
        <v>1703.7</v>
      </c>
      <c r="M228" s="6">
        <f>M221</f>
        <v>0.24</v>
      </c>
      <c r="N228" s="203">
        <f>L228*M228</f>
        <v>408.88799999999998</v>
      </c>
      <c r="O228" s="205"/>
      <c r="P228" s="201">
        <f t="shared" ref="P228:P232" si="82">+N228+O228</f>
        <v>408.88799999999998</v>
      </c>
    </row>
    <row r="229" spans="2:31" x14ac:dyDescent="0.35">
      <c r="D229" s="184" t="s">
        <v>43</v>
      </c>
      <c r="E229" s="199"/>
      <c r="F229" s="201">
        <f>F173*0.2695/2+F173*0.2406/2</f>
        <v>1581.31</v>
      </c>
      <c r="G229" s="201"/>
      <c r="H229" s="201">
        <f>H173*0.2695/2+H173*0.2679/2</f>
        <v>1665.94</v>
      </c>
      <c r="I229" s="201">
        <f>J229-H229</f>
        <v>37.759999999999991</v>
      </c>
      <c r="J229" s="201">
        <f>J173*0.2679/2+J173*0.3/2</f>
        <v>1703.7</v>
      </c>
      <c r="K229" s="6">
        <f>K222</f>
        <v>0</v>
      </c>
      <c r="L229" s="5">
        <f>J229*(1-K229)</f>
        <v>1703.7</v>
      </c>
      <c r="M229" s="6">
        <f>M222</f>
        <v>0.24</v>
      </c>
      <c r="N229" s="203">
        <f>L229*M229</f>
        <v>408.88799999999998</v>
      </c>
      <c r="O229" s="205"/>
      <c r="P229" s="201">
        <f t="shared" si="82"/>
        <v>408.88799999999998</v>
      </c>
    </row>
    <row r="230" spans="2:31" x14ac:dyDescent="0.35">
      <c r="D230" s="184" t="s">
        <v>43</v>
      </c>
      <c r="E230" s="199"/>
      <c r="F230" s="201">
        <f>F174*0.2695/2+F174*0.2406/2</f>
        <v>1530.3000000000002</v>
      </c>
      <c r="G230" s="201"/>
      <c r="H230" s="201">
        <f>H174*0.2695/2+H174*0.2679/2</f>
        <v>1612.2</v>
      </c>
      <c r="I230" s="201">
        <f>J230-H230</f>
        <v>91.5</v>
      </c>
      <c r="J230" s="201">
        <f>J174*0.2679/2+J174*0.3/2</f>
        <v>1703.7</v>
      </c>
      <c r="K230" s="6">
        <f>K223</f>
        <v>0</v>
      </c>
      <c r="L230" s="5">
        <f>J230*(1-K230)</f>
        <v>1703.7</v>
      </c>
      <c r="M230" s="6">
        <f>M223</f>
        <v>0.24</v>
      </c>
      <c r="N230" s="203">
        <f>L230*M230</f>
        <v>408.88799999999998</v>
      </c>
      <c r="O230" s="205"/>
      <c r="P230" s="201">
        <f t="shared" si="82"/>
        <v>408.88799999999998</v>
      </c>
    </row>
    <row r="231" spans="2:31" x14ac:dyDescent="0.35">
      <c r="D231" s="184" t="s">
        <v>43</v>
      </c>
      <c r="E231" s="199"/>
      <c r="F231" s="201">
        <f>F175*0.2695/2+F175*0.2406/2</f>
        <v>1530.3000000000002</v>
      </c>
      <c r="G231" s="201"/>
      <c r="H231" s="201">
        <f>H175*0.2695/2+H175*0.2679/2</f>
        <v>1612.2</v>
      </c>
      <c r="I231" s="201">
        <f>J231-H231</f>
        <v>148.29000000000019</v>
      </c>
      <c r="J231" s="201">
        <f>J175*0.2679/2+J175*0.3/2</f>
        <v>1760.4900000000002</v>
      </c>
      <c r="K231" s="6">
        <f>K224</f>
        <v>0</v>
      </c>
      <c r="L231" s="5">
        <f>J231*(1-K231)</f>
        <v>1760.4900000000002</v>
      </c>
      <c r="M231" s="6">
        <f>M224</f>
        <v>0.24</v>
      </c>
      <c r="N231" s="203">
        <f>L231*M231</f>
        <v>422.51760000000002</v>
      </c>
      <c r="O231" s="205"/>
      <c r="P231" s="201">
        <f t="shared" si="82"/>
        <v>422.51760000000002</v>
      </c>
    </row>
    <row r="232" spans="2:31" x14ac:dyDescent="0.35">
      <c r="D232" s="184" t="s">
        <v>43</v>
      </c>
      <c r="E232" s="199"/>
      <c r="F232" s="201">
        <f>F176*0.2695/2+F176*0.2406/2</f>
        <v>1530.3000000000002</v>
      </c>
      <c r="G232" s="201"/>
      <c r="H232" s="201">
        <f>H176*0.2695/2+H176*0.2679/2</f>
        <v>1612.2</v>
      </c>
      <c r="I232" s="201">
        <f>J232-H232</f>
        <v>91.5</v>
      </c>
      <c r="J232" s="201">
        <f>J176*0.2679/2+J176*0.3/2</f>
        <v>1703.7</v>
      </c>
      <c r="K232" s="6">
        <f>K225</f>
        <v>0</v>
      </c>
      <c r="L232" s="5">
        <f>J232*(1-K232)</f>
        <v>1703.7</v>
      </c>
      <c r="M232" s="6">
        <f>M225</f>
        <v>0.24</v>
      </c>
      <c r="N232" s="203">
        <f>L232*M232</f>
        <v>408.88799999999998</v>
      </c>
      <c r="O232" s="205"/>
      <c r="P232" s="201">
        <f t="shared" si="82"/>
        <v>408.88799999999998</v>
      </c>
    </row>
    <row r="233" spans="2:31" x14ac:dyDescent="0.35">
      <c r="E233" s="199"/>
      <c r="F233" s="201"/>
      <c r="G233" s="201"/>
      <c r="H233" s="201"/>
      <c r="I233" s="201"/>
      <c r="J233" s="201"/>
      <c r="K233" s="201"/>
      <c r="L233" s="201"/>
      <c r="Q233" s="183"/>
    </row>
    <row r="234" spans="2:31" s="183" customFormat="1" x14ac:dyDescent="0.35">
      <c r="B234" s="183" t="s">
        <v>59</v>
      </c>
      <c r="E234" s="188"/>
      <c r="F234" s="216">
        <f>SUM(F172:F233)</f>
        <v>65248.680000000022</v>
      </c>
      <c r="G234" s="216"/>
      <c r="H234" s="237">
        <f>SUM(H172:H233)</f>
        <v>67056.159999999989</v>
      </c>
      <c r="I234" s="216">
        <f>SUM(I172:I233)</f>
        <v>11893.634000000004</v>
      </c>
      <c r="J234" s="216">
        <f>SUM(J172:J233)</f>
        <v>78950.161200000002</v>
      </c>
      <c r="K234" s="216"/>
      <c r="L234" s="216">
        <f>SUM(L172:L233)</f>
        <v>78950.161200000002</v>
      </c>
      <c r="N234" s="216">
        <f>SUM(N172:N233)</f>
        <v>18948.038687999997</v>
      </c>
      <c r="O234" s="216">
        <f>SUM(O172:O233)</f>
        <v>-7781.0496000000003</v>
      </c>
      <c r="P234" s="216">
        <f t="shared" ref="P234" si="83">SUM(P172:P233)</f>
        <v>11166.989088000004</v>
      </c>
      <c r="Q234" s="217"/>
      <c r="S234" s="184"/>
      <c r="T234" s="184"/>
      <c r="U234" s="184"/>
      <c r="V234" s="184"/>
      <c r="W234" s="184"/>
      <c r="X234" s="184"/>
      <c r="Y234" s="184"/>
      <c r="Z234" s="184"/>
      <c r="AA234" s="184"/>
      <c r="AB234" s="184"/>
      <c r="AC234" s="184"/>
      <c r="AD234" s="184"/>
      <c r="AE234" s="184"/>
    </row>
    <row r="235" spans="2:31" x14ac:dyDescent="0.35">
      <c r="E235" s="199"/>
      <c r="F235" s="201"/>
      <c r="G235" s="201"/>
      <c r="H235" s="201"/>
      <c r="I235" s="2">
        <f>I234*N235</f>
        <v>2854.4721600000003</v>
      </c>
      <c r="J235" s="201"/>
      <c r="K235" s="201"/>
      <c r="L235" s="201"/>
      <c r="N235" s="6">
        <f>N234/L234</f>
        <v>0.23999999999999996</v>
      </c>
    </row>
    <row r="236" spans="2:31" x14ac:dyDescent="0.35">
      <c r="E236" s="199"/>
      <c r="F236" s="201"/>
      <c r="G236" s="201"/>
      <c r="H236" s="201"/>
      <c r="I236" s="7" t="s">
        <v>70</v>
      </c>
      <c r="J236" s="201"/>
      <c r="K236" s="201"/>
      <c r="L236" s="201"/>
      <c r="P236" s="183"/>
      <c r="Q236" s="217"/>
    </row>
    <row r="237" spans="2:31" x14ac:dyDescent="0.35">
      <c r="E237" s="199"/>
      <c r="F237" s="201"/>
      <c r="G237" s="201"/>
      <c r="H237" s="201"/>
      <c r="I237" s="7"/>
      <c r="J237" s="201"/>
      <c r="K237" s="201"/>
      <c r="L237" s="201"/>
    </row>
    <row r="238" spans="2:31" ht="6" customHeight="1" x14ac:dyDescent="0.35">
      <c r="E238" s="199"/>
      <c r="F238" s="201"/>
      <c r="G238" s="201"/>
      <c r="H238" s="201"/>
      <c r="I238" s="201"/>
      <c r="J238" s="201"/>
      <c r="K238" s="201"/>
      <c r="L238" s="201"/>
    </row>
    <row r="239" spans="2:31" x14ac:dyDescent="0.35">
      <c r="B239" s="183"/>
      <c r="C239" s="183"/>
    </row>
    <row r="240" spans="2:31" x14ac:dyDescent="0.35">
      <c r="B240" s="183"/>
      <c r="C240" s="183"/>
    </row>
    <row r="241" spans="2:16" x14ac:dyDescent="0.35">
      <c r="C241" s="183"/>
      <c r="J241" s="185"/>
      <c r="K241" s="185"/>
      <c r="L241" s="185"/>
      <c r="N241" s="185" t="s">
        <v>221</v>
      </c>
    </row>
    <row r="243" spans="2:16" x14ac:dyDescent="0.35">
      <c r="F243" s="186">
        <v>2021</v>
      </c>
      <c r="G243" s="187"/>
      <c r="H243" s="186">
        <v>2022</v>
      </c>
      <c r="I243" s="188"/>
      <c r="J243" s="189">
        <v>2023</v>
      </c>
      <c r="K243" s="188"/>
      <c r="L243" s="188"/>
      <c r="M243" s="190" t="s">
        <v>49</v>
      </c>
      <c r="N243" s="191"/>
    </row>
    <row r="244" spans="2:16" ht="31" x14ac:dyDescent="0.35">
      <c r="C244" s="192"/>
      <c r="D244" s="193"/>
      <c r="E244" s="194" t="s">
        <v>42</v>
      </c>
      <c r="F244" s="195" t="s">
        <v>30</v>
      </c>
      <c r="G244" s="196" t="s">
        <v>236</v>
      </c>
      <c r="H244" s="195" t="s">
        <v>0</v>
      </c>
      <c r="I244" s="195" t="s">
        <v>22</v>
      </c>
      <c r="J244" s="198" t="s">
        <v>23</v>
      </c>
      <c r="K244" s="198" t="s">
        <v>56</v>
      </c>
      <c r="L244" s="198" t="s">
        <v>57</v>
      </c>
      <c r="M244" s="196" t="s">
        <v>50</v>
      </c>
      <c r="N244" s="196" t="s">
        <v>51</v>
      </c>
      <c r="O244" s="196" t="s">
        <v>897</v>
      </c>
      <c r="P244" s="196" t="s">
        <v>949</v>
      </c>
    </row>
    <row r="245" spans="2:16" x14ac:dyDescent="0.35">
      <c r="B245" s="183" t="s">
        <v>60</v>
      </c>
      <c r="C245" s="192"/>
      <c r="D245" s="193"/>
      <c r="E245" s="224"/>
      <c r="F245" s="225"/>
      <c r="G245" s="226"/>
      <c r="H245" s="225"/>
      <c r="I245" s="225"/>
      <c r="J245" s="225"/>
      <c r="K245" s="225"/>
      <c r="L245" s="225"/>
      <c r="M245" s="226"/>
      <c r="N245" s="226"/>
      <c r="O245" s="226"/>
      <c r="P245" s="226"/>
    </row>
    <row r="246" spans="2:16" x14ac:dyDescent="0.35">
      <c r="C246" s="184" t="s">
        <v>38</v>
      </c>
      <c r="E246" s="199"/>
      <c r="F246" s="201"/>
      <c r="G246" s="201"/>
      <c r="H246" s="201"/>
      <c r="I246" s="201"/>
      <c r="J246" s="201"/>
      <c r="K246" s="201"/>
      <c r="L246" s="201"/>
    </row>
    <row r="247" spans="2:16" x14ac:dyDescent="0.35">
      <c r="D247" s="184" t="s">
        <v>245</v>
      </c>
      <c r="E247" s="199">
        <v>40</v>
      </c>
      <c r="F247" s="201">
        <v>71990.75</v>
      </c>
      <c r="G247" s="202">
        <v>37.799999999999997</v>
      </c>
      <c r="H247" s="201">
        <v>78716.45</v>
      </c>
      <c r="I247" s="4">
        <f t="shared" ref="I247:I252" si="84">H247*0.11</f>
        <v>8658.8094999999994</v>
      </c>
      <c r="J247" s="201">
        <f t="shared" ref="J247:J252" si="85">H247+I247</f>
        <v>87375.2595</v>
      </c>
      <c r="K247" s="6">
        <v>0</v>
      </c>
      <c r="L247" s="5">
        <f t="shared" ref="L247:L253" si="86">J247*(1-K247)</f>
        <v>87375.2595</v>
      </c>
      <c r="M247" s="6">
        <v>0.45</v>
      </c>
      <c r="N247" s="203">
        <f t="shared" ref="N247:N253" si="87">L247*M247</f>
        <v>39318.866775000002</v>
      </c>
      <c r="P247" s="201">
        <f t="shared" ref="P247:P253" si="88">+N247+O247</f>
        <v>39318.866775000002</v>
      </c>
    </row>
    <row r="248" spans="2:16" x14ac:dyDescent="0.35">
      <c r="D248" s="184" t="s">
        <v>44</v>
      </c>
      <c r="E248" s="199">
        <v>40</v>
      </c>
      <c r="F248" s="201">
        <f>16*2080</f>
        <v>33280</v>
      </c>
      <c r="G248" s="202">
        <v>16</v>
      </c>
      <c r="H248" s="201">
        <f>G248*2080</f>
        <v>33280</v>
      </c>
      <c r="I248" s="4">
        <f>H248*0.11</f>
        <v>3660.8</v>
      </c>
      <c r="J248" s="201">
        <f t="shared" si="85"/>
        <v>36940.800000000003</v>
      </c>
      <c r="K248" s="6">
        <v>0</v>
      </c>
      <c r="L248" s="5">
        <f t="shared" si="86"/>
        <v>36940.800000000003</v>
      </c>
      <c r="M248" s="6">
        <v>0.47</v>
      </c>
      <c r="N248" s="203">
        <f t="shared" si="87"/>
        <v>17362.175999999999</v>
      </c>
      <c r="P248" s="201">
        <f t="shared" si="88"/>
        <v>17362.175999999999</v>
      </c>
    </row>
    <row r="249" spans="2:16" x14ac:dyDescent="0.35">
      <c r="D249" s="184" t="s">
        <v>44</v>
      </c>
      <c r="E249" s="199">
        <v>40</v>
      </c>
      <c r="F249" s="201">
        <f>16*2080</f>
        <v>33280</v>
      </c>
      <c r="G249" s="202">
        <v>17.809999999999999</v>
      </c>
      <c r="H249" s="201">
        <v>36739.589999999997</v>
      </c>
      <c r="I249" s="4">
        <f t="shared" si="84"/>
        <v>4041.3548999999998</v>
      </c>
      <c r="J249" s="201">
        <f t="shared" si="85"/>
        <v>40780.944899999995</v>
      </c>
      <c r="K249" s="6">
        <v>0</v>
      </c>
      <c r="L249" s="5">
        <f t="shared" si="86"/>
        <v>40780.944899999995</v>
      </c>
      <c r="M249" s="6">
        <v>0.47</v>
      </c>
      <c r="N249" s="203">
        <f t="shared" si="87"/>
        <v>19167.044102999997</v>
      </c>
      <c r="P249" s="201">
        <f t="shared" si="88"/>
        <v>19167.044102999997</v>
      </c>
    </row>
    <row r="250" spans="2:16" x14ac:dyDescent="0.35">
      <c r="D250" s="184" t="s">
        <v>44</v>
      </c>
      <c r="E250" s="199">
        <v>40</v>
      </c>
      <c r="F250" s="201">
        <v>46593.27</v>
      </c>
      <c r="G250" s="202">
        <v>22.78</v>
      </c>
      <c r="H250" s="201">
        <v>48140.28</v>
      </c>
      <c r="I250" s="4">
        <f t="shared" si="84"/>
        <v>5295.4308000000001</v>
      </c>
      <c r="J250" s="201">
        <f t="shared" si="85"/>
        <v>53435.710800000001</v>
      </c>
      <c r="K250" s="6">
        <v>0</v>
      </c>
      <c r="L250" s="5">
        <f t="shared" si="86"/>
        <v>53435.710800000001</v>
      </c>
      <c r="M250" s="6">
        <v>0.47</v>
      </c>
      <c r="N250" s="203">
        <f t="shared" si="87"/>
        <v>25114.784076</v>
      </c>
      <c r="P250" s="201">
        <f t="shared" si="88"/>
        <v>25114.784076</v>
      </c>
    </row>
    <row r="251" spans="2:16" x14ac:dyDescent="0.35">
      <c r="D251" s="184" t="s">
        <v>44</v>
      </c>
      <c r="E251" s="199">
        <v>40</v>
      </c>
      <c r="F251" s="201">
        <v>45159.18</v>
      </c>
      <c r="G251" s="202">
        <v>17.75</v>
      </c>
      <c r="H251" s="201">
        <v>35597.24</v>
      </c>
      <c r="I251" s="4">
        <f t="shared" si="84"/>
        <v>3915.6963999999998</v>
      </c>
      <c r="J251" s="201">
        <f t="shared" si="85"/>
        <v>39512.936399999999</v>
      </c>
      <c r="K251" s="6">
        <v>0</v>
      </c>
      <c r="L251" s="5">
        <f t="shared" si="86"/>
        <v>39512.936399999999</v>
      </c>
      <c r="M251" s="6">
        <v>0.47</v>
      </c>
      <c r="N251" s="203">
        <f t="shared" si="87"/>
        <v>18571.080107999998</v>
      </c>
      <c r="P251" s="201">
        <f t="shared" si="88"/>
        <v>18571.080107999998</v>
      </c>
    </row>
    <row r="252" spans="2:16" x14ac:dyDescent="0.35">
      <c r="D252" s="184" t="s">
        <v>45</v>
      </c>
      <c r="E252" s="199">
        <v>40</v>
      </c>
      <c r="F252" s="201">
        <f>66166.29*1.0833</f>
        <v>71677.941956999988</v>
      </c>
      <c r="G252" s="202">
        <v>23.12</v>
      </c>
      <c r="H252" s="201">
        <v>47923.199999999997</v>
      </c>
      <c r="I252" s="4">
        <f t="shared" si="84"/>
        <v>5271.5519999999997</v>
      </c>
      <c r="J252" s="201">
        <f t="shared" si="85"/>
        <v>53194.751999999993</v>
      </c>
      <c r="K252" s="6">
        <v>0</v>
      </c>
      <c r="L252" s="5">
        <f t="shared" si="86"/>
        <v>53194.751999999993</v>
      </c>
      <c r="M252" s="6">
        <v>0.45</v>
      </c>
      <c r="N252" s="203">
        <f t="shared" si="87"/>
        <v>23937.638399999996</v>
      </c>
      <c r="P252" s="201">
        <f t="shared" si="88"/>
        <v>23937.638399999996</v>
      </c>
    </row>
    <row r="253" spans="2:16" x14ac:dyDescent="0.35">
      <c r="D253" s="184" t="s">
        <v>246</v>
      </c>
      <c r="E253" s="199" t="s">
        <v>241</v>
      </c>
      <c r="F253" s="201">
        <v>0</v>
      </c>
      <c r="G253" s="202">
        <v>0</v>
      </c>
      <c r="H253" s="201">
        <v>0</v>
      </c>
      <c r="I253" s="4">
        <v>0</v>
      </c>
      <c r="J253" s="201">
        <v>4992</v>
      </c>
      <c r="K253" s="6">
        <v>0</v>
      </c>
      <c r="L253" s="5">
        <f t="shared" si="86"/>
        <v>4992</v>
      </c>
      <c r="M253" s="6">
        <v>0.47</v>
      </c>
      <c r="N253" s="203">
        <f t="shared" si="87"/>
        <v>2346.2399999999998</v>
      </c>
      <c r="P253" s="201">
        <f t="shared" si="88"/>
        <v>2346.2399999999998</v>
      </c>
    </row>
    <row r="254" spans="2:16" x14ac:dyDescent="0.35">
      <c r="E254" s="199"/>
      <c r="F254" s="201"/>
      <c r="G254" s="201"/>
      <c r="H254" s="201"/>
      <c r="I254" s="201"/>
      <c r="J254" s="201"/>
      <c r="K254" s="201"/>
      <c r="L254" s="201"/>
    </row>
    <row r="255" spans="2:16" x14ac:dyDescent="0.35">
      <c r="C255" s="184" t="s">
        <v>66</v>
      </c>
      <c r="E255" s="199"/>
      <c r="F255" s="201"/>
      <c r="G255" s="201"/>
      <c r="H255" s="201"/>
      <c r="I255" s="201"/>
      <c r="J255" s="201"/>
      <c r="K255" s="201"/>
      <c r="L255" s="201"/>
    </row>
    <row r="256" spans="2:16" x14ac:dyDescent="0.35">
      <c r="D256" s="184" t="s">
        <v>245</v>
      </c>
      <c r="E256" s="199"/>
      <c r="F256" s="201">
        <v>0</v>
      </c>
      <c r="G256" s="201"/>
      <c r="H256" s="201">
        <v>0</v>
      </c>
      <c r="I256" s="201">
        <f t="shared" ref="I256:I261" si="89">H256*0.11</f>
        <v>0</v>
      </c>
      <c r="J256" s="201">
        <f t="shared" ref="J256:J261" si="90">H256+I256</f>
        <v>0</v>
      </c>
      <c r="K256" s="6">
        <f t="shared" ref="K256:K262" si="91">K247</f>
        <v>0</v>
      </c>
      <c r="L256" s="5">
        <f t="shared" ref="L256:L261" si="92">J256*(1-K256)</f>
        <v>0</v>
      </c>
      <c r="M256" s="6">
        <f t="shared" ref="M256:M262" si="93">M247</f>
        <v>0.45</v>
      </c>
      <c r="N256" s="203">
        <f t="shared" ref="N256:N261" si="94">L256*M256</f>
        <v>0</v>
      </c>
      <c r="P256" s="201">
        <f t="shared" ref="P256:P262" si="95">+N256+O256</f>
        <v>0</v>
      </c>
    </row>
    <row r="257" spans="3:16" x14ac:dyDescent="0.35">
      <c r="D257" s="184" t="s">
        <v>44</v>
      </c>
      <c r="E257" s="199"/>
      <c r="F257" s="201">
        <f>145*24</f>
        <v>3480</v>
      </c>
      <c r="G257" s="201"/>
      <c r="H257" s="201">
        <f>112.87/19341.37*33280</f>
        <v>194.2113511090476</v>
      </c>
      <c r="I257" s="201">
        <f t="shared" si="89"/>
        <v>21.363248621995236</v>
      </c>
      <c r="J257" s="201">
        <f t="shared" si="90"/>
        <v>215.57459973104284</v>
      </c>
      <c r="K257" s="6">
        <f t="shared" si="91"/>
        <v>0</v>
      </c>
      <c r="L257" s="5">
        <f>J257*(1-K257)</f>
        <v>215.57459973104284</v>
      </c>
      <c r="M257" s="6">
        <f t="shared" si="93"/>
        <v>0.47</v>
      </c>
      <c r="N257" s="203">
        <f>L257*M257</f>
        <v>101.32006187359013</v>
      </c>
      <c r="P257" s="201">
        <f t="shared" si="95"/>
        <v>101.32006187359013</v>
      </c>
    </row>
    <row r="258" spans="3:16" x14ac:dyDescent="0.35">
      <c r="D258" s="184" t="s">
        <v>44</v>
      </c>
      <c r="E258" s="199"/>
      <c r="F258" s="201">
        <v>3480</v>
      </c>
      <c r="G258" s="201"/>
      <c r="H258" s="201">
        <v>729.41</v>
      </c>
      <c r="I258" s="201">
        <f t="shared" si="89"/>
        <v>80.235100000000003</v>
      </c>
      <c r="J258" s="201">
        <f t="shared" si="90"/>
        <v>809.64509999999996</v>
      </c>
      <c r="K258" s="6">
        <f t="shared" si="91"/>
        <v>0</v>
      </c>
      <c r="L258" s="5">
        <f>J258*(1-K258)</f>
        <v>809.64509999999996</v>
      </c>
      <c r="M258" s="6">
        <f t="shared" si="93"/>
        <v>0.47</v>
      </c>
      <c r="N258" s="203">
        <f>L258*M258</f>
        <v>380.53319699999997</v>
      </c>
      <c r="P258" s="201">
        <f t="shared" si="95"/>
        <v>380.53319699999997</v>
      </c>
    </row>
    <row r="259" spans="3:16" x14ac:dyDescent="0.35">
      <c r="D259" s="184" t="s">
        <v>44</v>
      </c>
      <c r="E259" s="199"/>
      <c r="F259" s="201">
        <v>705.19</v>
      </c>
      <c r="G259" s="201"/>
      <c r="H259" s="201">
        <v>510.86</v>
      </c>
      <c r="I259" s="201">
        <f t="shared" si="89"/>
        <v>56.194600000000001</v>
      </c>
      <c r="J259" s="201">
        <f t="shared" si="90"/>
        <v>567.05460000000005</v>
      </c>
      <c r="K259" s="6">
        <f t="shared" si="91"/>
        <v>0</v>
      </c>
      <c r="L259" s="5">
        <f t="shared" si="92"/>
        <v>567.05460000000005</v>
      </c>
      <c r="M259" s="6">
        <f t="shared" si="93"/>
        <v>0.47</v>
      </c>
      <c r="N259" s="203">
        <f t="shared" si="94"/>
        <v>266.51566200000002</v>
      </c>
      <c r="P259" s="201">
        <f t="shared" si="95"/>
        <v>266.51566200000002</v>
      </c>
    </row>
    <row r="260" spans="3:16" x14ac:dyDescent="0.35">
      <c r="D260" s="184" t="s">
        <v>44</v>
      </c>
      <c r="E260" s="199"/>
      <c r="F260" s="201">
        <v>1935.84</v>
      </c>
      <c r="G260" s="201"/>
      <c r="H260" s="201">
        <v>716.71</v>
      </c>
      <c r="I260" s="201">
        <f t="shared" si="89"/>
        <v>78.838100000000011</v>
      </c>
      <c r="J260" s="201">
        <f t="shared" si="90"/>
        <v>795.54810000000009</v>
      </c>
      <c r="K260" s="6">
        <f t="shared" si="91"/>
        <v>0</v>
      </c>
      <c r="L260" s="5">
        <f t="shared" si="92"/>
        <v>795.54810000000009</v>
      </c>
      <c r="M260" s="6">
        <f t="shared" si="93"/>
        <v>0.47</v>
      </c>
      <c r="N260" s="203">
        <f t="shared" si="94"/>
        <v>373.90760700000004</v>
      </c>
      <c r="P260" s="201">
        <f t="shared" si="95"/>
        <v>373.90760700000004</v>
      </c>
    </row>
    <row r="261" spans="3:16" x14ac:dyDescent="0.35">
      <c r="D261" s="184" t="s">
        <v>45</v>
      </c>
      <c r="E261" s="199"/>
      <c r="F261" s="201">
        <f>2227.69*1.0833</f>
        <v>2413.2565770000001</v>
      </c>
      <c r="G261" s="201"/>
      <c r="H261" s="201">
        <v>917.9</v>
      </c>
      <c r="I261" s="201">
        <f t="shared" si="89"/>
        <v>100.96899999999999</v>
      </c>
      <c r="J261" s="201">
        <f t="shared" si="90"/>
        <v>1018.8689999999999</v>
      </c>
      <c r="K261" s="6">
        <f t="shared" si="91"/>
        <v>0</v>
      </c>
      <c r="L261" s="5">
        <f t="shared" si="92"/>
        <v>1018.8689999999999</v>
      </c>
      <c r="M261" s="6">
        <f t="shared" si="93"/>
        <v>0.45</v>
      </c>
      <c r="N261" s="203">
        <f t="shared" si="94"/>
        <v>458.49104999999997</v>
      </c>
      <c r="P261" s="201">
        <f t="shared" si="95"/>
        <v>458.49104999999997</v>
      </c>
    </row>
    <row r="262" spans="3:16" x14ac:dyDescent="0.35">
      <c r="D262" s="184" t="s">
        <v>246</v>
      </c>
      <c r="E262" s="199"/>
      <c r="F262" s="201">
        <v>0</v>
      </c>
      <c r="G262" s="201"/>
      <c r="H262" s="201">
        <v>0</v>
      </c>
      <c r="I262" s="201">
        <v>0</v>
      </c>
      <c r="J262" s="201">
        <v>0</v>
      </c>
      <c r="K262" s="6">
        <f t="shared" si="91"/>
        <v>0</v>
      </c>
      <c r="L262" s="5">
        <f>J262*(1-K262)</f>
        <v>0</v>
      </c>
      <c r="M262" s="6">
        <f t="shared" si="93"/>
        <v>0.47</v>
      </c>
      <c r="N262" s="203">
        <f>L262*M262</f>
        <v>0</v>
      </c>
      <c r="P262" s="201">
        <f t="shared" si="95"/>
        <v>0</v>
      </c>
    </row>
    <row r="263" spans="3:16" x14ac:dyDescent="0.35">
      <c r="E263" s="199"/>
      <c r="F263" s="201"/>
      <c r="G263" s="201"/>
      <c r="H263" s="201"/>
      <c r="I263" s="201"/>
      <c r="J263" s="201"/>
      <c r="K263" s="201"/>
      <c r="L263" s="201"/>
    </row>
    <row r="264" spans="3:16" x14ac:dyDescent="0.35">
      <c r="C264" s="184" t="s">
        <v>67</v>
      </c>
      <c r="E264" s="199"/>
      <c r="F264" s="201"/>
      <c r="G264" s="201"/>
      <c r="H264" s="201"/>
      <c r="I264" s="201"/>
      <c r="J264" s="201"/>
      <c r="K264" s="201"/>
      <c r="L264" s="201"/>
    </row>
    <row r="265" spans="3:16" x14ac:dyDescent="0.35">
      <c r="D265" s="184" t="s">
        <v>245</v>
      </c>
      <c r="E265" s="199"/>
      <c r="F265" s="201">
        <f t="shared" ref="F265:F270" si="96">552.37*12</f>
        <v>6628.4400000000005</v>
      </c>
      <c r="G265" s="201"/>
      <c r="H265" s="201">
        <f t="shared" ref="H265:H270" si="97">591.04*12</f>
        <v>7092.48</v>
      </c>
      <c r="I265" s="201">
        <f t="shared" ref="I265:I270" si="98">J265-H265</f>
        <v>141.84000000000015</v>
      </c>
      <c r="J265" s="201">
        <f t="shared" ref="J265:J270" si="99">602.86*12</f>
        <v>7234.32</v>
      </c>
      <c r="K265" s="6">
        <f t="shared" ref="K265:K271" si="100">K256</f>
        <v>0</v>
      </c>
      <c r="L265" s="5">
        <f t="shared" ref="L265:L270" si="101">J265*(1-K265)</f>
        <v>7234.32</v>
      </c>
      <c r="M265" s="6">
        <f t="shared" ref="M265:M271" si="102">M256</f>
        <v>0.45</v>
      </c>
      <c r="N265" s="203">
        <f t="shared" ref="N265:N270" si="103">L265*M265</f>
        <v>3255.444</v>
      </c>
      <c r="O265" s="205">
        <f t="shared" ref="O265:O271" si="104">-N265*$T$26</f>
        <v>0</v>
      </c>
      <c r="P265" s="201">
        <f t="shared" ref="P265:P271" si="105">+N265+O265</f>
        <v>3255.444</v>
      </c>
    </row>
    <row r="266" spans="3:16" x14ac:dyDescent="0.35">
      <c r="D266" s="184" t="s">
        <v>44</v>
      </c>
      <c r="E266" s="199"/>
      <c r="F266" s="201">
        <f t="shared" si="96"/>
        <v>6628.4400000000005</v>
      </c>
      <c r="G266" s="201"/>
      <c r="H266" s="201">
        <f t="shared" si="97"/>
        <v>7092.48</v>
      </c>
      <c r="I266" s="201">
        <f t="shared" si="98"/>
        <v>141.84000000000015</v>
      </c>
      <c r="J266" s="201">
        <f t="shared" si="99"/>
        <v>7234.32</v>
      </c>
      <c r="K266" s="6">
        <f t="shared" si="100"/>
        <v>0</v>
      </c>
      <c r="L266" s="5">
        <f t="shared" si="101"/>
        <v>7234.32</v>
      </c>
      <c r="M266" s="6">
        <f t="shared" si="102"/>
        <v>0.47</v>
      </c>
      <c r="N266" s="203">
        <f>L266*M266</f>
        <v>3400.1303999999996</v>
      </c>
      <c r="O266" s="205">
        <f t="shared" si="104"/>
        <v>0</v>
      </c>
      <c r="P266" s="201">
        <f t="shared" si="105"/>
        <v>3400.1303999999996</v>
      </c>
    </row>
    <row r="267" spans="3:16" x14ac:dyDescent="0.35">
      <c r="D267" s="184" t="s">
        <v>44</v>
      </c>
      <c r="E267" s="199"/>
      <c r="F267" s="201">
        <f t="shared" si="96"/>
        <v>6628.4400000000005</v>
      </c>
      <c r="G267" s="201"/>
      <c r="H267" s="201">
        <f t="shared" si="97"/>
        <v>7092.48</v>
      </c>
      <c r="I267" s="201">
        <f t="shared" si="98"/>
        <v>141.84000000000015</v>
      </c>
      <c r="J267" s="201">
        <f t="shared" si="99"/>
        <v>7234.32</v>
      </c>
      <c r="K267" s="6">
        <f t="shared" si="100"/>
        <v>0</v>
      </c>
      <c r="L267" s="5">
        <f t="shared" si="101"/>
        <v>7234.32</v>
      </c>
      <c r="M267" s="6">
        <f t="shared" si="102"/>
        <v>0.47</v>
      </c>
      <c r="N267" s="203">
        <f t="shared" si="103"/>
        <v>3400.1303999999996</v>
      </c>
      <c r="O267" s="205">
        <f t="shared" si="104"/>
        <v>0</v>
      </c>
      <c r="P267" s="201">
        <f t="shared" si="105"/>
        <v>3400.1303999999996</v>
      </c>
    </row>
    <row r="268" spans="3:16" x14ac:dyDescent="0.35">
      <c r="D268" s="184" t="s">
        <v>44</v>
      </c>
      <c r="E268" s="199"/>
      <c r="F268" s="201">
        <f t="shared" si="96"/>
        <v>6628.4400000000005</v>
      </c>
      <c r="G268" s="201"/>
      <c r="H268" s="201">
        <f t="shared" si="97"/>
        <v>7092.48</v>
      </c>
      <c r="I268" s="201">
        <f t="shared" si="98"/>
        <v>141.84000000000015</v>
      </c>
      <c r="J268" s="201">
        <f t="shared" si="99"/>
        <v>7234.32</v>
      </c>
      <c r="K268" s="6">
        <f t="shared" si="100"/>
        <v>0</v>
      </c>
      <c r="L268" s="5">
        <f t="shared" si="101"/>
        <v>7234.32</v>
      </c>
      <c r="M268" s="6">
        <f t="shared" si="102"/>
        <v>0.47</v>
      </c>
      <c r="N268" s="203">
        <f t="shared" si="103"/>
        <v>3400.1303999999996</v>
      </c>
      <c r="O268" s="205">
        <f t="shared" si="104"/>
        <v>0</v>
      </c>
      <c r="P268" s="201">
        <f t="shared" si="105"/>
        <v>3400.1303999999996</v>
      </c>
    </row>
    <row r="269" spans="3:16" x14ac:dyDescent="0.35">
      <c r="D269" s="184" t="s">
        <v>44</v>
      </c>
      <c r="E269" s="199"/>
      <c r="F269" s="201">
        <f t="shared" si="96"/>
        <v>6628.4400000000005</v>
      </c>
      <c r="G269" s="201"/>
      <c r="H269" s="201">
        <f t="shared" si="97"/>
        <v>7092.48</v>
      </c>
      <c r="I269" s="201">
        <f t="shared" si="98"/>
        <v>141.84000000000015</v>
      </c>
      <c r="J269" s="201">
        <f t="shared" si="99"/>
        <v>7234.32</v>
      </c>
      <c r="K269" s="6">
        <f t="shared" si="100"/>
        <v>0</v>
      </c>
      <c r="L269" s="5">
        <f t="shared" si="101"/>
        <v>7234.32</v>
      </c>
      <c r="M269" s="6">
        <f t="shared" si="102"/>
        <v>0.47</v>
      </c>
      <c r="N269" s="203">
        <f t="shared" si="103"/>
        <v>3400.1303999999996</v>
      </c>
      <c r="O269" s="205">
        <f t="shared" si="104"/>
        <v>0</v>
      </c>
      <c r="P269" s="201">
        <f t="shared" si="105"/>
        <v>3400.1303999999996</v>
      </c>
    </row>
    <row r="270" spans="3:16" x14ac:dyDescent="0.35">
      <c r="D270" s="184" t="s">
        <v>45</v>
      </c>
      <c r="E270" s="199"/>
      <c r="F270" s="201">
        <f t="shared" si="96"/>
        <v>6628.4400000000005</v>
      </c>
      <c r="G270" s="201"/>
      <c r="H270" s="201">
        <f t="shared" si="97"/>
        <v>7092.48</v>
      </c>
      <c r="I270" s="201">
        <f t="shared" si="98"/>
        <v>141.84000000000015</v>
      </c>
      <c r="J270" s="201">
        <f t="shared" si="99"/>
        <v>7234.32</v>
      </c>
      <c r="K270" s="6">
        <f t="shared" si="100"/>
        <v>0</v>
      </c>
      <c r="L270" s="5">
        <f t="shared" si="101"/>
        <v>7234.32</v>
      </c>
      <c r="M270" s="6">
        <f t="shared" si="102"/>
        <v>0.45</v>
      </c>
      <c r="N270" s="203">
        <f t="shared" si="103"/>
        <v>3255.444</v>
      </c>
      <c r="O270" s="205">
        <f t="shared" si="104"/>
        <v>0</v>
      </c>
      <c r="P270" s="201">
        <f t="shared" si="105"/>
        <v>3255.444</v>
      </c>
    </row>
    <row r="271" spans="3:16" x14ac:dyDescent="0.35">
      <c r="D271" s="184" t="s">
        <v>246</v>
      </c>
      <c r="E271" s="199"/>
      <c r="F271" s="201">
        <v>0</v>
      </c>
      <c r="G271" s="201"/>
      <c r="H271" s="201">
        <v>0</v>
      </c>
      <c r="I271" s="201">
        <v>0</v>
      </c>
      <c r="J271" s="201">
        <v>0</v>
      </c>
      <c r="K271" s="6">
        <f t="shared" si="100"/>
        <v>0</v>
      </c>
      <c r="L271" s="5">
        <f>J271*(1-K271)</f>
        <v>0</v>
      </c>
      <c r="M271" s="6">
        <f t="shared" si="102"/>
        <v>0.47</v>
      </c>
      <c r="N271" s="203">
        <f>L271*M271</f>
        <v>0</v>
      </c>
      <c r="O271" s="205">
        <f t="shared" si="104"/>
        <v>0</v>
      </c>
      <c r="P271" s="201">
        <f t="shared" si="105"/>
        <v>0</v>
      </c>
    </row>
    <row r="272" spans="3:16" x14ac:dyDescent="0.35">
      <c r="E272" s="199"/>
      <c r="F272" s="201"/>
      <c r="G272" s="201"/>
      <c r="H272" s="201"/>
      <c r="I272" s="201"/>
      <c r="J272" s="201"/>
      <c r="K272" s="201"/>
      <c r="L272" s="201"/>
    </row>
    <row r="273" spans="3:16" x14ac:dyDescent="0.35">
      <c r="C273" s="184" t="s">
        <v>68</v>
      </c>
      <c r="E273" s="199"/>
      <c r="F273" s="201"/>
      <c r="G273" s="201"/>
      <c r="H273" s="201"/>
      <c r="I273" s="201"/>
      <c r="J273" s="201"/>
      <c r="K273" s="201"/>
      <c r="L273" s="201"/>
    </row>
    <row r="274" spans="3:16" x14ac:dyDescent="0.35">
      <c r="D274" s="184" t="s">
        <v>245</v>
      </c>
      <c r="E274" s="199"/>
      <c r="F274" s="201">
        <v>90.75</v>
      </c>
      <c r="G274" s="201"/>
      <c r="H274" s="201">
        <v>112.95</v>
      </c>
      <c r="I274" s="4">
        <f>H274*(1-1.01)</f>
        <v>-1.1295000000000011</v>
      </c>
      <c r="J274" s="201">
        <f t="shared" ref="J274:J280" si="106">H274+I274</f>
        <v>111.8205</v>
      </c>
      <c r="K274" s="6">
        <f t="shared" ref="K274:K280" si="107">K265</f>
        <v>0</v>
      </c>
      <c r="L274" s="5">
        <f t="shared" ref="L274:L279" si="108">J274*(1-K274)</f>
        <v>111.8205</v>
      </c>
      <c r="M274" s="6">
        <f t="shared" ref="M274:M280" si="109">M265</f>
        <v>0.45</v>
      </c>
      <c r="N274" s="203">
        <f t="shared" ref="N274:N279" si="110">L274*M274</f>
        <v>50.319224999999996</v>
      </c>
      <c r="P274" s="201">
        <f t="shared" ref="P274:P280" si="111">+N274+O274</f>
        <v>50.319224999999996</v>
      </c>
    </row>
    <row r="275" spans="3:16" x14ac:dyDescent="0.35">
      <c r="D275" s="184" t="s">
        <v>44</v>
      </c>
      <c r="E275" s="199"/>
      <c r="F275" s="201">
        <v>42.75</v>
      </c>
      <c r="G275" s="201"/>
      <c r="H275" s="201">
        <v>52.11</v>
      </c>
      <c r="I275" s="4">
        <f t="shared" ref="I275:I280" si="112">H275*(1-1.01)</f>
        <v>-0.52110000000000045</v>
      </c>
      <c r="J275" s="201">
        <f t="shared" si="106"/>
        <v>51.588900000000002</v>
      </c>
      <c r="K275" s="6">
        <f t="shared" si="107"/>
        <v>0</v>
      </c>
      <c r="L275" s="5">
        <f t="shared" si="108"/>
        <v>51.588900000000002</v>
      </c>
      <c r="M275" s="6">
        <f t="shared" si="109"/>
        <v>0.47</v>
      </c>
      <c r="N275" s="203">
        <f t="shared" si="110"/>
        <v>24.246783000000001</v>
      </c>
      <c r="P275" s="201">
        <f t="shared" si="111"/>
        <v>24.246783000000001</v>
      </c>
    </row>
    <row r="276" spans="3:16" x14ac:dyDescent="0.35">
      <c r="D276" s="184" t="s">
        <v>44</v>
      </c>
      <c r="E276" s="199"/>
      <c r="F276" s="201">
        <v>42.75</v>
      </c>
      <c r="G276" s="201"/>
      <c r="H276" s="201">
        <v>52.11</v>
      </c>
      <c r="I276" s="4">
        <f t="shared" si="112"/>
        <v>-0.52110000000000045</v>
      </c>
      <c r="J276" s="201">
        <f t="shared" si="106"/>
        <v>51.588900000000002</v>
      </c>
      <c r="K276" s="6">
        <f t="shared" si="107"/>
        <v>0</v>
      </c>
      <c r="L276" s="5">
        <f t="shared" si="108"/>
        <v>51.588900000000002</v>
      </c>
      <c r="M276" s="6">
        <f t="shared" si="109"/>
        <v>0.47</v>
      </c>
      <c r="N276" s="203">
        <f t="shared" si="110"/>
        <v>24.246783000000001</v>
      </c>
      <c r="P276" s="201">
        <f t="shared" si="111"/>
        <v>24.246783000000001</v>
      </c>
    </row>
    <row r="277" spans="3:16" x14ac:dyDescent="0.35">
      <c r="D277" s="184" t="s">
        <v>44</v>
      </c>
      <c r="E277" s="199"/>
      <c r="F277" s="201">
        <v>57.96</v>
      </c>
      <c r="G277" s="201"/>
      <c r="H277" s="201">
        <v>68.069999999999993</v>
      </c>
      <c r="I277" s="4">
        <f t="shared" si="112"/>
        <v>-0.68070000000000053</v>
      </c>
      <c r="J277" s="201">
        <f t="shared" si="106"/>
        <v>67.389299999999992</v>
      </c>
      <c r="K277" s="6">
        <f t="shared" si="107"/>
        <v>0</v>
      </c>
      <c r="L277" s="5">
        <f t="shared" si="108"/>
        <v>67.389299999999992</v>
      </c>
      <c r="M277" s="6">
        <f t="shared" si="109"/>
        <v>0.47</v>
      </c>
      <c r="N277" s="203">
        <f t="shared" si="110"/>
        <v>31.672970999999993</v>
      </c>
      <c r="P277" s="201">
        <f t="shared" si="111"/>
        <v>31.672970999999993</v>
      </c>
    </row>
    <row r="278" spans="3:16" x14ac:dyDescent="0.35">
      <c r="D278" s="184" t="s">
        <v>44</v>
      </c>
      <c r="E278" s="199"/>
      <c r="F278" s="201">
        <v>58</v>
      </c>
      <c r="G278" s="201"/>
      <c r="H278" s="201">
        <v>52.11</v>
      </c>
      <c r="I278" s="4">
        <f t="shared" si="112"/>
        <v>-0.52110000000000045</v>
      </c>
      <c r="J278" s="201">
        <f t="shared" si="106"/>
        <v>51.588900000000002</v>
      </c>
      <c r="K278" s="6">
        <f t="shared" si="107"/>
        <v>0</v>
      </c>
      <c r="L278" s="5">
        <f t="shared" si="108"/>
        <v>51.588900000000002</v>
      </c>
      <c r="M278" s="6">
        <f t="shared" si="109"/>
        <v>0.47</v>
      </c>
      <c r="N278" s="203">
        <f t="shared" si="110"/>
        <v>24.246783000000001</v>
      </c>
      <c r="P278" s="201">
        <f t="shared" si="111"/>
        <v>24.246783000000001</v>
      </c>
    </row>
    <row r="279" spans="3:16" x14ac:dyDescent="0.35">
      <c r="D279" s="184" t="s">
        <v>45</v>
      </c>
      <c r="E279" s="199"/>
      <c r="F279" s="201">
        <v>72.459999999999994</v>
      </c>
      <c r="G279" s="201"/>
      <c r="H279" s="201">
        <v>67.03</v>
      </c>
      <c r="I279" s="4">
        <f t="shared" si="112"/>
        <v>-0.67030000000000056</v>
      </c>
      <c r="J279" s="201">
        <f t="shared" si="106"/>
        <v>66.359700000000004</v>
      </c>
      <c r="K279" s="6">
        <f t="shared" si="107"/>
        <v>0</v>
      </c>
      <c r="L279" s="5">
        <f t="shared" si="108"/>
        <v>66.359700000000004</v>
      </c>
      <c r="M279" s="6">
        <f t="shared" si="109"/>
        <v>0.45</v>
      </c>
      <c r="N279" s="203">
        <f t="shared" si="110"/>
        <v>29.861865000000002</v>
      </c>
      <c r="P279" s="201">
        <f t="shared" si="111"/>
        <v>29.861865000000002</v>
      </c>
    </row>
    <row r="280" spans="3:16" x14ac:dyDescent="0.35">
      <c r="D280" s="184" t="s">
        <v>246</v>
      </c>
      <c r="E280" s="199"/>
      <c r="F280" s="201"/>
      <c r="G280" s="201"/>
      <c r="H280" s="201">
        <v>7.08</v>
      </c>
      <c r="I280" s="4">
        <f t="shared" si="112"/>
        <v>-7.0800000000000057E-2</v>
      </c>
      <c r="J280" s="201">
        <f t="shared" si="106"/>
        <v>7.0091999999999999</v>
      </c>
      <c r="K280" s="6">
        <f t="shared" si="107"/>
        <v>0</v>
      </c>
      <c r="L280" s="5">
        <f>J280*(1-K280)</f>
        <v>7.0091999999999999</v>
      </c>
      <c r="M280" s="6">
        <f t="shared" si="109"/>
        <v>0.47</v>
      </c>
      <c r="N280" s="203">
        <f>L280*M280</f>
        <v>3.2943239999999996</v>
      </c>
      <c r="P280" s="201">
        <f t="shared" si="111"/>
        <v>3.2943239999999996</v>
      </c>
    </row>
    <row r="281" spans="3:16" x14ac:dyDescent="0.35">
      <c r="E281" s="199"/>
      <c r="F281" s="201"/>
      <c r="G281" s="201"/>
      <c r="H281" s="201"/>
      <c r="I281" s="201"/>
      <c r="J281" s="201"/>
      <c r="K281" s="201"/>
      <c r="L281" s="201"/>
    </row>
    <row r="282" spans="3:16" x14ac:dyDescent="0.35">
      <c r="C282" s="184" t="s">
        <v>53</v>
      </c>
      <c r="E282" s="199"/>
      <c r="F282" s="201"/>
      <c r="G282" s="201"/>
      <c r="H282" s="201"/>
      <c r="I282" s="201"/>
      <c r="J282" s="201"/>
      <c r="K282" s="201"/>
      <c r="L282" s="201"/>
    </row>
    <row r="283" spans="3:16" x14ac:dyDescent="0.35">
      <c r="D283" s="184" t="s">
        <v>245</v>
      </c>
      <c r="E283" s="199"/>
      <c r="F283" s="201">
        <f t="shared" ref="F283:F288" si="113">27.28*12</f>
        <v>327.36</v>
      </c>
      <c r="G283" s="201"/>
      <c r="H283" s="201">
        <f t="shared" ref="H283:H288" si="114">27.28*12</f>
        <v>327.36</v>
      </c>
      <c r="I283" s="201">
        <f t="shared" ref="I283:I289" si="115">J283-H283</f>
        <v>13.439999999999941</v>
      </c>
      <c r="J283" s="201">
        <f t="shared" ref="J283:J288" si="116">+(22.11+6.29)*12</f>
        <v>340.79999999999995</v>
      </c>
      <c r="K283" s="6">
        <f t="shared" ref="K283:K289" si="117">K274</f>
        <v>0</v>
      </c>
      <c r="L283" s="5">
        <f t="shared" ref="L283:L288" si="118">J283*(1-K283)</f>
        <v>340.79999999999995</v>
      </c>
      <c r="M283" s="6">
        <f t="shared" ref="M283:M289" si="119">M274</f>
        <v>0.45</v>
      </c>
      <c r="N283" s="203">
        <f t="shared" ref="N283:N288" si="120">L283*M283</f>
        <v>153.35999999999999</v>
      </c>
      <c r="O283" s="205">
        <f t="shared" ref="O283:O289" si="121">-N283*$T$27</f>
        <v>0</v>
      </c>
      <c r="P283" s="201">
        <f t="shared" ref="P283:P289" si="122">+N283+O283</f>
        <v>153.35999999999999</v>
      </c>
    </row>
    <row r="284" spans="3:16" x14ac:dyDescent="0.35">
      <c r="D284" s="184" t="s">
        <v>44</v>
      </c>
      <c r="E284" s="199"/>
      <c r="F284" s="201">
        <f t="shared" si="113"/>
        <v>327.36</v>
      </c>
      <c r="G284" s="201"/>
      <c r="H284" s="201">
        <f t="shared" si="114"/>
        <v>327.36</v>
      </c>
      <c r="I284" s="201">
        <f t="shared" si="115"/>
        <v>13.439999999999941</v>
      </c>
      <c r="J284" s="201">
        <f t="shared" si="116"/>
        <v>340.79999999999995</v>
      </c>
      <c r="K284" s="6">
        <f t="shared" si="117"/>
        <v>0</v>
      </c>
      <c r="L284" s="5">
        <f t="shared" si="118"/>
        <v>340.79999999999995</v>
      </c>
      <c r="M284" s="6">
        <f t="shared" si="119"/>
        <v>0.47</v>
      </c>
      <c r="N284" s="203">
        <f t="shared" si="120"/>
        <v>160.17599999999996</v>
      </c>
      <c r="O284" s="205">
        <f t="shared" si="121"/>
        <v>0</v>
      </c>
      <c r="P284" s="201">
        <f t="shared" si="122"/>
        <v>160.17599999999996</v>
      </c>
    </row>
    <row r="285" spans="3:16" x14ac:dyDescent="0.35">
      <c r="D285" s="184" t="s">
        <v>44</v>
      </c>
      <c r="E285" s="199"/>
      <c r="F285" s="201">
        <f t="shared" si="113"/>
        <v>327.36</v>
      </c>
      <c r="G285" s="201"/>
      <c r="H285" s="201">
        <f t="shared" si="114"/>
        <v>327.36</v>
      </c>
      <c r="I285" s="201">
        <f t="shared" si="115"/>
        <v>13.439999999999941</v>
      </c>
      <c r="J285" s="201">
        <f t="shared" si="116"/>
        <v>340.79999999999995</v>
      </c>
      <c r="K285" s="6">
        <f t="shared" si="117"/>
        <v>0</v>
      </c>
      <c r="L285" s="5">
        <f t="shared" si="118"/>
        <v>340.79999999999995</v>
      </c>
      <c r="M285" s="6">
        <f t="shared" si="119"/>
        <v>0.47</v>
      </c>
      <c r="N285" s="203">
        <f t="shared" si="120"/>
        <v>160.17599999999996</v>
      </c>
      <c r="O285" s="205">
        <f t="shared" si="121"/>
        <v>0</v>
      </c>
      <c r="P285" s="201">
        <f t="shared" si="122"/>
        <v>160.17599999999996</v>
      </c>
    </row>
    <row r="286" spans="3:16" x14ac:dyDescent="0.35">
      <c r="D286" s="184" t="s">
        <v>44</v>
      </c>
      <c r="E286" s="199"/>
      <c r="F286" s="201">
        <f t="shared" si="113"/>
        <v>327.36</v>
      </c>
      <c r="G286" s="201"/>
      <c r="H286" s="201">
        <f t="shared" si="114"/>
        <v>327.36</v>
      </c>
      <c r="I286" s="201">
        <f t="shared" si="115"/>
        <v>13.439999999999941</v>
      </c>
      <c r="J286" s="201">
        <f t="shared" si="116"/>
        <v>340.79999999999995</v>
      </c>
      <c r="K286" s="6">
        <f t="shared" si="117"/>
        <v>0</v>
      </c>
      <c r="L286" s="5">
        <f t="shared" si="118"/>
        <v>340.79999999999995</v>
      </c>
      <c r="M286" s="6">
        <f t="shared" si="119"/>
        <v>0.47</v>
      </c>
      <c r="N286" s="203">
        <f t="shared" si="120"/>
        <v>160.17599999999996</v>
      </c>
      <c r="O286" s="205">
        <f t="shared" si="121"/>
        <v>0</v>
      </c>
      <c r="P286" s="201">
        <f t="shared" si="122"/>
        <v>160.17599999999996</v>
      </c>
    </row>
    <row r="287" spans="3:16" x14ac:dyDescent="0.35">
      <c r="D287" s="184" t="s">
        <v>44</v>
      </c>
      <c r="E287" s="199"/>
      <c r="F287" s="201">
        <f t="shared" si="113"/>
        <v>327.36</v>
      </c>
      <c r="G287" s="201"/>
      <c r="H287" s="201">
        <f t="shared" si="114"/>
        <v>327.36</v>
      </c>
      <c r="I287" s="201">
        <f t="shared" si="115"/>
        <v>13.439999999999941</v>
      </c>
      <c r="J287" s="201">
        <f t="shared" si="116"/>
        <v>340.79999999999995</v>
      </c>
      <c r="K287" s="6">
        <f t="shared" si="117"/>
        <v>0</v>
      </c>
      <c r="L287" s="5">
        <f t="shared" si="118"/>
        <v>340.79999999999995</v>
      </c>
      <c r="M287" s="6">
        <f t="shared" si="119"/>
        <v>0.47</v>
      </c>
      <c r="N287" s="203">
        <f t="shared" si="120"/>
        <v>160.17599999999996</v>
      </c>
      <c r="O287" s="205">
        <f t="shared" si="121"/>
        <v>0</v>
      </c>
      <c r="P287" s="201">
        <f t="shared" si="122"/>
        <v>160.17599999999996</v>
      </c>
    </row>
    <row r="288" spans="3:16" x14ac:dyDescent="0.35">
      <c r="D288" s="184" t="s">
        <v>45</v>
      </c>
      <c r="E288" s="199"/>
      <c r="F288" s="201">
        <f t="shared" si="113"/>
        <v>327.36</v>
      </c>
      <c r="G288" s="201"/>
      <c r="H288" s="201">
        <f t="shared" si="114"/>
        <v>327.36</v>
      </c>
      <c r="I288" s="201">
        <f t="shared" si="115"/>
        <v>13.439999999999941</v>
      </c>
      <c r="J288" s="201">
        <f t="shared" si="116"/>
        <v>340.79999999999995</v>
      </c>
      <c r="K288" s="6">
        <f t="shared" si="117"/>
        <v>0</v>
      </c>
      <c r="L288" s="5">
        <f t="shared" si="118"/>
        <v>340.79999999999995</v>
      </c>
      <c r="M288" s="6">
        <f t="shared" si="119"/>
        <v>0.45</v>
      </c>
      <c r="N288" s="203">
        <f t="shared" si="120"/>
        <v>153.35999999999999</v>
      </c>
      <c r="O288" s="205">
        <f t="shared" si="121"/>
        <v>0</v>
      </c>
      <c r="P288" s="201">
        <f t="shared" si="122"/>
        <v>153.35999999999999</v>
      </c>
    </row>
    <row r="289" spans="3:16" x14ac:dyDescent="0.35">
      <c r="D289" s="184" t="s">
        <v>246</v>
      </c>
      <c r="E289" s="199"/>
      <c r="F289" s="201">
        <v>0</v>
      </c>
      <c r="G289" s="201"/>
      <c r="H289" s="201">
        <v>0</v>
      </c>
      <c r="I289" s="201">
        <f t="shared" si="115"/>
        <v>0</v>
      </c>
      <c r="J289" s="201">
        <v>0</v>
      </c>
      <c r="K289" s="6">
        <f t="shared" si="117"/>
        <v>0</v>
      </c>
      <c r="L289" s="5">
        <f>J289*(1-K289)</f>
        <v>0</v>
      </c>
      <c r="M289" s="6">
        <f t="shared" si="119"/>
        <v>0.47</v>
      </c>
      <c r="N289" s="203">
        <f>L289*M289</f>
        <v>0</v>
      </c>
      <c r="O289" s="205">
        <f t="shared" si="121"/>
        <v>0</v>
      </c>
      <c r="P289" s="201">
        <f t="shared" si="122"/>
        <v>0</v>
      </c>
    </row>
    <row r="290" spans="3:16" x14ac:dyDescent="0.35">
      <c r="E290" s="199"/>
      <c r="F290" s="201"/>
      <c r="G290" s="201"/>
      <c r="H290" s="201"/>
      <c r="I290" s="201"/>
      <c r="J290" s="201"/>
      <c r="K290" s="201"/>
      <c r="L290" s="201"/>
    </row>
    <row r="291" spans="3:16" x14ac:dyDescent="0.35">
      <c r="C291" s="184" t="s">
        <v>54</v>
      </c>
      <c r="E291" s="199"/>
      <c r="F291" s="201"/>
      <c r="G291" s="201"/>
      <c r="H291" s="201"/>
      <c r="I291" s="201"/>
      <c r="J291" s="201"/>
      <c r="K291" s="201"/>
      <c r="L291" s="201"/>
    </row>
    <row r="292" spans="3:16" x14ac:dyDescent="0.35">
      <c r="D292" s="184" t="s">
        <v>245</v>
      </c>
      <c r="E292" s="199"/>
      <c r="F292" s="201">
        <f>70.94*12</f>
        <v>851.28</v>
      </c>
      <c r="G292" s="201"/>
      <c r="H292" s="201">
        <f>77.24*12</f>
        <v>926.87999999999988</v>
      </c>
      <c r="I292" s="201">
        <f t="shared" ref="I292:I297" si="123">J292-H292</f>
        <v>136.33116427500022</v>
      </c>
      <c r="J292" s="211">
        <f>ROUNDUP((J247+J256)*3,-3)*(0.16/1000*12)+ROUNDUP((J247+J256)*3,-3)*(0.026/1000*12)+(((J247+J256)*0.545/100/12)*12)</f>
        <v>1063.2111642750001</v>
      </c>
      <c r="K292" s="6">
        <f t="shared" ref="K292:K297" si="124">K283</f>
        <v>0</v>
      </c>
      <c r="L292" s="5">
        <f t="shared" ref="L292:L297" si="125">J292*(1-K292)</f>
        <v>1063.2111642750001</v>
      </c>
      <c r="M292" s="6">
        <f t="shared" ref="M292:M298" si="126">M283</f>
        <v>0.45</v>
      </c>
      <c r="N292" s="203">
        <f t="shared" ref="N292:N297" si="127">L292*M292</f>
        <v>478.44502392375006</v>
      </c>
      <c r="P292" s="201">
        <f t="shared" ref="P292:P298" si="128">+N292+O292</f>
        <v>478.44502392375006</v>
      </c>
    </row>
    <row r="293" spans="3:16" x14ac:dyDescent="0.35">
      <c r="D293" s="184" t="s">
        <v>44</v>
      </c>
      <c r="E293" s="199"/>
      <c r="F293" s="201">
        <f>32.72*12</f>
        <v>392.64</v>
      </c>
      <c r="G293" s="201"/>
      <c r="H293" s="201">
        <f>33.72*12</f>
        <v>404.64</v>
      </c>
      <c r="I293" s="201">
        <f t="shared" si="123"/>
        <v>47.84624156853431</v>
      </c>
      <c r="J293" s="211">
        <f t="shared" ref="J293:J297" si="129">ROUNDUP((J248+J257)*3,-3)*(0.16/1000*12)+ROUNDUP((J248+J257)*3,-3)*(0.026/1000*12)+(((J248+J257)*0.545/100/12)*12)</f>
        <v>452.4862415685343</v>
      </c>
      <c r="K293" s="6">
        <f t="shared" si="124"/>
        <v>0</v>
      </c>
      <c r="L293" s="5">
        <f t="shared" si="125"/>
        <v>452.4862415685343</v>
      </c>
      <c r="M293" s="6">
        <f t="shared" si="126"/>
        <v>0.47</v>
      </c>
      <c r="N293" s="203">
        <f>L293*M293</f>
        <v>212.66853353721112</v>
      </c>
      <c r="P293" s="201">
        <f t="shared" si="128"/>
        <v>212.66853353721112</v>
      </c>
    </row>
    <row r="294" spans="3:16" x14ac:dyDescent="0.35">
      <c r="D294" s="184" t="s">
        <v>44</v>
      </c>
      <c r="E294" s="199"/>
      <c r="F294" s="201">
        <f>32.72*12</f>
        <v>392.64</v>
      </c>
      <c r="G294" s="201"/>
      <c r="H294" s="201">
        <f>34.68*12</f>
        <v>416.15999999999997</v>
      </c>
      <c r="I294" s="201">
        <f t="shared" si="123"/>
        <v>89.508715499999994</v>
      </c>
      <c r="J294" s="211">
        <f t="shared" si="129"/>
        <v>505.66871549999996</v>
      </c>
      <c r="K294" s="6">
        <f t="shared" si="124"/>
        <v>0</v>
      </c>
      <c r="L294" s="5">
        <f t="shared" si="125"/>
        <v>505.66871549999996</v>
      </c>
      <c r="M294" s="6">
        <f t="shared" si="126"/>
        <v>0.47</v>
      </c>
      <c r="N294" s="203">
        <f t="shared" si="127"/>
        <v>237.66429628499998</v>
      </c>
      <c r="P294" s="201">
        <f t="shared" si="128"/>
        <v>237.66429628499998</v>
      </c>
    </row>
    <row r="295" spans="3:16" x14ac:dyDescent="0.35">
      <c r="D295" s="184" t="s">
        <v>44</v>
      </c>
      <c r="E295" s="199"/>
      <c r="F295" s="201">
        <f>42.81*12</f>
        <v>513.72</v>
      </c>
      <c r="G295" s="201"/>
      <c r="H295" s="201">
        <f>46.69*12</f>
        <v>560.28</v>
      </c>
      <c r="I295" s="201">
        <f t="shared" si="123"/>
        <v>97.851071430000047</v>
      </c>
      <c r="J295" s="211">
        <f t="shared" si="129"/>
        <v>658.13107143000002</v>
      </c>
      <c r="K295" s="6">
        <f t="shared" si="124"/>
        <v>0</v>
      </c>
      <c r="L295" s="5">
        <f t="shared" si="125"/>
        <v>658.13107143000002</v>
      </c>
      <c r="M295" s="6">
        <f t="shared" si="126"/>
        <v>0.47</v>
      </c>
      <c r="N295" s="203">
        <f t="shared" si="127"/>
        <v>309.3216035721</v>
      </c>
      <c r="P295" s="201">
        <f t="shared" si="128"/>
        <v>309.3216035721</v>
      </c>
    </row>
    <row r="296" spans="3:16" x14ac:dyDescent="0.35">
      <c r="D296" s="184" t="s">
        <v>44</v>
      </c>
      <c r="E296" s="199"/>
      <c r="F296" s="201">
        <f>42.14*12</f>
        <v>505.68</v>
      </c>
      <c r="G296" s="201"/>
      <c r="H296" s="201">
        <f>34.68*12</f>
        <v>416.15999999999997</v>
      </c>
      <c r="I296" s="201">
        <f t="shared" si="123"/>
        <v>73.593240525000056</v>
      </c>
      <c r="J296" s="211">
        <f t="shared" si="129"/>
        <v>489.75324052500002</v>
      </c>
      <c r="K296" s="6">
        <f t="shared" si="124"/>
        <v>0</v>
      </c>
      <c r="L296" s="5">
        <f t="shared" si="125"/>
        <v>489.75324052500002</v>
      </c>
      <c r="M296" s="6">
        <f t="shared" si="126"/>
        <v>0.47</v>
      </c>
      <c r="N296" s="203">
        <f t="shared" si="127"/>
        <v>230.18402304674999</v>
      </c>
      <c r="P296" s="201">
        <f t="shared" si="128"/>
        <v>230.18402304674999</v>
      </c>
    </row>
    <row r="297" spans="3:16" x14ac:dyDescent="0.35">
      <c r="D297" s="184" t="s">
        <v>45</v>
      </c>
      <c r="F297" s="201">
        <f>53.25*12</f>
        <v>639</v>
      </c>
      <c r="G297" s="201"/>
      <c r="H297" s="203">
        <f>44.71*12</f>
        <v>536.52</v>
      </c>
      <c r="I297" s="201">
        <f t="shared" si="123"/>
        <v>122.7602344500001</v>
      </c>
      <c r="J297" s="211">
        <f t="shared" si="129"/>
        <v>659.28023445000008</v>
      </c>
      <c r="K297" s="6">
        <f t="shared" si="124"/>
        <v>0</v>
      </c>
      <c r="L297" s="5">
        <f t="shared" si="125"/>
        <v>659.28023445000008</v>
      </c>
      <c r="M297" s="6">
        <f t="shared" si="126"/>
        <v>0.45</v>
      </c>
      <c r="N297" s="203">
        <f t="shared" si="127"/>
        <v>296.67610550250004</v>
      </c>
      <c r="P297" s="201">
        <f t="shared" si="128"/>
        <v>296.67610550250004</v>
      </c>
    </row>
    <row r="298" spans="3:16" x14ac:dyDescent="0.35">
      <c r="D298" s="184" t="s">
        <v>246</v>
      </c>
      <c r="F298" s="201">
        <v>0</v>
      </c>
      <c r="G298" s="201"/>
      <c r="H298" s="203">
        <v>0</v>
      </c>
      <c r="I298" s="201">
        <v>0</v>
      </c>
      <c r="J298" s="211">
        <v>0</v>
      </c>
      <c r="K298" s="6">
        <v>0</v>
      </c>
      <c r="L298" s="5">
        <f>J298*(1-K298)</f>
        <v>0</v>
      </c>
      <c r="M298" s="6">
        <f t="shared" si="126"/>
        <v>0.47</v>
      </c>
      <c r="N298" s="203">
        <f>L298*M298</f>
        <v>0</v>
      </c>
      <c r="P298" s="201">
        <f t="shared" si="128"/>
        <v>0</v>
      </c>
    </row>
    <row r="299" spans="3:16" x14ac:dyDescent="0.35">
      <c r="K299" s="201"/>
      <c r="L299" s="201"/>
    </row>
    <row r="300" spans="3:16" x14ac:dyDescent="0.35">
      <c r="C300" s="184" t="s">
        <v>162</v>
      </c>
      <c r="K300" s="201"/>
      <c r="L300" s="201"/>
    </row>
    <row r="301" spans="3:16" x14ac:dyDescent="0.35">
      <c r="D301" s="184" t="s">
        <v>245</v>
      </c>
      <c r="F301" s="201">
        <f>(F247+F257)*0.0765</f>
        <v>5773.5123750000002</v>
      </c>
      <c r="G301" s="201"/>
      <c r="H301" s="201">
        <f t="shared" ref="H301:H307" si="130">(H247+H256)*0.0765</f>
        <v>6021.8084249999993</v>
      </c>
      <c r="I301" s="201">
        <f t="shared" ref="I301:I307" si="131">J301-H301</f>
        <v>662.39892675000101</v>
      </c>
      <c r="J301" s="201">
        <f t="shared" ref="J301:J307" si="132">(J247+J256)*0.0765</f>
        <v>6684.2073517500003</v>
      </c>
      <c r="K301" s="6">
        <f t="shared" ref="K301:K307" si="133">K292</f>
        <v>0</v>
      </c>
      <c r="L301" s="5">
        <f t="shared" ref="L301:L306" si="134">J301*(1-K301)</f>
        <v>6684.2073517500003</v>
      </c>
      <c r="M301" s="6">
        <f t="shared" ref="M301:M307" si="135">M292</f>
        <v>0.45</v>
      </c>
      <c r="N301" s="203">
        <f t="shared" ref="N301:N306" si="136">L301*M301</f>
        <v>3007.8933082875001</v>
      </c>
      <c r="P301" s="201">
        <f t="shared" ref="P301:P307" si="137">+N301+O301</f>
        <v>3007.8933082875001</v>
      </c>
    </row>
    <row r="302" spans="3:16" x14ac:dyDescent="0.35">
      <c r="D302" s="184" t="s">
        <v>44</v>
      </c>
      <c r="F302" s="201">
        <f>(F248+F258)*0.0765</f>
        <v>2812.14</v>
      </c>
      <c r="G302" s="201"/>
      <c r="H302" s="201">
        <f t="shared" si="130"/>
        <v>2560.7771683598421</v>
      </c>
      <c r="I302" s="201">
        <f t="shared" si="131"/>
        <v>281.68548851958303</v>
      </c>
      <c r="J302" s="201">
        <f t="shared" si="132"/>
        <v>2842.4626568794251</v>
      </c>
      <c r="K302" s="6">
        <f t="shared" si="133"/>
        <v>0</v>
      </c>
      <c r="L302" s="5">
        <f t="shared" si="134"/>
        <v>2842.4626568794251</v>
      </c>
      <c r="M302" s="6">
        <f t="shared" si="135"/>
        <v>0.47</v>
      </c>
      <c r="N302" s="203">
        <f t="shared" si="136"/>
        <v>1335.9574487333298</v>
      </c>
      <c r="P302" s="201">
        <f t="shared" si="137"/>
        <v>1335.9574487333298</v>
      </c>
    </row>
    <row r="303" spans="3:16" x14ac:dyDescent="0.35">
      <c r="D303" s="184" t="s">
        <v>44</v>
      </c>
      <c r="F303" s="201">
        <f>(F249+F259)*0.0765</f>
        <v>2599.8670350000002</v>
      </c>
      <c r="G303" s="201"/>
      <c r="H303" s="201">
        <f t="shared" si="130"/>
        <v>2866.3784999999998</v>
      </c>
      <c r="I303" s="201">
        <f t="shared" si="131"/>
        <v>315.30163499999981</v>
      </c>
      <c r="J303" s="201">
        <f t="shared" si="132"/>
        <v>3181.6801349999996</v>
      </c>
      <c r="K303" s="6">
        <f t="shared" si="133"/>
        <v>0</v>
      </c>
      <c r="L303" s="5">
        <f t="shared" si="134"/>
        <v>3181.6801349999996</v>
      </c>
      <c r="M303" s="6">
        <f t="shared" si="135"/>
        <v>0.47</v>
      </c>
      <c r="N303" s="203">
        <f t="shared" si="136"/>
        <v>1495.3896634499997</v>
      </c>
      <c r="P303" s="201">
        <f t="shared" si="137"/>
        <v>1495.3896634499997</v>
      </c>
    </row>
    <row r="304" spans="3:16" x14ac:dyDescent="0.35">
      <c r="D304" s="184" t="s">
        <v>44</v>
      </c>
      <c r="F304" s="201">
        <f>(F250+F260)*0.0765</f>
        <v>3712.4769149999993</v>
      </c>
      <c r="G304" s="201"/>
      <c r="H304" s="201">
        <f t="shared" si="130"/>
        <v>3721.8122100000001</v>
      </c>
      <c r="I304" s="201">
        <f t="shared" si="131"/>
        <v>409.3993430999999</v>
      </c>
      <c r="J304" s="201">
        <f t="shared" si="132"/>
        <v>4131.2115530999999</v>
      </c>
      <c r="K304" s="6">
        <f t="shared" si="133"/>
        <v>0</v>
      </c>
      <c r="L304" s="5">
        <f t="shared" si="134"/>
        <v>4131.2115530999999</v>
      </c>
      <c r="M304" s="6">
        <f t="shared" si="135"/>
        <v>0.47</v>
      </c>
      <c r="N304" s="203">
        <f t="shared" si="136"/>
        <v>1941.6694299569999</v>
      </c>
      <c r="P304" s="201">
        <f t="shared" si="137"/>
        <v>1941.6694299569999</v>
      </c>
    </row>
    <row r="305" spans="3:31" x14ac:dyDescent="0.35">
      <c r="D305" s="184" t="s">
        <v>44</v>
      </c>
      <c r="F305" s="201">
        <f>(F251+F261)*0.0765</f>
        <v>3639.2913981405</v>
      </c>
      <c r="G305" s="201"/>
      <c r="H305" s="201">
        <f t="shared" si="130"/>
        <v>2778.017175</v>
      </c>
      <c r="I305" s="201">
        <f t="shared" si="131"/>
        <v>305.58188924999968</v>
      </c>
      <c r="J305" s="201">
        <f t="shared" si="132"/>
        <v>3083.5990642499996</v>
      </c>
      <c r="K305" s="6">
        <f t="shared" si="133"/>
        <v>0</v>
      </c>
      <c r="L305" s="5">
        <f t="shared" si="134"/>
        <v>3083.5990642499996</v>
      </c>
      <c r="M305" s="6">
        <f t="shared" si="135"/>
        <v>0.47</v>
      </c>
      <c r="N305" s="203">
        <f t="shared" si="136"/>
        <v>1449.2915601974998</v>
      </c>
      <c r="P305" s="201">
        <f t="shared" si="137"/>
        <v>1449.2915601974998</v>
      </c>
    </row>
    <row r="306" spans="3:31" x14ac:dyDescent="0.35">
      <c r="D306" s="184" t="s">
        <v>45</v>
      </c>
      <c r="F306" s="201">
        <f>(F252+F263)*0.0765</f>
        <v>5483.3625597104992</v>
      </c>
      <c r="G306" s="201"/>
      <c r="H306" s="201">
        <f t="shared" si="130"/>
        <v>3736.3441499999999</v>
      </c>
      <c r="I306" s="201">
        <f t="shared" si="131"/>
        <v>410.99785649999922</v>
      </c>
      <c r="J306" s="201">
        <f t="shared" si="132"/>
        <v>4147.3420064999991</v>
      </c>
      <c r="K306" s="6">
        <f t="shared" si="133"/>
        <v>0</v>
      </c>
      <c r="L306" s="5">
        <f t="shared" si="134"/>
        <v>4147.3420064999991</v>
      </c>
      <c r="M306" s="6">
        <f t="shared" si="135"/>
        <v>0.45</v>
      </c>
      <c r="N306" s="203">
        <f t="shared" si="136"/>
        <v>1866.3039029249996</v>
      </c>
      <c r="P306" s="201">
        <f t="shared" si="137"/>
        <v>1866.3039029249996</v>
      </c>
    </row>
    <row r="307" spans="3:31" x14ac:dyDescent="0.35">
      <c r="D307" s="184" t="s">
        <v>246</v>
      </c>
      <c r="F307" s="201">
        <f>(F253+F264)*0.0765</f>
        <v>0</v>
      </c>
      <c r="G307" s="201"/>
      <c r="H307" s="201">
        <f t="shared" si="130"/>
        <v>0</v>
      </c>
      <c r="I307" s="201">
        <f t="shared" si="131"/>
        <v>381.88799999999998</v>
      </c>
      <c r="J307" s="201">
        <f t="shared" si="132"/>
        <v>381.88799999999998</v>
      </c>
      <c r="K307" s="6">
        <f t="shared" si="133"/>
        <v>0</v>
      </c>
      <c r="L307" s="5">
        <f>J307*(1-K307)</f>
        <v>381.88799999999998</v>
      </c>
      <c r="M307" s="6">
        <f t="shared" si="135"/>
        <v>0.47</v>
      </c>
      <c r="N307" s="203">
        <f>L307*M307</f>
        <v>179.48735999999997</v>
      </c>
      <c r="P307" s="201">
        <f t="shared" si="137"/>
        <v>179.48735999999997</v>
      </c>
      <c r="S307" s="183"/>
      <c r="T307" s="183"/>
      <c r="U307" s="183"/>
      <c r="V307" s="183"/>
      <c r="W307" s="183"/>
      <c r="X307" s="183"/>
      <c r="Y307" s="183"/>
      <c r="Z307" s="183"/>
      <c r="AA307" s="183"/>
      <c r="AB307" s="183"/>
      <c r="AC307" s="183"/>
      <c r="AD307" s="183"/>
      <c r="AE307" s="183"/>
    </row>
    <row r="308" spans="3:31" x14ac:dyDescent="0.35">
      <c r="F308" s="201"/>
      <c r="G308" s="201"/>
      <c r="H308" s="201"/>
      <c r="K308" s="201"/>
      <c r="L308" s="201"/>
    </row>
    <row r="309" spans="3:31" x14ac:dyDescent="0.35">
      <c r="C309" s="184" t="s">
        <v>244</v>
      </c>
      <c r="F309" s="201"/>
      <c r="G309" s="201"/>
      <c r="H309" s="201"/>
      <c r="K309" s="201"/>
      <c r="L309" s="201"/>
    </row>
    <row r="310" spans="3:31" x14ac:dyDescent="0.35">
      <c r="D310" s="184" t="s">
        <v>245</v>
      </c>
      <c r="F310" s="201">
        <f>172*12</f>
        <v>2064</v>
      </c>
      <c r="G310" s="201"/>
      <c r="H310" s="201">
        <f>172*12</f>
        <v>2064</v>
      </c>
      <c r="I310" s="201">
        <f t="shared" ref="I310:I315" si="138">J310-H310</f>
        <v>636</v>
      </c>
      <c r="J310" s="201">
        <v>2700</v>
      </c>
      <c r="K310" s="6">
        <f t="shared" ref="K310:K316" si="139">K301</f>
        <v>0</v>
      </c>
      <c r="L310" s="5">
        <f t="shared" ref="L310:L316" si="140">J310*(1-K310)</f>
        <v>2700</v>
      </c>
      <c r="M310" s="6">
        <f t="shared" ref="M310:M316" si="141">M301</f>
        <v>0.45</v>
      </c>
      <c r="N310" s="203">
        <f t="shared" ref="N310:N316" si="142">L310*M310</f>
        <v>1215</v>
      </c>
      <c r="P310" s="201">
        <f t="shared" ref="P310:P316" si="143">+N310+O310</f>
        <v>1215</v>
      </c>
    </row>
    <row r="311" spans="3:31" x14ac:dyDescent="0.35">
      <c r="D311" s="184" t="s">
        <v>44</v>
      </c>
      <c r="F311" s="201">
        <f t="shared" ref="F311:F315" si="144">172*12</f>
        <v>2064</v>
      </c>
      <c r="G311" s="201"/>
      <c r="H311" s="201">
        <f t="shared" ref="H311:H315" si="145">172*12</f>
        <v>2064</v>
      </c>
      <c r="I311" s="201">
        <f t="shared" si="138"/>
        <v>636</v>
      </c>
      <c r="J311" s="201">
        <v>2700</v>
      </c>
      <c r="K311" s="6">
        <f t="shared" si="139"/>
        <v>0</v>
      </c>
      <c r="L311" s="5">
        <f t="shared" si="140"/>
        <v>2700</v>
      </c>
      <c r="M311" s="6">
        <f t="shared" si="141"/>
        <v>0.47</v>
      </c>
      <c r="N311" s="203">
        <f t="shared" si="142"/>
        <v>1269</v>
      </c>
      <c r="P311" s="201">
        <f t="shared" si="143"/>
        <v>1269</v>
      </c>
    </row>
    <row r="312" spans="3:31" x14ac:dyDescent="0.35">
      <c r="D312" s="184" t="s">
        <v>44</v>
      </c>
      <c r="F312" s="201">
        <f t="shared" si="144"/>
        <v>2064</v>
      </c>
      <c r="G312" s="201"/>
      <c r="H312" s="201">
        <f t="shared" si="145"/>
        <v>2064</v>
      </c>
      <c r="I312" s="201">
        <f t="shared" si="138"/>
        <v>636</v>
      </c>
      <c r="J312" s="201">
        <v>2700</v>
      </c>
      <c r="K312" s="6">
        <f t="shared" si="139"/>
        <v>0</v>
      </c>
      <c r="L312" s="5">
        <f t="shared" si="140"/>
        <v>2700</v>
      </c>
      <c r="M312" s="6">
        <f t="shared" si="141"/>
        <v>0.47</v>
      </c>
      <c r="N312" s="203">
        <f t="shared" si="142"/>
        <v>1269</v>
      </c>
      <c r="P312" s="201">
        <f t="shared" si="143"/>
        <v>1269</v>
      </c>
    </row>
    <row r="313" spans="3:31" x14ac:dyDescent="0.35">
      <c r="D313" s="184" t="s">
        <v>44</v>
      </c>
      <c r="F313" s="201">
        <f t="shared" si="144"/>
        <v>2064</v>
      </c>
      <c r="G313" s="201"/>
      <c r="H313" s="201">
        <f t="shared" si="145"/>
        <v>2064</v>
      </c>
      <c r="I313" s="201">
        <f t="shared" si="138"/>
        <v>636</v>
      </c>
      <c r="J313" s="201">
        <v>2700</v>
      </c>
      <c r="K313" s="6">
        <f t="shared" si="139"/>
        <v>0</v>
      </c>
      <c r="L313" s="5">
        <f t="shared" si="140"/>
        <v>2700</v>
      </c>
      <c r="M313" s="6">
        <f t="shared" si="141"/>
        <v>0.47</v>
      </c>
      <c r="N313" s="203">
        <f t="shared" si="142"/>
        <v>1269</v>
      </c>
      <c r="P313" s="201">
        <f t="shared" si="143"/>
        <v>1269</v>
      </c>
    </row>
    <row r="314" spans="3:31" x14ac:dyDescent="0.35">
      <c r="D314" s="184" t="s">
        <v>44</v>
      </c>
      <c r="F314" s="201">
        <f t="shared" si="144"/>
        <v>2064</v>
      </c>
      <c r="G314" s="201"/>
      <c r="H314" s="201">
        <f t="shared" si="145"/>
        <v>2064</v>
      </c>
      <c r="I314" s="201">
        <f t="shared" si="138"/>
        <v>636</v>
      </c>
      <c r="J314" s="201">
        <v>2700</v>
      </c>
      <c r="K314" s="6">
        <f t="shared" si="139"/>
        <v>0</v>
      </c>
      <c r="L314" s="5">
        <f t="shared" si="140"/>
        <v>2700</v>
      </c>
      <c r="M314" s="6">
        <f t="shared" si="141"/>
        <v>0.47</v>
      </c>
      <c r="N314" s="203">
        <f t="shared" si="142"/>
        <v>1269</v>
      </c>
      <c r="P314" s="201">
        <f t="shared" si="143"/>
        <v>1269</v>
      </c>
    </row>
    <row r="315" spans="3:31" x14ac:dyDescent="0.35">
      <c r="D315" s="184" t="s">
        <v>45</v>
      </c>
      <c r="F315" s="201">
        <f t="shared" si="144"/>
        <v>2064</v>
      </c>
      <c r="G315" s="201"/>
      <c r="H315" s="201">
        <f t="shared" si="145"/>
        <v>2064</v>
      </c>
      <c r="I315" s="201">
        <f t="shared" si="138"/>
        <v>636</v>
      </c>
      <c r="J315" s="201">
        <v>2700</v>
      </c>
      <c r="K315" s="6">
        <f t="shared" si="139"/>
        <v>0</v>
      </c>
      <c r="L315" s="5">
        <f t="shared" si="140"/>
        <v>2700</v>
      </c>
      <c r="M315" s="6">
        <f t="shared" si="141"/>
        <v>0.45</v>
      </c>
      <c r="N315" s="203">
        <f t="shared" si="142"/>
        <v>1215</v>
      </c>
      <c r="P315" s="201">
        <f t="shared" si="143"/>
        <v>1215</v>
      </c>
    </row>
    <row r="316" spans="3:31" x14ac:dyDescent="0.35">
      <c r="D316" s="184" t="s">
        <v>246</v>
      </c>
      <c r="F316" s="201">
        <v>0</v>
      </c>
      <c r="G316" s="201"/>
      <c r="H316" s="201">
        <v>0</v>
      </c>
      <c r="I316" s="201">
        <v>0</v>
      </c>
      <c r="J316" s="201">
        <v>0</v>
      </c>
      <c r="K316" s="6">
        <f t="shared" si="139"/>
        <v>0</v>
      </c>
      <c r="L316" s="5">
        <f t="shared" si="140"/>
        <v>0</v>
      </c>
      <c r="M316" s="6">
        <f t="shared" si="141"/>
        <v>0.47</v>
      </c>
      <c r="N316" s="203">
        <f t="shared" si="142"/>
        <v>0</v>
      </c>
      <c r="P316" s="201">
        <f t="shared" si="143"/>
        <v>0</v>
      </c>
    </row>
    <row r="317" spans="3:31" x14ac:dyDescent="0.35">
      <c r="K317" s="201"/>
      <c r="L317" s="201"/>
    </row>
    <row r="318" spans="3:31" x14ac:dyDescent="0.35">
      <c r="C318" s="184" t="s">
        <v>55</v>
      </c>
      <c r="F318" s="201"/>
      <c r="G318" s="201"/>
      <c r="H318" s="201"/>
      <c r="K318" s="201"/>
      <c r="L318" s="201"/>
    </row>
    <row r="319" spans="3:31" x14ac:dyDescent="0.35">
      <c r="D319" s="184" t="s">
        <v>245</v>
      </c>
      <c r="F319" s="201">
        <f>(F247+F257)*0.2695/2+(F247+F257)*0.2406/2</f>
        <v>19248.8147875</v>
      </c>
      <c r="G319" s="201"/>
      <c r="H319" s="201">
        <f t="shared" ref="H319:H325" si="146">(H247+H256)*0.2695/2+(H247+H256)*0.2679/2</f>
        <v>21151.110115000003</v>
      </c>
      <c r="I319" s="201">
        <f t="shared" ref="I319:I325" si="147">J319-H319</f>
        <v>3659.0948200249986</v>
      </c>
      <c r="J319" s="201">
        <f t="shared" ref="J319:J324" si="148">(J247+J256)*0.2679/2+(J247+J256)*0.3/2</f>
        <v>24810.204935025002</v>
      </c>
      <c r="K319" s="6">
        <f t="shared" ref="K319:K325" si="149">K310</f>
        <v>0</v>
      </c>
      <c r="L319" s="5">
        <f t="shared" ref="L319:L324" si="150">J319*(1-K319)</f>
        <v>24810.204935025002</v>
      </c>
      <c r="M319" s="6">
        <f t="shared" ref="M319:M325" si="151">M310</f>
        <v>0.45</v>
      </c>
      <c r="N319" s="203">
        <f t="shared" ref="N319:N324" si="152">L319*M319</f>
        <v>11164.592220761251</v>
      </c>
      <c r="P319" s="201">
        <f t="shared" ref="P319:P325" si="153">+N319+O319</f>
        <v>11164.592220761251</v>
      </c>
    </row>
    <row r="320" spans="3:31" x14ac:dyDescent="0.35">
      <c r="D320" s="184" t="s">
        <v>44</v>
      </c>
      <c r="F320" s="201">
        <f>(F248+F258)*0.2695/2+(F248+F258)*0.2406/2</f>
        <v>9375.6380000000008</v>
      </c>
      <c r="G320" s="201"/>
      <c r="H320" s="201">
        <f t="shared" si="146"/>
        <v>8994.5205900430028</v>
      </c>
      <c r="I320" s="201">
        <f t="shared" si="147"/>
        <v>1556.0319775506268</v>
      </c>
      <c r="J320" s="201">
        <f t="shared" si="148"/>
        <v>10550.55256759363</v>
      </c>
      <c r="K320" s="6">
        <f t="shared" si="149"/>
        <v>0</v>
      </c>
      <c r="L320" s="5">
        <f>J320*(1-K320)</f>
        <v>10550.55256759363</v>
      </c>
      <c r="M320" s="6">
        <f t="shared" si="151"/>
        <v>0.47</v>
      </c>
      <c r="N320" s="203">
        <f>L320*M320</f>
        <v>4958.7597067690058</v>
      </c>
      <c r="P320" s="201">
        <f t="shared" si="153"/>
        <v>4958.7597067690058</v>
      </c>
    </row>
    <row r="321" spans="2:31" x14ac:dyDescent="0.35">
      <c r="D321" s="184" t="s">
        <v>44</v>
      </c>
      <c r="F321" s="201">
        <f>(F249+F259)*0.2695/2+(F249+F259)*0.2406/2</f>
        <v>8667.9227095000024</v>
      </c>
      <c r="G321" s="201"/>
      <c r="H321" s="201">
        <f t="shared" si="146"/>
        <v>10067.920300000002</v>
      </c>
      <c r="I321" s="201">
        <f t="shared" si="147"/>
        <v>1741.7277304999971</v>
      </c>
      <c r="J321" s="201">
        <f t="shared" si="148"/>
        <v>11809.648030499999</v>
      </c>
      <c r="K321" s="6">
        <f t="shared" si="149"/>
        <v>0</v>
      </c>
      <c r="L321" s="5">
        <f t="shared" si="150"/>
        <v>11809.648030499999</v>
      </c>
      <c r="M321" s="6">
        <f t="shared" si="151"/>
        <v>0.47</v>
      </c>
      <c r="N321" s="203">
        <f t="shared" si="152"/>
        <v>5550.534574334999</v>
      </c>
      <c r="P321" s="201">
        <f t="shared" si="153"/>
        <v>5550.534574334999</v>
      </c>
    </row>
    <row r="322" spans="2:31" x14ac:dyDescent="0.35">
      <c r="D322" s="184" t="s">
        <v>44</v>
      </c>
      <c r="F322" s="201">
        <f>(F250+F260)*0.2695/2+(F250+F260)*0.2406/2</f>
        <v>12377.349505499998</v>
      </c>
      <c r="G322" s="201"/>
      <c r="H322" s="201">
        <f t="shared" si="146"/>
        <v>13072.561318</v>
      </c>
      <c r="I322" s="201">
        <f t="shared" si="147"/>
        <v>2261.5239173300015</v>
      </c>
      <c r="J322" s="201">
        <f t="shared" si="148"/>
        <v>15334.085235330002</v>
      </c>
      <c r="K322" s="6">
        <f t="shared" si="149"/>
        <v>0</v>
      </c>
      <c r="L322" s="5">
        <f t="shared" si="150"/>
        <v>15334.085235330002</v>
      </c>
      <c r="M322" s="6">
        <f t="shared" si="151"/>
        <v>0.47</v>
      </c>
      <c r="N322" s="203">
        <f t="shared" si="152"/>
        <v>7207.0200606051003</v>
      </c>
      <c r="P322" s="201">
        <f t="shared" si="153"/>
        <v>7207.0200606051003</v>
      </c>
    </row>
    <row r="323" spans="2:31" x14ac:dyDescent="0.35">
      <c r="D323" s="184" t="s">
        <v>44</v>
      </c>
      <c r="F323" s="201">
        <f>(F251+F261)*0.2695/2+(F251+F261)*0.2406/2</f>
        <v>12133.349948963851</v>
      </c>
      <c r="G323" s="201"/>
      <c r="H323" s="201">
        <f t="shared" si="146"/>
        <v>9757.5583650000008</v>
      </c>
      <c r="I323" s="201">
        <f t="shared" si="147"/>
        <v>1688.0358087749992</v>
      </c>
      <c r="J323" s="201">
        <f t="shared" si="148"/>
        <v>11445.594173775</v>
      </c>
      <c r="K323" s="6">
        <f t="shared" si="149"/>
        <v>0</v>
      </c>
      <c r="L323" s="5">
        <f t="shared" si="150"/>
        <v>11445.594173775</v>
      </c>
      <c r="M323" s="6">
        <f t="shared" si="151"/>
        <v>0.47</v>
      </c>
      <c r="N323" s="203">
        <f t="shared" si="152"/>
        <v>5379.4292616742496</v>
      </c>
      <c r="P323" s="201">
        <f t="shared" si="153"/>
        <v>5379.4292616742496</v>
      </c>
    </row>
    <row r="324" spans="2:31" x14ac:dyDescent="0.35">
      <c r="D324" s="184" t="s">
        <v>45</v>
      </c>
      <c r="F324" s="201">
        <f>(F252+F263)*0.2695/2+(F252+F263)*0.2406/2</f>
        <v>18281.45909613285</v>
      </c>
      <c r="G324" s="201"/>
      <c r="H324" s="201">
        <f t="shared" si="146"/>
        <v>13123.603570000001</v>
      </c>
      <c r="I324" s="201">
        <f t="shared" si="147"/>
        <v>2270.3541129499972</v>
      </c>
      <c r="J324" s="201">
        <f t="shared" si="148"/>
        <v>15393.957682949998</v>
      </c>
      <c r="K324" s="6">
        <f t="shared" si="149"/>
        <v>0</v>
      </c>
      <c r="L324" s="5">
        <f t="shared" si="150"/>
        <v>15393.957682949998</v>
      </c>
      <c r="M324" s="6">
        <f t="shared" si="151"/>
        <v>0.45</v>
      </c>
      <c r="N324" s="203">
        <f t="shared" si="152"/>
        <v>6927.280957327499</v>
      </c>
      <c r="P324" s="201">
        <f t="shared" si="153"/>
        <v>6927.280957327499</v>
      </c>
    </row>
    <row r="325" spans="2:31" x14ac:dyDescent="0.35">
      <c r="D325" s="184" t="s">
        <v>246</v>
      </c>
      <c r="F325" s="201">
        <v>0</v>
      </c>
      <c r="G325" s="201"/>
      <c r="H325" s="201">
        <f t="shared" si="146"/>
        <v>0</v>
      </c>
      <c r="I325" s="201">
        <f t="shared" si="147"/>
        <v>0</v>
      </c>
      <c r="J325" s="201">
        <v>0</v>
      </c>
      <c r="K325" s="6">
        <f t="shared" si="149"/>
        <v>0</v>
      </c>
      <c r="L325" s="5">
        <f>J325*(1-K325)</f>
        <v>0</v>
      </c>
      <c r="M325" s="6">
        <f t="shared" si="151"/>
        <v>0.47</v>
      </c>
      <c r="N325" s="203">
        <f>L325*M325</f>
        <v>0</v>
      </c>
      <c r="P325" s="201">
        <f t="shared" si="153"/>
        <v>0</v>
      </c>
    </row>
    <row r="326" spans="2:31" x14ac:dyDescent="0.35">
      <c r="K326" s="201"/>
      <c r="L326" s="201"/>
      <c r="Q326" s="183"/>
    </row>
    <row r="327" spans="2:31" s="183" customFormat="1" x14ac:dyDescent="0.35">
      <c r="B327" s="183" t="s">
        <v>61</v>
      </c>
      <c r="F327" s="216">
        <f>SUM(F247:F326)</f>
        <v>475879.04286444769</v>
      </c>
      <c r="G327" s="216"/>
      <c r="H327" s="237">
        <f>SUM(H247:H326)</f>
        <v>441893.40323751164</v>
      </c>
      <c r="I327" s="216">
        <f>SUM(I247:I326)</f>
        <v>52436.721222620719</v>
      </c>
      <c r="J327" s="216">
        <f>SUM(J247:J326)</f>
        <v>499322.12446013239</v>
      </c>
      <c r="K327" s="216"/>
      <c r="L327" s="216">
        <f>SUM(L247:L326)</f>
        <v>499322.12446013239</v>
      </c>
      <c r="N327" s="216">
        <f>SUM(N247:N326)</f>
        <v>230379.88841476335</v>
      </c>
      <c r="O327" s="216">
        <f>SUM(O247:O326)</f>
        <v>0</v>
      </c>
      <c r="P327" s="216">
        <f t="shared" ref="P327" si="154">SUM(P247:P326)</f>
        <v>230379.88841476335</v>
      </c>
      <c r="Q327" s="217"/>
      <c r="S327" s="184"/>
      <c r="T327" s="184"/>
      <c r="U327" s="184"/>
      <c r="V327" s="184"/>
      <c r="W327" s="184"/>
      <c r="X327" s="184"/>
      <c r="Y327" s="184"/>
      <c r="Z327" s="184"/>
      <c r="AA327" s="184"/>
      <c r="AB327" s="184"/>
      <c r="AC327" s="184"/>
      <c r="AD327" s="184"/>
      <c r="AE327" s="184"/>
    </row>
    <row r="328" spans="2:31" x14ac:dyDescent="0.35">
      <c r="I328" s="2">
        <f>I327*N328</f>
        <v>24193.532375847994</v>
      </c>
      <c r="J328" s="201"/>
      <c r="K328" s="201"/>
      <c r="L328" s="201"/>
      <c r="N328" s="6">
        <f>N327/L327</f>
        <v>0.46138530044878412</v>
      </c>
      <c r="Q328" s="218"/>
    </row>
    <row r="329" spans="2:31" ht="15" customHeight="1" x14ac:dyDescent="0.35">
      <c r="I329" s="7" t="s">
        <v>70</v>
      </c>
      <c r="K329" s="201"/>
      <c r="L329" s="201"/>
    </row>
    <row r="330" spans="2:31" ht="15" customHeight="1" x14ac:dyDescent="0.35">
      <c r="I330" s="7"/>
      <c r="K330" s="201"/>
      <c r="L330" s="201"/>
    </row>
    <row r="331" spans="2:31" ht="4.9000000000000004" customHeight="1" x14ac:dyDescent="0.35">
      <c r="K331" s="201"/>
      <c r="L331" s="201"/>
    </row>
    <row r="332" spans="2:31" ht="15" customHeight="1" x14ac:dyDescent="0.35">
      <c r="B332" s="183"/>
      <c r="C332" s="183"/>
    </row>
    <row r="333" spans="2:31" ht="15" customHeight="1" x14ac:dyDescent="0.35">
      <c r="B333" s="183"/>
      <c r="C333" s="183"/>
    </row>
    <row r="334" spans="2:31" ht="15" customHeight="1" x14ac:dyDescent="0.35">
      <c r="C334" s="183"/>
      <c r="J334" s="185"/>
      <c r="K334" s="185"/>
      <c r="L334" s="185"/>
      <c r="N334" s="185"/>
    </row>
    <row r="335" spans="2:31" ht="15" customHeight="1" x14ac:dyDescent="0.35"/>
    <row r="336" spans="2:31" ht="31.15" customHeight="1" x14ac:dyDescent="0.35">
      <c r="F336" s="186">
        <v>2021</v>
      </c>
      <c r="G336" s="187"/>
      <c r="H336" s="186">
        <v>2022</v>
      </c>
      <c r="I336" s="188"/>
      <c r="J336" s="220">
        <v>2023</v>
      </c>
      <c r="K336" s="188"/>
      <c r="L336" s="188"/>
      <c r="M336" s="190" t="s">
        <v>49</v>
      </c>
      <c r="N336" s="191"/>
    </row>
    <row r="337" spans="2:17" ht="31" x14ac:dyDescent="0.35">
      <c r="C337" s="192"/>
      <c r="D337" s="193"/>
      <c r="E337" s="194" t="s">
        <v>42</v>
      </c>
      <c r="F337" s="195" t="s">
        <v>30</v>
      </c>
      <c r="G337" s="196" t="s">
        <v>236</v>
      </c>
      <c r="H337" s="195" t="s">
        <v>0</v>
      </c>
      <c r="I337" s="195" t="s">
        <v>22</v>
      </c>
      <c r="J337" s="198" t="s">
        <v>23</v>
      </c>
      <c r="K337" s="198" t="s">
        <v>56</v>
      </c>
      <c r="L337" s="198" t="s">
        <v>57</v>
      </c>
      <c r="M337" s="196" t="s">
        <v>50</v>
      </c>
      <c r="N337" s="196" t="s">
        <v>51</v>
      </c>
      <c r="O337" s="196" t="s">
        <v>897</v>
      </c>
      <c r="P337" s="196" t="s">
        <v>949</v>
      </c>
    </row>
    <row r="338" spans="2:17" x14ac:dyDescent="0.35">
      <c r="B338" s="183" t="s">
        <v>247</v>
      </c>
      <c r="C338" s="192"/>
      <c r="D338" s="193"/>
      <c r="E338" s="224"/>
      <c r="F338" s="225"/>
      <c r="G338" s="226"/>
      <c r="H338" s="225"/>
      <c r="I338" s="225"/>
      <c r="J338" s="225"/>
      <c r="K338" s="225"/>
      <c r="L338" s="225"/>
      <c r="M338" s="226"/>
      <c r="N338" s="226"/>
      <c r="O338" s="226"/>
      <c r="P338" s="226"/>
    </row>
    <row r="339" spans="2:17" ht="15" customHeight="1" x14ac:dyDescent="0.35">
      <c r="C339" s="184" t="s">
        <v>38</v>
      </c>
      <c r="K339" s="201"/>
      <c r="L339" s="201"/>
    </row>
    <row r="340" spans="2:17" ht="15" customHeight="1" x14ac:dyDescent="0.35">
      <c r="D340" s="184" t="s">
        <v>47</v>
      </c>
      <c r="E340" s="199">
        <v>40</v>
      </c>
      <c r="F340" s="201">
        <f>33619.07*1.0833-977.89</f>
        <v>35441.648530999999</v>
      </c>
      <c r="G340" s="221">
        <v>17.5</v>
      </c>
      <c r="H340" s="201">
        <f>G340*2080</f>
        <v>36400</v>
      </c>
      <c r="I340" s="4">
        <f>H340*0.11</f>
        <v>4004</v>
      </c>
      <c r="J340" s="201">
        <f>H340+I340</f>
        <v>40404</v>
      </c>
      <c r="K340" s="6">
        <v>0</v>
      </c>
      <c r="L340" s="5">
        <f t="shared" ref="L340:L350" si="155">J340*(1-K340)</f>
        <v>40404</v>
      </c>
      <c r="M340" s="6">
        <v>0</v>
      </c>
      <c r="N340" s="203">
        <f t="shared" ref="N340:N350" si="156">L340*M340</f>
        <v>0</v>
      </c>
      <c r="P340" s="201">
        <f t="shared" ref="P340:P351" si="157">+N340+O340</f>
        <v>0</v>
      </c>
      <c r="Q340" s="222"/>
    </row>
    <row r="341" spans="2:17" ht="15" customHeight="1" x14ac:dyDescent="0.35">
      <c r="D341" s="184" t="s">
        <v>248</v>
      </c>
      <c r="E341" s="199">
        <v>40</v>
      </c>
      <c r="F341" s="201">
        <f>37073.97-517.44</f>
        <v>36556.53</v>
      </c>
      <c r="G341" s="221">
        <v>16</v>
      </c>
      <c r="H341" s="201">
        <f>G341*2080</f>
        <v>33280</v>
      </c>
      <c r="I341" s="4">
        <f t="shared" ref="I341:I351" si="158">H341*0.11</f>
        <v>3660.8</v>
      </c>
      <c r="J341" s="201">
        <f t="shared" ref="J341:J350" si="159">H341+I341</f>
        <v>36940.800000000003</v>
      </c>
      <c r="K341" s="6">
        <v>0</v>
      </c>
      <c r="L341" s="5">
        <f t="shared" si="155"/>
        <v>36940.800000000003</v>
      </c>
      <c r="M341" s="6">
        <v>0.46</v>
      </c>
      <c r="N341" s="203">
        <f t="shared" si="156"/>
        <v>16992.768000000004</v>
      </c>
      <c r="P341" s="201">
        <f t="shared" si="157"/>
        <v>16992.768000000004</v>
      </c>
      <c r="Q341" s="222"/>
    </row>
    <row r="342" spans="2:17" ht="15" customHeight="1" x14ac:dyDescent="0.35">
      <c r="D342" s="184" t="s">
        <v>248</v>
      </c>
      <c r="E342" s="199">
        <v>40</v>
      </c>
      <c r="F342" s="201">
        <f>32407.31-625.47</f>
        <v>31781.84</v>
      </c>
      <c r="G342" s="221">
        <v>18.93</v>
      </c>
      <c r="H342" s="201">
        <v>40533.910000000003</v>
      </c>
      <c r="I342" s="4">
        <f t="shared" si="158"/>
        <v>4458.7301000000007</v>
      </c>
      <c r="J342" s="201">
        <f t="shared" si="159"/>
        <v>44992.640100000004</v>
      </c>
      <c r="K342" s="6">
        <v>0</v>
      </c>
      <c r="L342" s="5">
        <f t="shared" si="155"/>
        <v>44992.640100000004</v>
      </c>
      <c r="M342" s="6">
        <v>0.46</v>
      </c>
      <c r="N342" s="203">
        <f t="shared" si="156"/>
        <v>20696.614446000003</v>
      </c>
      <c r="P342" s="201">
        <f t="shared" si="157"/>
        <v>20696.614446000003</v>
      </c>
      <c r="Q342" s="222"/>
    </row>
    <row r="343" spans="2:17" ht="15" customHeight="1" x14ac:dyDescent="0.35">
      <c r="D343" s="184" t="s">
        <v>249</v>
      </c>
      <c r="E343" s="199">
        <v>40</v>
      </c>
      <c r="F343" s="201">
        <f>56362.89-3632.69</f>
        <v>52730.2</v>
      </c>
      <c r="G343" s="221">
        <v>29.52</v>
      </c>
      <c r="H343" s="201">
        <v>61203.97</v>
      </c>
      <c r="I343" s="4">
        <f t="shared" si="158"/>
        <v>6732.4367000000002</v>
      </c>
      <c r="J343" s="201">
        <f t="shared" si="159"/>
        <v>67936.406700000007</v>
      </c>
      <c r="K343" s="6">
        <v>0</v>
      </c>
      <c r="L343" s="5">
        <f t="shared" si="155"/>
        <v>67936.406700000007</v>
      </c>
      <c r="M343" s="6">
        <v>0.46</v>
      </c>
      <c r="N343" s="203">
        <f t="shared" si="156"/>
        <v>31250.747082000005</v>
      </c>
      <c r="P343" s="201">
        <f t="shared" si="157"/>
        <v>31250.747082000005</v>
      </c>
      <c r="Q343" s="222"/>
    </row>
    <row r="344" spans="2:17" ht="15" customHeight="1" x14ac:dyDescent="0.35">
      <c r="D344" s="184" t="s">
        <v>248</v>
      </c>
      <c r="E344" s="199">
        <v>40</v>
      </c>
      <c r="F344" s="201">
        <f>37108.41-548.04</f>
        <v>36560.370000000003</v>
      </c>
      <c r="G344" s="221">
        <v>18.28</v>
      </c>
      <c r="H344" s="201">
        <v>40605.15</v>
      </c>
      <c r="I344" s="4">
        <f t="shared" si="158"/>
        <v>4466.5664999999999</v>
      </c>
      <c r="J344" s="201">
        <f t="shared" si="159"/>
        <v>45071.716500000002</v>
      </c>
      <c r="K344" s="6">
        <v>0</v>
      </c>
      <c r="L344" s="5">
        <f t="shared" si="155"/>
        <v>45071.716500000002</v>
      </c>
      <c r="M344" s="6">
        <v>0.46</v>
      </c>
      <c r="N344" s="203">
        <f t="shared" si="156"/>
        <v>20732.989590000001</v>
      </c>
      <c r="P344" s="201">
        <f t="shared" si="157"/>
        <v>20732.989590000001</v>
      </c>
      <c r="Q344" s="222"/>
    </row>
    <row r="345" spans="2:17" ht="15" customHeight="1" x14ac:dyDescent="0.35">
      <c r="D345" s="184" t="s">
        <v>249</v>
      </c>
      <c r="E345" s="199">
        <v>40</v>
      </c>
      <c r="F345" s="201">
        <f>52286.8-2022.32</f>
        <v>50264.480000000003</v>
      </c>
      <c r="G345" s="221">
        <v>24.99</v>
      </c>
      <c r="H345" s="201">
        <v>55352.59</v>
      </c>
      <c r="I345" s="4">
        <f t="shared" si="158"/>
        <v>6088.7848999999997</v>
      </c>
      <c r="J345" s="201">
        <f t="shared" si="159"/>
        <v>61441.374899999995</v>
      </c>
      <c r="K345" s="6">
        <v>0</v>
      </c>
      <c r="L345" s="5">
        <f t="shared" si="155"/>
        <v>61441.374899999995</v>
      </c>
      <c r="M345" s="6">
        <v>0.46</v>
      </c>
      <c r="N345" s="203">
        <f t="shared" si="156"/>
        <v>28263.032454</v>
      </c>
      <c r="P345" s="201">
        <f t="shared" si="157"/>
        <v>28263.032454</v>
      </c>
      <c r="Q345" s="222"/>
    </row>
    <row r="346" spans="2:17" ht="15" customHeight="1" x14ac:dyDescent="0.35">
      <c r="D346" s="184" t="s">
        <v>249</v>
      </c>
      <c r="E346" s="199">
        <v>40</v>
      </c>
      <c r="F346" s="201">
        <f>56846.3-2402.06</f>
        <v>54444.240000000005</v>
      </c>
      <c r="G346" s="221">
        <v>16</v>
      </c>
      <c r="H346" s="201">
        <f>G346*2080</f>
        <v>33280</v>
      </c>
      <c r="I346" s="4">
        <f t="shared" si="158"/>
        <v>3660.8</v>
      </c>
      <c r="J346" s="201">
        <f t="shared" si="159"/>
        <v>36940.800000000003</v>
      </c>
      <c r="K346" s="6">
        <v>0</v>
      </c>
      <c r="L346" s="5">
        <f t="shared" si="155"/>
        <v>36940.800000000003</v>
      </c>
      <c r="M346" s="6">
        <v>0</v>
      </c>
      <c r="N346" s="203">
        <f t="shared" si="156"/>
        <v>0</v>
      </c>
      <c r="P346" s="201">
        <f t="shared" si="157"/>
        <v>0</v>
      </c>
      <c r="Q346" s="222"/>
    </row>
    <row r="347" spans="2:17" ht="15" customHeight="1" x14ac:dyDescent="0.35">
      <c r="D347" s="184" t="s">
        <v>249</v>
      </c>
      <c r="E347" s="199">
        <v>40</v>
      </c>
      <c r="F347" s="201">
        <f>59508.34-2067.38</f>
        <v>57440.959999999999</v>
      </c>
      <c r="G347" s="221">
        <v>17.5</v>
      </c>
      <c r="H347" s="201">
        <f>G347*2080</f>
        <v>36400</v>
      </c>
      <c r="I347" s="4">
        <f t="shared" si="158"/>
        <v>4004</v>
      </c>
      <c r="J347" s="201">
        <f t="shared" si="159"/>
        <v>40404</v>
      </c>
      <c r="K347" s="6">
        <v>0</v>
      </c>
      <c r="L347" s="5">
        <f t="shared" si="155"/>
        <v>40404</v>
      </c>
      <c r="M347" s="6">
        <v>0</v>
      </c>
      <c r="N347" s="203">
        <f t="shared" si="156"/>
        <v>0</v>
      </c>
      <c r="P347" s="201">
        <f t="shared" si="157"/>
        <v>0</v>
      </c>
      <c r="Q347" s="222"/>
    </row>
    <row r="348" spans="2:17" ht="15" customHeight="1" x14ac:dyDescent="0.35">
      <c r="D348" s="184" t="s">
        <v>48</v>
      </c>
      <c r="E348" s="199">
        <v>40</v>
      </c>
      <c r="F348" s="201">
        <v>75646.16</v>
      </c>
      <c r="G348" s="221">
        <v>37.270000000000003</v>
      </c>
      <c r="H348" s="201">
        <f>G348*2080</f>
        <v>77521.600000000006</v>
      </c>
      <c r="I348" s="4">
        <f t="shared" si="158"/>
        <v>8527.3760000000002</v>
      </c>
      <c r="J348" s="201">
        <f t="shared" si="159"/>
        <v>86048.97600000001</v>
      </c>
      <c r="K348" s="6">
        <v>0.3</v>
      </c>
      <c r="L348" s="5">
        <f t="shared" si="155"/>
        <v>60234.283200000005</v>
      </c>
      <c r="M348" s="6">
        <v>0</v>
      </c>
      <c r="N348" s="203">
        <f t="shared" si="156"/>
        <v>0</v>
      </c>
      <c r="P348" s="201">
        <f t="shared" si="157"/>
        <v>0</v>
      </c>
      <c r="Q348" s="222"/>
    </row>
    <row r="349" spans="2:17" ht="15" customHeight="1" x14ac:dyDescent="0.35">
      <c r="D349" s="184" t="s">
        <v>250</v>
      </c>
      <c r="E349" s="199">
        <v>40</v>
      </c>
      <c r="F349" s="201">
        <f>77881.6-4008.73</f>
        <v>73872.87000000001</v>
      </c>
      <c r="G349" s="221">
        <v>30.48</v>
      </c>
      <c r="H349" s="201">
        <f>G349*2080</f>
        <v>63398.400000000001</v>
      </c>
      <c r="I349" s="4">
        <f t="shared" si="158"/>
        <v>6973.8240000000005</v>
      </c>
      <c r="J349" s="201">
        <f t="shared" si="159"/>
        <v>70372.224000000002</v>
      </c>
      <c r="K349" s="6">
        <v>0</v>
      </c>
      <c r="L349" s="5">
        <f t="shared" si="155"/>
        <v>70372.224000000002</v>
      </c>
      <c r="M349" s="6">
        <v>0</v>
      </c>
      <c r="N349" s="203">
        <f t="shared" si="156"/>
        <v>0</v>
      </c>
      <c r="P349" s="201">
        <f t="shared" si="157"/>
        <v>0</v>
      </c>
      <c r="Q349" s="222"/>
    </row>
    <row r="350" spans="2:17" ht="15" customHeight="1" x14ac:dyDescent="0.35">
      <c r="D350" s="184" t="s">
        <v>250</v>
      </c>
      <c r="E350" s="199">
        <v>40</v>
      </c>
      <c r="F350" s="201">
        <f>64335.47-2979.19</f>
        <v>61356.28</v>
      </c>
      <c r="G350" s="221">
        <v>31</v>
      </c>
      <c r="H350" s="201">
        <f>G350*2080</f>
        <v>64480</v>
      </c>
      <c r="I350" s="4">
        <f t="shared" si="158"/>
        <v>7092.8</v>
      </c>
      <c r="J350" s="201">
        <f t="shared" si="159"/>
        <v>71572.800000000003</v>
      </c>
      <c r="K350" s="6">
        <v>0</v>
      </c>
      <c r="L350" s="5">
        <f t="shared" si="155"/>
        <v>71572.800000000003</v>
      </c>
      <c r="M350" s="6">
        <v>0</v>
      </c>
      <c r="N350" s="203">
        <f t="shared" si="156"/>
        <v>0</v>
      </c>
      <c r="P350" s="201">
        <f t="shared" si="157"/>
        <v>0</v>
      </c>
      <c r="Q350" s="222"/>
    </row>
    <row r="351" spans="2:17" ht="15" customHeight="1" x14ac:dyDescent="0.35">
      <c r="D351" s="184" t="s">
        <v>251</v>
      </c>
      <c r="E351" s="199" t="s">
        <v>241</v>
      </c>
      <c r="F351" s="201"/>
      <c r="G351" s="221">
        <v>0</v>
      </c>
      <c r="H351" s="201">
        <v>0</v>
      </c>
      <c r="I351" s="4">
        <f t="shared" si="158"/>
        <v>0</v>
      </c>
      <c r="J351" s="201">
        <v>4992</v>
      </c>
      <c r="K351" s="6">
        <v>0</v>
      </c>
      <c r="L351" s="5">
        <f>J351*(1-K351)</f>
        <v>4992</v>
      </c>
      <c r="M351" s="6">
        <v>0</v>
      </c>
      <c r="N351" s="203">
        <f>L351*M351</f>
        <v>0</v>
      </c>
      <c r="P351" s="201">
        <f t="shared" si="157"/>
        <v>0</v>
      </c>
      <c r="Q351" s="222"/>
    </row>
    <row r="352" spans="2:17" ht="15" customHeight="1" x14ac:dyDescent="0.35">
      <c r="K352" s="201"/>
      <c r="L352" s="201"/>
    </row>
    <row r="353" spans="3:16" ht="15" customHeight="1" x14ac:dyDescent="0.35">
      <c r="C353" s="184" t="s">
        <v>66</v>
      </c>
      <c r="K353" s="201"/>
      <c r="L353" s="201"/>
    </row>
    <row r="354" spans="3:16" ht="15" customHeight="1" x14ac:dyDescent="0.35">
      <c r="D354" s="184" t="s">
        <v>47</v>
      </c>
      <c r="F354" s="201">
        <f>977.89*1.0833</f>
        <v>1059.3482369999999</v>
      </c>
      <c r="G354" s="201"/>
      <c r="H354" s="201">
        <f>473.88/2798.88*H340</f>
        <v>6162.9051620648261</v>
      </c>
      <c r="I354" s="201">
        <f>H354*0.11</f>
        <v>677.91956782713089</v>
      </c>
      <c r="J354" s="201">
        <f>H354+I354</f>
        <v>6840.8247298919568</v>
      </c>
      <c r="K354" s="6">
        <f t="shared" ref="K354:K364" si="160">K340</f>
        <v>0</v>
      </c>
      <c r="L354" s="5">
        <f t="shared" ref="L354:L364" si="161">J354*(1-K354)</f>
        <v>6840.8247298919568</v>
      </c>
      <c r="M354" s="6">
        <f t="shared" ref="M354:M364" si="162">M340</f>
        <v>0</v>
      </c>
      <c r="N354" s="203">
        <f t="shared" ref="N354:N364" si="163">L354*M354</f>
        <v>0</v>
      </c>
      <c r="P354" s="201">
        <f t="shared" ref="P354:P365" si="164">+N354+O354</f>
        <v>0</v>
      </c>
    </row>
    <row r="355" spans="3:16" ht="15" customHeight="1" x14ac:dyDescent="0.35">
      <c r="D355" s="184" t="s">
        <v>248</v>
      </c>
      <c r="F355" s="201">
        <v>517.44000000000005</v>
      </c>
      <c r="G355" s="201"/>
      <c r="H355" s="201">
        <v>310.39999999999998</v>
      </c>
      <c r="I355" s="201">
        <f t="shared" ref="I355:I364" si="165">H355*0.11</f>
        <v>34.143999999999998</v>
      </c>
      <c r="J355" s="201">
        <f>H355+I355</f>
        <v>344.54399999999998</v>
      </c>
      <c r="K355" s="6">
        <f t="shared" si="160"/>
        <v>0</v>
      </c>
      <c r="L355" s="5">
        <f t="shared" si="161"/>
        <v>344.54399999999998</v>
      </c>
      <c r="M355" s="6">
        <f t="shared" si="162"/>
        <v>0.46</v>
      </c>
      <c r="N355" s="203">
        <f t="shared" si="163"/>
        <v>158.49024</v>
      </c>
      <c r="P355" s="201">
        <f t="shared" si="164"/>
        <v>158.49024</v>
      </c>
    </row>
    <row r="356" spans="3:16" ht="15" customHeight="1" x14ac:dyDescent="0.35">
      <c r="D356" s="184" t="s">
        <v>248</v>
      </c>
      <c r="F356" s="201">
        <v>625.47</v>
      </c>
      <c r="G356" s="201"/>
      <c r="H356" s="201">
        <v>635.26</v>
      </c>
      <c r="I356" s="201">
        <f t="shared" si="165"/>
        <v>69.878600000000006</v>
      </c>
      <c r="J356" s="201">
        <f t="shared" ref="J356:J364" si="166">H356+I356</f>
        <v>705.1386</v>
      </c>
      <c r="K356" s="6">
        <f t="shared" si="160"/>
        <v>0</v>
      </c>
      <c r="L356" s="5">
        <f t="shared" si="161"/>
        <v>705.1386</v>
      </c>
      <c r="M356" s="6">
        <f t="shared" si="162"/>
        <v>0.46</v>
      </c>
      <c r="N356" s="203">
        <f t="shared" si="163"/>
        <v>324.36375600000002</v>
      </c>
      <c r="P356" s="201">
        <f t="shared" si="164"/>
        <v>324.36375600000002</v>
      </c>
    </row>
    <row r="357" spans="3:16" ht="15" customHeight="1" x14ac:dyDescent="0.35">
      <c r="D357" s="184" t="s">
        <v>249</v>
      </c>
      <c r="F357" s="201">
        <v>3632.69</v>
      </c>
      <c r="G357" s="201"/>
      <c r="H357" s="201">
        <v>1187.6400000000001</v>
      </c>
      <c r="I357" s="201">
        <f t="shared" si="165"/>
        <v>130.6404</v>
      </c>
      <c r="J357" s="201">
        <f t="shared" si="166"/>
        <v>1318.2804000000001</v>
      </c>
      <c r="K357" s="6">
        <f t="shared" si="160"/>
        <v>0</v>
      </c>
      <c r="L357" s="5">
        <f t="shared" si="161"/>
        <v>1318.2804000000001</v>
      </c>
      <c r="M357" s="6">
        <f t="shared" si="162"/>
        <v>0.46</v>
      </c>
      <c r="N357" s="203">
        <f t="shared" si="163"/>
        <v>606.40898400000003</v>
      </c>
      <c r="P357" s="201">
        <f t="shared" si="164"/>
        <v>606.40898400000003</v>
      </c>
    </row>
    <row r="358" spans="3:16" ht="15" customHeight="1" x14ac:dyDescent="0.35">
      <c r="D358" s="184" t="s">
        <v>248</v>
      </c>
      <c r="F358" s="201">
        <v>548.04</v>
      </c>
      <c r="G358" s="201"/>
      <c r="H358" s="201">
        <v>1690.15</v>
      </c>
      <c r="I358" s="201">
        <f t="shared" si="165"/>
        <v>185.91650000000001</v>
      </c>
      <c r="J358" s="201">
        <f t="shared" si="166"/>
        <v>1876.0665000000001</v>
      </c>
      <c r="K358" s="6">
        <f t="shared" si="160"/>
        <v>0</v>
      </c>
      <c r="L358" s="5">
        <f t="shared" si="161"/>
        <v>1876.0665000000001</v>
      </c>
      <c r="M358" s="6">
        <f t="shared" si="162"/>
        <v>0.46</v>
      </c>
      <c r="N358" s="203">
        <f t="shared" si="163"/>
        <v>862.99059000000011</v>
      </c>
      <c r="P358" s="201">
        <f t="shared" si="164"/>
        <v>862.99059000000011</v>
      </c>
    </row>
    <row r="359" spans="3:16" ht="15" customHeight="1" x14ac:dyDescent="0.35">
      <c r="D359" s="184" t="s">
        <v>249</v>
      </c>
      <c r="F359" s="201">
        <v>2022.32</v>
      </c>
      <c r="G359" s="201"/>
      <c r="H359" s="201">
        <v>3831.57</v>
      </c>
      <c r="I359" s="201">
        <f t="shared" si="165"/>
        <v>421.47270000000003</v>
      </c>
      <c r="J359" s="201">
        <f t="shared" si="166"/>
        <v>4253.0427</v>
      </c>
      <c r="K359" s="6">
        <f t="shared" si="160"/>
        <v>0</v>
      </c>
      <c r="L359" s="5">
        <f t="shared" si="161"/>
        <v>4253.0427</v>
      </c>
      <c r="M359" s="6">
        <f t="shared" si="162"/>
        <v>0.46</v>
      </c>
      <c r="N359" s="203">
        <f t="shared" si="163"/>
        <v>1956.3996420000001</v>
      </c>
      <c r="P359" s="201">
        <f t="shared" si="164"/>
        <v>1956.3996420000001</v>
      </c>
    </row>
    <row r="360" spans="3:16" ht="15" customHeight="1" x14ac:dyDescent="0.35">
      <c r="D360" s="184" t="s">
        <v>249</v>
      </c>
      <c r="F360" s="201">
        <v>2402.06</v>
      </c>
      <c r="G360" s="201"/>
      <c r="H360" s="201">
        <f>253.33/4727.89*H346</f>
        <v>1783.2103538787917</v>
      </c>
      <c r="I360" s="201">
        <f t="shared" si="165"/>
        <v>196.15313892666708</v>
      </c>
      <c r="J360" s="201">
        <f t="shared" si="166"/>
        <v>1979.3634928054587</v>
      </c>
      <c r="K360" s="6">
        <f t="shared" si="160"/>
        <v>0</v>
      </c>
      <c r="L360" s="5">
        <f t="shared" si="161"/>
        <v>1979.3634928054587</v>
      </c>
      <c r="M360" s="6">
        <f t="shared" si="162"/>
        <v>0</v>
      </c>
      <c r="N360" s="203">
        <f t="shared" si="163"/>
        <v>0</v>
      </c>
      <c r="P360" s="201">
        <f t="shared" si="164"/>
        <v>0</v>
      </c>
    </row>
    <row r="361" spans="3:16" ht="15" customHeight="1" x14ac:dyDescent="0.35">
      <c r="D361" s="184" t="s">
        <v>249</v>
      </c>
      <c r="F361" s="201">
        <v>2067.38</v>
      </c>
      <c r="G361" s="201"/>
      <c r="H361" s="201"/>
      <c r="I361" s="201">
        <f t="shared" si="165"/>
        <v>0</v>
      </c>
      <c r="J361" s="201">
        <f t="shared" si="166"/>
        <v>0</v>
      </c>
      <c r="K361" s="6">
        <f t="shared" si="160"/>
        <v>0</v>
      </c>
      <c r="L361" s="5">
        <f t="shared" si="161"/>
        <v>0</v>
      </c>
      <c r="M361" s="6">
        <f t="shared" si="162"/>
        <v>0</v>
      </c>
      <c r="N361" s="203">
        <f t="shared" si="163"/>
        <v>0</v>
      </c>
      <c r="P361" s="201">
        <f t="shared" si="164"/>
        <v>0</v>
      </c>
    </row>
    <row r="362" spans="3:16" ht="15" customHeight="1" x14ac:dyDescent="0.35">
      <c r="D362" s="184" t="s">
        <v>48</v>
      </c>
      <c r="F362" s="201">
        <v>0</v>
      </c>
      <c r="G362" s="201"/>
      <c r="H362" s="201">
        <v>0</v>
      </c>
      <c r="I362" s="201">
        <f t="shared" si="165"/>
        <v>0</v>
      </c>
      <c r="J362" s="201">
        <f t="shared" si="166"/>
        <v>0</v>
      </c>
      <c r="K362" s="6">
        <f t="shared" si="160"/>
        <v>0.3</v>
      </c>
      <c r="L362" s="5">
        <f t="shared" si="161"/>
        <v>0</v>
      </c>
      <c r="M362" s="6">
        <f t="shared" si="162"/>
        <v>0</v>
      </c>
      <c r="N362" s="203">
        <f t="shared" si="163"/>
        <v>0</v>
      </c>
      <c r="P362" s="201">
        <f t="shared" si="164"/>
        <v>0</v>
      </c>
    </row>
    <row r="363" spans="3:16" ht="15" customHeight="1" x14ac:dyDescent="0.35">
      <c r="D363" s="184" t="s">
        <v>250</v>
      </c>
      <c r="F363" s="201">
        <v>4008.73</v>
      </c>
      <c r="G363" s="201"/>
      <c r="H363" s="201">
        <f>2568.67/51276.84*H349</f>
        <v>3175.8893123679231</v>
      </c>
      <c r="I363" s="201">
        <f t="shared" si="165"/>
        <v>349.34782436047152</v>
      </c>
      <c r="J363" s="201">
        <f t="shared" si="166"/>
        <v>3525.2371367283945</v>
      </c>
      <c r="K363" s="6">
        <f t="shared" si="160"/>
        <v>0</v>
      </c>
      <c r="L363" s="5">
        <f t="shared" si="161"/>
        <v>3525.2371367283945</v>
      </c>
      <c r="M363" s="6">
        <f t="shared" si="162"/>
        <v>0</v>
      </c>
      <c r="N363" s="203">
        <f t="shared" si="163"/>
        <v>0</v>
      </c>
      <c r="P363" s="201">
        <f t="shared" si="164"/>
        <v>0</v>
      </c>
    </row>
    <row r="364" spans="3:16" ht="15" customHeight="1" x14ac:dyDescent="0.35">
      <c r="D364" s="184" t="s">
        <v>250</v>
      </c>
      <c r="F364" s="201">
        <v>2979.19</v>
      </c>
      <c r="G364" s="201"/>
      <c r="H364" s="201">
        <f>5928.42/59782.23*H350</f>
        <v>6394.2834116425565</v>
      </c>
      <c r="I364" s="201">
        <f t="shared" si="165"/>
        <v>703.3711752806812</v>
      </c>
      <c r="J364" s="201">
        <f t="shared" si="166"/>
        <v>7097.6545869232377</v>
      </c>
      <c r="K364" s="6">
        <f t="shared" si="160"/>
        <v>0</v>
      </c>
      <c r="L364" s="5">
        <f t="shared" si="161"/>
        <v>7097.6545869232377</v>
      </c>
      <c r="M364" s="6">
        <f t="shared" si="162"/>
        <v>0</v>
      </c>
      <c r="N364" s="203">
        <f t="shared" si="163"/>
        <v>0</v>
      </c>
      <c r="P364" s="201">
        <f t="shared" si="164"/>
        <v>0</v>
      </c>
    </row>
    <row r="365" spans="3:16" ht="15" customHeight="1" x14ac:dyDescent="0.35">
      <c r="D365" s="184" t="s">
        <v>251</v>
      </c>
      <c r="F365" s="201">
        <v>0</v>
      </c>
      <c r="G365" s="201"/>
      <c r="H365" s="201">
        <v>0</v>
      </c>
      <c r="I365" s="201">
        <f>H365*0.11</f>
        <v>0</v>
      </c>
      <c r="J365" s="201">
        <f>H365+I365</f>
        <v>0</v>
      </c>
      <c r="K365" s="6">
        <v>0</v>
      </c>
      <c r="L365" s="5">
        <f>J365*(1-K365)</f>
        <v>0</v>
      </c>
      <c r="M365" s="6">
        <v>0</v>
      </c>
      <c r="N365" s="203">
        <f>L365*M365</f>
        <v>0</v>
      </c>
      <c r="P365" s="201">
        <f t="shared" si="164"/>
        <v>0</v>
      </c>
    </row>
    <row r="366" spans="3:16" ht="15" customHeight="1" x14ac:dyDescent="0.35">
      <c r="K366" s="201"/>
      <c r="L366" s="201"/>
    </row>
    <row r="367" spans="3:16" ht="15" customHeight="1" x14ac:dyDescent="0.35">
      <c r="C367" s="184" t="s">
        <v>67</v>
      </c>
      <c r="K367" s="201"/>
      <c r="L367" s="201"/>
    </row>
    <row r="368" spans="3:16" ht="15" customHeight="1" x14ac:dyDescent="0.35">
      <c r="D368" s="184" t="s">
        <v>47</v>
      </c>
      <c r="F368" s="201">
        <f>552.37*11</f>
        <v>6076.07</v>
      </c>
      <c r="G368" s="201"/>
      <c r="H368" s="201">
        <f>591.04*12</f>
        <v>7092.48</v>
      </c>
      <c r="I368" s="201">
        <f>J368-H368</f>
        <v>141.84000000000015</v>
      </c>
      <c r="J368" s="201">
        <f t="shared" ref="J368:J378" si="167">602.86*12</f>
        <v>7234.32</v>
      </c>
      <c r="K368" s="6">
        <f t="shared" ref="K368:K379" si="168">K354</f>
        <v>0</v>
      </c>
      <c r="L368" s="5">
        <f t="shared" ref="L368:L378" si="169">J368*(1-K368)</f>
        <v>7234.32</v>
      </c>
      <c r="M368" s="6">
        <f t="shared" ref="M368:M379" si="170">M354</f>
        <v>0</v>
      </c>
      <c r="N368" s="203">
        <f t="shared" ref="N368:N378" si="171">L368*M368</f>
        <v>0</v>
      </c>
      <c r="O368" s="205">
        <f t="shared" ref="O368:O379" si="172">-N368*$T$26</f>
        <v>0</v>
      </c>
      <c r="P368" s="201">
        <f t="shared" ref="P368:P379" si="173">+N368+O368</f>
        <v>0</v>
      </c>
    </row>
    <row r="369" spans="3:16" ht="15" customHeight="1" x14ac:dyDescent="0.35">
      <c r="D369" s="184" t="s">
        <v>248</v>
      </c>
      <c r="F369" s="201">
        <f>552.37*12</f>
        <v>6628.4400000000005</v>
      </c>
      <c r="G369" s="201"/>
      <c r="H369" s="201">
        <f t="shared" ref="H369:H378" si="174">591.04*12</f>
        <v>7092.48</v>
      </c>
      <c r="I369" s="201">
        <f t="shared" ref="I369:I379" si="175">J369-H369</f>
        <v>141.84000000000015</v>
      </c>
      <c r="J369" s="201">
        <f t="shared" si="167"/>
        <v>7234.32</v>
      </c>
      <c r="K369" s="6">
        <f t="shared" si="168"/>
        <v>0</v>
      </c>
      <c r="L369" s="5">
        <f t="shared" si="169"/>
        <v>7234.32</v>
      </c>
      <c r="M369" s="6">
        <f t="shared" si="170"/>
        <v>0.46</v>
      </c>
      <c r="N369" s="203">
        <f t="shared" si="171"/>
        <v>3327.7872000000002</v>
      </c>
      <c r="O369" s="205">
        <f t="shared" si="172"/>
        <v>0</v>
      </c>
      <c r="P369" s="201">
        <f t="shared" si="173"/>
        <v>3327.7872000000002</v>
      </c>
    </row>
    <row r="370" spans="3:16" ht="15" customHeight="1" x14ac:dyDescent="0.35">
      <c r="D370" s="184" t="s">
        <v>248</v>
      </c>
      <c r="F370" s="201">
        <f t="shared" ref="F370:F375" si="176">552.37*12</f>
        <v>6628.4400000000005</v>
      </c>
      <c r="G370" s="201"/>
      <c r="H370" s="201">
        <f t="shared" si="174"/>
        <v>7092.48</v>
      </c>
      <c r="I370" s="201">
        <f t="shared" si="175"/>
        <v>141.84000000000015</v>
      </c>
      <c r="J370" s="201">
        <f t="shared" si="167"/>
        <v>7234.32</v>
      </c>
      <c r="K370" s="6">
        <f t="shared" si="168"/>
        <v>0</v>
      </c>
      <c r="L370" s="5">
        <f t="shared" si="169"/>
        <v>7234.32</v>
      </c>
      <c r="M370" s="6">
        <f t="shared" si="170"/>
        <v>0.46</v>
      </c>
      <c r="N370" s="203">
        <f t="shared" si="171"/>
        <v>3327.7872000000002</v>
      </c>
      <c r="O370" s="205">
        <f t="shared" si="172"/>
        <v>0</v>
      </c>
      <c r="P370" s="201">
        <f t="shared" si="173"/>
        <v>3327.7872000000002</v>
      </c>
    </row>
    <row r="371" spans="3:16" ht="15" customHeight="1" x14ac:dyDescent="0.35">
      <c r="D371" s="184" t="s">
        <v>249</v>
      </c>
      <c r="F371" s="201">
        <f t="shared" si="176"/>
        <v>6628.4400000000005</v>
      </c>
      <c r="G371" s="201"/>
      <c r="H371" s="201">
        <f t="shared" si="174"/>
        <v>7092.48</v>
      </c>
      <c r="I371" s="201">
        <f t="shared" si="175"/>
        <v>141.84000000000015</v>
      </c>
      <c r="J371" s="201">
        <f t="shared" si="167"/>
        <v>7234.32</v>
      </c>
      <c r="K371" s="6">
        <f t="shared" si="168"/>
        <v>0</v>
      </c>
      <c r="L371" s="5">
        <f t="shared" si="169"/>
        <v>7234.32</v>
      </c>
      <c r="M371" s="6">
        <f t="shared" si="170"/>
        <v>0.46</v>
      </c>
      <c r="N371" s="203">
        <f t="shared" si="171"/>
        <v>3327.7872000000002</v>
      </c>
      <c r="O371" s="205">
        <f t="shared" si="172"/>
        <v>0</v>
      </c>
      <c r="P371" s="201">
        <f t="shared" si="173"/>
        <v>3327.7872000000002</v>
      </c>
    </row>
    <row r="372" spans="3:16" ht="15" customHeight="1" x14ac:dyDescent="0.35">
      <c r="D372" s="184" t="s">
        <v>248</v>
      </c>
      <c r="F372" s="201">
        <f t="shared" si="176"/>
        <v>6628.4400000000005</v>
      </c>
      <c r="G372" s="201"/>
      <c r="H372" s="201">
        <f t="shared" si="174"/>
        <v>7092.48</v>
      </c>
      <c r="I372" s="201">
        <f t="shared" si="175"/>
        <v>141.84000000000015</v>
      </c>
      <c r="J372" s="201">
        <f t="shared" si="167"/>
        <v>7234.32</v>
      </c>
      <c r="K372" s="6">
        <f t="shared" si="168"/>
        <v>0</v>
      </c>
      <c r="L372" s="5">
        <f t="shared" si="169"/>
        <v>7234.32</v>
      </c>
      <c r="M372" s="6">
        <f t="shared" si="170"/>
        <v>0.46</v>
      </c>
      <c r="N372" s="203">
        <f t="shared" si="171"/>
        <v>3327.7872000000002</v>
      </c>
      <c r="O372" s="205">
        <f t="shared" si="172"/>
        <v>0</v>
      </c>
      <c r="P372" s="201">
        <f t="shared" si="173"/>
        <v>3327.7872000000002</v>
      </c>
    </row>
    <row r="373" spans="3:16" ht="15" customHeight="1" x14ac:dyDescent="0.35">
      <c r="D373" s="184" t="s">
        <v>249</v>
      </c>
      <c r="F373" s="201">
        <f t="shared" si="176"/>
        <v>6628.4400000000005</v>
      </c>
      <c r="G373" s="201"/>
      <c r="H373" s="201">
        <f t="shared" si="174"/>
        <v>7092.48</v>
      </c>
      <c r="I373" s="201">
        <f t="shared" si="175"/>
        <v>141.84000000000015</v>
      </c>
      <c r="J373" s="201">
        <f t="shared" si="167"/>
        <v>7234.32</v>
      </c>
      <c r="K373" s="6">
        <f t="shared" si="168"/>
        <v>0</v>
      </c>
      <c r="L373" s="5">
        <f t="shared" si="169"/>
        <v>7234.32</v>
      </c>
      <c r="M373" s="6">
        <f t="shared" si="170"/>
        <v>0.46</v>
      </c>
      <c r="N373" s="203">
        <f t="shared" si="171"/>
        <v>3327.7872000000002</v>
      </c>
      <c r="O373" s="205">
        <f t="shared" si="172"/>
        <v>0</v>
      </c>
      <c r="P373" s="201">
        <f t="shared" si="173"/>
        <v>3327.7872000000002</v>
      </c>
    </row>
    <row r="374" spans="3:16" ht="15" customHeight="1" x14ac:dyDescent="0.35">
      <c r="D374" s="184" t="s">
        <v>249</v>
      </c>
      <c r="F374" s="201">
        <f t="shared" si="176"/>
        <v>6628.4400000000005</v>
      </c>
      <c r="G374" s="201"/>
      <c r="H374" s="201">
        <f t="shared" si="174"/>
        <v>7092.48</v>
      </c>
      <c r="I374" s="201">
        <f t="shared" si="175"/>
        <v>141.84000000000015</v>
      </c>
      <c r="J374" s="201">
        <f t="shared" si="167"/>
        <v>7234.32</v>
      </c>
      <c r="K374" s="6">
        <f t="shared" si="168"/>
        <v>0</v>
      </c>
      <c r="L374" s="5">
        <f t="shared" si="169"/>
        <v>7234.32</v>
      </c>
      <c r="M374" s="6">
        <f t="shared" si="170"/>
        <v>0</v>
      </c>
      <c r="N374" s="203">
        <f t="shared" si="171"/>
        <v>0</v>
      </c>
      <c r="O374" s="205">
        <f t="shared" si="172"/>
        <v>0</v>
      </c>
      <c r="P374" s="201">
        <f t="shared" si="173"/>
        <v>0</v>
      </c>
    </row>
    <row r="375" spans="3:16" ht="15" customHeight="1" x14ac:dyDescent="0.35">
      <c r="D375" s="184" t="s">
        <v>249</v>
      </c>
      <c r="F375" s="201">
        <f t="shared" si="176"/>
        <v>6628.4400000000005</v>
      </c>
      <c r="G375" s="201"/>
      <c r="H375" s="201">
        <f t="shared" si="174"/>
        <v>7092.48</v>
      </c>
      <c r="I375" s="201">
        <f t="shared" si="175"/>
        <v>141.84000000000015</v>
      </c>
      <c r="J375" s="201">
        <f t="shared" si="167"/>
        <v>7234.32</v>
      </c>
      <c r="K375" s="6">
        <f t="shared" si="168"/>
        <v>0</v>
      </c>
      <c r="L375" s="5">
        <f t="shared" si="169"/>
        <v>7234.32</v>
      </c>
      <c r="M375" s="6">
        <f t="shared" si="170"/>
        <v>0</v>
      </c>
      <c r="N375" s="203">
        <f t="shared" si="171"/>
        <v>0</v>
      </c>
      <c r="O375" s="205">
        <f t="shared" si="172"/>
        <v>0</v>
      </c>
      <c r="P375" s="201">
        <f t="shared" si="173"/>
        <v>0</v>
      </c>
    </row>
    <row r="376" spans="3:16" ht="15" customHeight="1" x14ac:dyDescent="0.35">
      <c r="D376" s="184" t="s">
        <v>48</v>
      </c>
      <c r="F376" s="201">
        <f>552.37*9</f>
        <v>4971.33</v>
      </c>
      <c r="G376" s="201"/>
      <c r="H376" s="201">
        <f t="shared" si="174"/>
        <v>7092.48</v>
      </c>
      <c r="I376" s="201">
        <f t="shared" si="175"/>
        <v>141.84000000000015</v>
      </c>
      <c r="J376" s="201">
        <f t="shared" si="167"/>
        <v>7234.32</v>
      </c>
      <c r="K376" s="6">
        <f t="shared" si="168"/>
        <v>0.3</v>
      </c>
      <c r="L376" s="5">
        <f t="shared" si="169"/>
        <v>5064.0239999999994</v>
      </c>
      <c r="M376" s="6">
        <f t="shared" si="170"/>
        <v>0</v>
      </c>
      <c r="N376" s="203">
        <f t="shared" si="171"/>
        <v>0</v>
      </c>
      <c r="O376" s="205">
        <f t="shared" si="172"/>
        <v>0</v>
      </c>
      <c r="P376" s="201">
        <f t="shared" si="173"/>
        <v>0</v>
      </c>
    </row>
    <row r="377" spans="3:16" ht="15" customHeight="1" x14ac:dyDescent="0.35">
      <c r="D377" s="184" t="s">
        <v>250</v>
      </c>
      <c r="F377" s="201">
        <f>552.37*12</f>
        <v>6628.4400000000005</v>
      </c>
      <c r="G377" s="201"/>
      <c r="H377" s="201">
        <f t="shared" si="174"/>
        <v>7092.48</v>
      </c>
      <c r="I377" s="201">
        <f t="shared" si="175"/>
        <v>141.84000000000015</v>
      </c>
      <c r="J377" s="201">
        <f t="shared" si="167"/>
        <v>7234.32</v>
      </c>
      <c r="K377" s="6">
        <f t="shared" si="168"/>
        <v>0</v>
      </c>
      <c r="L377" s="5">
        <f t="shared" si="169"/>
        <v>7234.32</v>
      </c>
      <c r="M377" s="6">
        <f t="shared" si="170"/>
        <v>0</v>
      </c>
      <c r="N377" s="203">
        <f t="shared" si="171"/>
        <v>0</v>
      </c>
      <c r="O377" s="205">
        <f t="shared" si="172"/>
        <v>0</v>
      </c>
      <c r="P377" s="201">
        <f t="shared" si="173"/>
        <v>0</v>
      </c>
    </row>
    <row r="378" spans="3:16" ht="15" customHeight="1" x14ac:dyDescent="0.35">
      <c r="D378" s="184" t="s">
        <v>250</v>
      </c>
      <c r="F378" s="201">
        <f>552.37*12</f>
        <v>6628.4400000000005</v>
      </c>
      <c r="G378" s="201"/>
      <c r="H378" s="201">
        <f t="shared" si="174"/>
        <v>7092.48</v>
      </c>
      <c r="I378" s="201">
        <f t="shared" si="175"/>
        <v>141.84000000000015</v>
      </c>
      <c r="J378" s="201">
        <f t="shared" si="167"/>
        <v>7234.32</v>
      </c>
      <c r="K378" s="6">
        <f t="shared" si="168"/>
        <v>0</v>
      </c>
      <c r="L378" s="5">
        <f t="shared" si="169"/>
        <v>7234.32</v>
      </c>
      <c r="M378" s="6">
        <f t="shared" si="170"/>
        <v>0</v>
      </c>
      <c r="N378" s="203">
        <f t="shared" si="171"/>
        <v>0</v>
      </c>
      <c r="O378" s="205">
        <f t="shared" si="172"/>
        <v>0</v>
      </c>
      <c r="P378" s="201">
        <f t="shared" si="173"/>
        <v>0</v>
      </c>
    </row>
    <row r="379" spans="3:16" ht="15" customHeight="1" x14ac:dyDescent="0.35">
      <c r="D379" s="184" t="s">
        <v>251</v>
      </c>
      <c r="F379" s="201"/>
      <c r="G379" s="201"/>
      <c r="H379" s="201">
        <v>0</v>
      </c>
      <c r="I379" s="201">
        <f t="shared" si="175"/>
        <v>0</v>
      </c>
      <c r="J379" s="201">
        <v>0</v>
      </c>
      <c r="K379" s="6">
        <f t="shared" si="168"/>
        <v>0</v>
      </c>
      <c r="L379" s="5">
        <f>J379*(1-K379)</f>
        <v>0</v>
      </c>
      <c r="M379" s="6">
        <f t="shared" si="170"/>
        <v>0</v>
      </c>
      <c r="N379" s="203">
        <f>L379*M379</f>
        <v>0</v>
      </c>
      <c r="O379" s="205">
        <f t="shared" si="172"/>
        <v>0</v>
      </c>
      <c r="P379" s="201">
        <f t="shared" si="173"/>
        <v>0</v>
      </c>
    </row>
    <row r="380" spans="3:16" ht="15" customHeight="1" x14ac:dyDescent="0.35">
      <c r="F380" s="201"/>
      <c r="G380" s="201"/>
      <c r="H380" s="201"/>
      <c r="K380" s="201"/>
      <c r="L380" s="201"/>
    </row>
    <row r="381" spans="3:16" ht="15" customHeight="1" x14ac:dyDescent="0.35">
      <c r="C381" s="184" t="s">
        <v>68</v>
      </c>
      <c r="F381" s="201"/>
      <c r="G381" s="201"/>
      <c r="H381" s="201"/>
      <c r="K381" s="201"/>
      <c r="L381" s="201"/>
    </row>
    <row r="382" spans="3:16" ht="15" customHeight="1" x14ac:dyDescent="0.35">
      <c r="D382" s="184" t="s">
        <v>47</v>
      </c>
      <c r="F382" s="201">
        <v>625.47</v>
      </c>
      <c r="G382" s="201"/>
      <c r="H382" s="201">
        <v>614</v>
      </c>
      <c r="I382" s="4">
        <f>H382*(1-1.01)</f>
        <v>-6.1400000000000059</v>
      </c>
      <c r="J382" s="201">
        <f>H382+I382</f>
        <v>607.86</v>
      </c>
      <c r="K382" s="6">
        <f t="shared" ref="K382:K393" si="177">K368</f>
        <v>0</v>
      </c>
      <c r="L382" s="5">
        <f t="shared" ref="L382:L392" si="178">J382*(1-K382)</f>
        <v>607.86</v>
      </c>
      <c r="M382" s="6">
        <f t="shared" ref="M382:M393" si="179">M368</f>
        <v>0</v>
      </c>
      <c r="N382" s="203">
        <f t="shared" ref="N382:N392" si="180">L382*M382</f>
        <v>0</v>
      </c>
      <c r="P382" s="201">
        <f t="shared" ref="P382:P393" si="181">+N382+O382</f>
        <v>0</v>
      </c>
    </row>
    <row r="383" spans="3:16" ht="15" customHeight="1" x14ac:dyDescent="0.35">
      <c r="D383" s="184" t="s">
        <v>248</v>
      </c>
      <c r="F383" s="201">
        <v>752.37</v>
      </c>
      <c r="G383" s="201"/>
      <c r="H383" s="201">
        <v>614</v>
      </c>
      <c r="I383" s="4">
        <f t="shared" ref="I383:I393" si="182">H383*(1-1.01)</f>
        <v>-6.1400000000000059</v>
      </c>
      <c r="J383" s="201">
        <f t="shared" ref="J383:J393" si="183">H383+I383</f>
        <v>607.86</v>
      </c>
      <c r="K383" s="6">
        <f t="shared" si="177"/>
        <v>0</v>
      </c>
      <c r="L383" s="5">
        <f t="shared" si="178"/>
        <v>607.86</v>
      </c>
      <c r="M383" s="6">
        <f t="shared" si="179"/>
        <v>0.46</v>
      </c>
      <c r="N383" s="203">
        <f t="shared" si="180"/>
        <v>279.61560000000003</v>
      </c>
      <c r="P383" s="201">
        <f t="shared" si="181"/>
        <v>279.61560000000003</v>
      </c>
    </row>
    <row r="384" spans="3:16" ht="15" customHeight="1" x14ac:dyDescent="0.35">
      <c r="D384" s="184" t="s">
        <v>248</v>
      </c>
      <c r="F384" s="201">
        <v>756.87</v>
      </c>
      <c r="G384" s="201"/>
      <c r="H384" s="201">
        <v>734.93</v>
      </c>
      <c r="I384" s="4">
        <f t="shared" si="182"/>
        <v>-7.3493000000000057</v>
      </c>
      <c r="J384" s="201">
        <f t="shared" si="183"/>
        <v>727.58069999999998</v>
      </c>
      <c r="K384" s="6">
        <f t="shared" si="177"/>
        <v>0</v>
      </c>
      <c r="L384" s="5">
        <f t="shared" si="178"/>
        <v>727.58069999999998</v>
      </c>
      <c r="M384" s="6">
        <f t="shared" si="179"/>
        <v>0.46</v>
      </c>
      <c r="N384" s="203">
        <f t="shared" si="180"/>
        <v>334.68712199999999</v>
      </c>
      <c r="P384" s="201">
        <f t="shared" si="181"/>
        <v>334.68712199999999</v>
      </c>
    </row>
    <row r="385" spans="3:16" ht="15" customHeight="1" x14ac:dyDescent="0.35">
      <c r="D385" s="184" t="s">
        <v>249</v>
      </c>
      <c r="F385" s="201">
        <v>988.15</v>
      </c>
      <c r="G385" s="201"/>
      <c r="H385" s="201">
        <v>1145.76</v>
      </c>
      <c r="I385" s="4">
        <f t="shared" si="182"/>
        <v>-11.45760000000001</v>
      </c>
      <c r="J385" s="201">
        <f t="shared" si="183"/>
        <v>1134.3024</v>
      </c>
      <c r="K385" s="6">
        <f t="shared" si="177"/>
        <v>0</v>
      </c>
      <c r="L385" s="5">
        <f t="shared" si="178"/>
        <v>1134.3024</v>
      </c>
      <c r="M385" s="6">
        <f t="shared" si="179"/>
        <v>0.46</v>
      </c>
      <c r="N385" s="203">
        <f t="shared" si="180"/>
        <v>521.77910400000007</v>
      </c>
      <c r="P385" s="201">
        <f t="shared" si="181"/>
        <v>521.77910400000007</v>
      </c>
    </row>
    <row r="386" spans="3:16" ht="15" customHeight="1" x14ac:dyDescent="0.35">
      <c r="D386" s="184" t="s">
        <v>248</v>
      </c>
      <c r="F386" s="201">
        <v>734.82</v>
      </c>
      <c r="G386" s="201"/>
      <c r="H386" s="201">
        <v>709.54</v>
      </c>
      <c r="I386" s="4">
        <f t="shared" si="182"/>
        <v>-7.0954000000000059</v>
      </c>
      <c r="J386" s="201">
        <f t="shared" si="183"/>
        <v>702.44459999999992</v>
      </c>
      <c r="K386" s="6">
        <f t="shared" si="177"/>
        <v>0</v>
      </c>
      <c r="L386" s="5">
        <f t="shared" si="178"/>
        <v>702.44459999999992</v>
      </c>
      <c r="M386" s="6">
        <f t="shared" si="179"/>
        <v>0.46</v>
      </c>
      <c r="N386" s="203">
        <f t="shared" si="180"/>
        <v>323.12451599999997</v>
      </c>
      <c r="P386" s="201">
        <f t="shared" si="181"/>
        <v>323.12451599999997</v>
      </c>
    </row>
    <row r="387" spans="3:16" ht="15" customHeight="1" x14ac:dyDescent="0.35">
      <c r="D387" s="184" t="s">
        <v>249</v>
      </c>
      <c r="F387" s="201">
        <v>1005.25</v>
      </c>
      <c r="G387" s="201"/>
      <c r="H387" s="201">
        <v>970.17</v>
      </c>
      <c r="I387" s="4">
        <f t="shared" si="182"/>
        <v>-9.7017000000000078</v>
      </c>
      <c r="J387" s="201">
        <f t="shared" si="183"/>
        <v>960.4683</v>
      </c>
      <c r="K387" s="6">
        <f t="shared" si="177"/>
        <v>0</v>
      </c>
      <c r="L387" s="5">
        <f t="shared" si="178"/>
        <v>960.4683</v>
      </c>
      <c r="M387" s="6">
        <f t="shared" si="179"/>
        <v>0.46</v>
      </c>
      <c r="N387" s="203">
        <f t="shared" si="180"/>
        <v>441.81541800000002</v>
      </c>
      <c r="P387" s="201">
        <f t="shared" si="181"/>
        <v>441.81541800000002</v>
      </c>
    </row>
    <row r="388" spans="3:16" ht="15" customHeight="1" x14ac:dyDescent="0.35">
      <c r="D388" s="184" t="s">
        <v>249</v>
      </c>
      <c r="F388" s="201">
        <v>1108.75</v>
      </c>
      <c r="G388" s="201"/>
      <c r="H388" s="201">
        <v>613.5</v>
      </c>
      <c r="I388" s="4">
        <f t="shared" si="182"/>
        <v>-6.1350000000000051</v>
      </c>
      <c r="J388" s="201">
        <f t="shared" si="183"/>
        <v>607.36500000000001</v>
      </c>
      <c r="K388" s="6">
        <f t="shared" si="177"/>
        <v>0</v>
      </c>
      <c r="L388" s="5">
        <f t="shared" si="178"/>
        <v>607.36500000000001</v>
      </c>
      <c r="M388" s="6">
        <f t="shared" si="179"/>
        <v>0</v>
      </c>
      <c r="N388" s="203">
        <f t="shared" si="180"/>
        <v>0</v>
      </c>
      <c r="P388" s="201">
        <f t="shared" si="181"/>
        <v>0</v>
      </c>
    </row>
    <row r="389" spans="3:16" ht="15" customHeight="1" x14ac:dyDescent="0.35">
      <c r="D389" s="184" t="s">
        <v>249</v>
      </c>
      <c r="F389" s="201">
        <v>1166.3499999999999</v>
      </c>
      <c r="G389" s="201"/>
      <c r="H389" s="201">
        <v>709.54</v>
      </c>
      <c r="I389" s="4">
        <f t="shared" si="182"/>
        <v>-7.0954000000000059</v>
      </c>
      <c r="J389" s="201">
        <f t="shared" si="183"/>
        <v>702.44459999999992</v>
      </c>
      <c r="K389" s="6">
        <f t="shared" si="177"/>
        <v>0</v>
      </c>
      <c r="L389" s="5">
        <f t="shared" si="178"/>
        <v>702.44459999999992</v>
      </c>
      <c r="M389" s="6">
        <f t="shared" si="179"/>
        <v>0</v>
      </c>
      <c r="N389" s="203">
        <f t="shared" si="180"/>
        <v>0</v>
      </c>
      <c r="P389" s="201">
        <f t="shared" si="181"/>
        <v>0</v>
      </c>
    </row>
    <row r="390" spans="3:16" ht="15" customHeight="1" x14ac:dyDescent="0.35">
      <c r="D390" s="184" t="s">
        <v>48</v>
      </c>
      <c r="F390" s="201">
        <v>1757.62</v>
      </c>
      <c r="G390" s="201"/>
      <c r="H390" s="201">
        <v>1446.58</v>
      </c>
      <c r="I390" s="4">
        <f t="shared" si="182"/>
        <v>-14.465800000000012</v>
      </c>
      <c r="J390" s="201">
        <f t="shared" si="183"/>
        <v>1432.1142</v>
      </c>
      <c r="K390" s="6">
        <f t="shared" si="177"/>
        <v>0.3</v>
      </c>
      <c r="L390" s="5">
        <f t="shared" si="178"/>
        <v>1002.4799399999999</v>
      </c>
      <c r="M390" s="6">
        <f t="shared" si="179"/>
        <v>0</v>
      </c>
      <c r="N390" s="203">
        <f t="shared" si="180"/>
        <v>0</v>
      </c>
      <c r="P390" s="201">
        <f t="shared" si="181"/>
        <v>0</v>
      </c>
    </row>
    <row r="391" spans="3:16" ht="15" customHeight="1" x14ac:dyDescent="0.35">
      <c r="D391" s="184" t="s">
        <v>250</v>
      </c>
      <c r="F391" s="201">
        <v>1488.08</v>
      </c>
      <c r="G391" s="201"/>
      <c r="H391" s="201">
        <v>1145.76</v>
      </c>
      <c r="I391" s="4">
        <f t="shared" si="182"/>
        <v>-11.45760000000001</v>
      </c>
      <c r="J391" s="201">
        <f t="shared" si="183"/>
        <v>1134.3024</v>
      </c>
      <c r="K391" s="6">
        <f t="shared" si="177"/>
        <v>0</v>
      </c>
      <c r="L391" s="5">
        <f t="shared" si="178"/>
        <v>1134.3024</v>
      </c>
      <c r="M391" s="6">
        <f t="shared" si="179"/>
        <v>0</v>
      </c>
      <c r="N391" s="203">
        <f t="shared" si="180"/>
        <v>0</v>
      </c>
      <c r="P391" s="201">
        <f t="shared" si="181"/>
        <v>0</v>
      </c>
    </row>
    <row r="392" spans="3:16" ht="15" customHeight="1" x14ac:dyDescent="0.35">
      <c r="D392" s="184" t="s">
        <v>250</v>
      </c>
      <c r="F392" s="201">
        <v>1233.3900000000001</v>
      </c>
      <c r="G392" s="201"/>
      <c r="H392" s="201">
        <v>1203.3</v>
      </c>
      <c r="I392" s="4">
        <f t="shared" si="182"/>
        <v>-12.03300000000001</v>
      </c>
      <c r="J392" s="201">
        <f t="shared" si="183"/>
        <v>1191.2670000000001</v>
      </c>
      <c r="K392" s="6">
        <f t="shared" si="177"/>
        <v>0</v>
      </c>
      <c r="L392" s="5">
        <f t="shared" si="178"/>
        <v>1191.2670000000001</v>
      </c>
      <c r="M392" s="6">
        <f t="shared" si="179"/>
        <v>0</v>
      </c>
      <c r="N392" s="203">
        <f t="shared" si="180"/>
        <v>0</v>
      </c>
      <c r="P392" s="201">
        <f t="shared" si="181"/>
        <v>0</v>
      </c>
    </row>
    <row r="393" spans="3:16" ht="15" customHeight="1" x14ac:dyDescent="0.35">
      <c r="D393" s="184" t="s">
        <v>251</v>
      </c>
      <c r="F393" s="201"/>
      <c r="G393" s="201"/>
      <c r="H393" s="201">
        <v>110.9</v>
      </c>
      <c r="I393" s="4">
        <f t="shared" si="182"/>
        <v>-1.1090000000000011</v>
      </c>
      <c r="J393" s="201">
        <f t="shared" si="183"/>
        <v>109.79100000000001</v>
      </c>
      <c r="K393" s="6">
        <f t="shared" si="177"/>
        <v>0</v>
      </c>
      <c r="L393" s="5">
        <f>J393*(1-K393)</f>
        <v>109.79100000000001</v>
      </c>
      <c r="M393" s="6">
        <f t="shared" si="179"/>
        <v>0</v>
      </c>
      <c r="N393" s="203">
        <f>L393*M393</f>
        <v>0</v>
      </c>
      <c r="P393" s="201">
        <f t="shared" si="181"/>
        <v>0</v>
      </c>
    </row>
    <row r="394" spans="3:16" ht="15" customHeight="1" x14ac:dyDescent="0.35">
      <c r="K394" s="201"/>
      <c r="L394" s="201"/>
    </row>
    <row r="395" spans="3:16" ht="15" customHeight="1" x14ac:dyDescent="0.35">
      <c r="C395" s="184" t="s">
        <v>53</v>
      </c>
      <c r="K395" s="201"/>
      <c r="L395" s="201"/>
    </row>
    <row r="396" spans="3:16" ht="15" customHeight="1" x14ac:dyDescent="0.35">
      <c r="D396" s="184" t="s">
        <v>47</v>
      </c>
      <c r="F396" s="201">
        <f>27.28*11</f>
        <v>300.08000000000004</v>
      </c>
      <c r="G396" s="201"/>
      <c r="H396" s="201">
        <f>27.28*12</f>
        <v>327.36</v>
      </c>
      <c r="I396" s="201">
        <f>J396-H396</f>
        <v>13.439999999999941</v>
      </c>
      <c r="J396" s="201">
        <f>(22.11+6.29)*12</f>
        <v>340.79999999999995</v>
      </c>
      <c r="K396" s="6">
        <f t="shared" ref="K396:K407" si="184">K382</f>
        <v>0</v>
      </c>
      <c r="L396" s="5">
        <f t="shared" ref="L396:L406" si="185">J396*(1-K396)</f>
        <v>340.79999999999995</v>
      </c>
      <c r="M396" s="6">
        <f t="shared" ref="M396:M407" si="186">M382</f>
        <v>0</v>
      </c>
      <c r="N396" s="203">
        <f t="shared" ref="N396:N406" si="187">L396*M396</f>
        <v>0</v>
      </c>
      <c r="O396" s="205">
        <f t="shared" ref="O396:O407" si="188">-N396*$T$27</f>
        <v>0</v>
      </c>
      <c r="P396" s="201">
        <f t="shared" ref="P396:P407" si="189">+N396+O396</f>
        <v>0</v>
      </c>
    </row>
    <row r="397" spans="3:16" ht="15" customHeight="1" x14ac:dyDescent="0.35">
      <c r="D397" s="184" t="s">
        <v>248</v>
      </c>
      <c r="F397" s="201">
        <f>27.28*12</f>
        <v>327.36</v>
      </c>
      <c r="G397" s="201"/>
      <c r="H397" s="201">
        <f t="shared" ref="H397:H406" si="190">27.28*12</f>
        <v>327.36</v>
      </c>
      <c r="I397" s="201">
        <f t="shared" ref="I397:I406" si="191">J397-H397</f>
        <v>13.439999999999941</v>
      </c>
      <c r="J397" s="201">
        <f t="shared" ref="J397:J406" si="192">(22.11+6.29)*12</f>
        <v>340.79999999999995</v>
      </c>
      <c r="K397" s="6">
        <f t="shared" si="184"/>
        <v>0</v>
      </c>
      <c r="L397" s="5">
        <f t="shared" si="185"/>
        <v>340.79999999999995</v>
      </c>
      <c r="M397" s="6">
        <f t="shared" si="186"/>
        <v>0.46</v>
      </c>
      <c r="N397" s="203">
        <f t="shared" si="187"/>
        <v>156.76799999999997</v>
      </c>
      <c r="O397" s="205">
        <f t="shared" si="188"/>
        <v>0</v>
      </c>
      <c r="P397" s="201">
        <f t="shared" si="189"/>
        <v>156.76799999999997</v>
      </c>
    </row>
    <row r="398" spans="3:16" ht="15" customHeight="1" x14ac:dyDescent="0.35">
      <c r="D398" s="184" t="s">
        <v>248</v>
      </c>
      <c r="F398" s="201">
        <f t="shared" ref="F398:F403" si="193">27.28*12</f>
        <v>327.36</v>
      </c>
      <c r="G398" s="201"/>
      <c r="H398" s="201">
        <f t="shared" si="190"/>
        <v>327.36</v>
      </c>
      <c r="I398" s="201">
        <f t="shared" si="191"/>
        <v>13.439999999999941</v>
      </c>
      <c r="J398" s="201">
        <f t="shared" si="192"/>
        <v>340.79999999999995</v>
      </c>
      <c r="K398" s="6">
        <f t="shared" si="184"/>
        <v>0</v>
      </c>
      <c r="L398" s="5">
        <f t="shared" si="185"/>
        <v>340.79999999999995</v>
      </c>
      <c r="M398" s="6">
        <f t="shared" si="186"/>
        <v>0.46</v>
      </c>
      <c r="N398" s="203">
        <f t="shared" si="187"/>
        <v>156.76799999999997</v>
      </c>
      <c r="O398" s="205">
        <f t="shared" si="188"/>
        <v>0</v>
      </c>
      <c r="P398" s="201">
        <f t="shared" si="189"/>
        <v>156.76799999999997</v>
      </c>
    </row>
    <row r="399" spans="3:16" ht="15" customHeight="1" x14ac:dyDescent="0.35">
      <c r="D399" s="184" t="s">
        <v>249</v>
      </c>
      <c r="F399" s="201">
        <f t="shared" si="193"/>
        <v>327.36</v>
      </c>
      <c r="G399" s="201"/>
      <c r="H399" s="201">
        <f t="shared" si="190"/>
        <v>327.36</v>
      </c>
      <c r="I399" s="201">
        <f t="shared" si="191"/>
        <v>13.439999999999941</v>
      </c>
      <c r="J399" s="201">
        <f t="shared" si="192"/>
        <v>340.79999999999995</v>
      </c>
      <c r="K399" s="6">
        <f t="shared" si="184"/>
        <v>0</v>
      </c>
      <c r="L399" s="5">
        <f t="shared" si="185"/>
        <v>340.79999999999995</v>
      </c>
      <c r="M399" s="6">
        <f t="shared" si="186"/>
        <v>0.46</v>
      </c>
      <c r="N399" s="203">
        <f t="shared" si="187"/>
        <v>156.76799999999997</v>
      </c>
      <c r="O399" s="205">
        <f t="shared" si="188"/>
        <v>0</v>
      </c>
      <c r="P399" s="201">
        <f t="shared" si="189"/>
        <v>156.76799999999997</v>
      </c>
    </row>
    <row r="400" spans="3:16" ht="15" customHeight="1" x14ac:dyDescent="0.35">
      <c r="D400" s="184" t="s">
        <v>248</v>
      </c>
      <c r="F400" s="201">
        <f t="shared" si="193"/>
        <v>327.36</v>
      </c>
      <c r="G400" s="201"/>
      <c r="H400" s="201">
        <f t="shared" si="190"/>
        <v>327.36</v>
      </c>
      <c r="I400" s="201">
        <f t="shared" si="191"/>
        <v>13.439999999999941</v>
      </c>
      <c r="J400" s="201">
        <f t="shared" si="192"/>
        <v>340.79999999999995</v>
      </c>
      <c r="K400" s="6">
        <f t="shared" si="184"/>
        <v>0</v>
      </c>
      <c r="L400" s="5">
        <f t="shared" si="185"/>
        <v>340.79999999999995</v>
      </c>
      <c r="M400" s="6">
        <f t="shared" si="186"/>
        <v>0.46</v>
      </c>
      <c r="N400" s="203">
        <f t="shared" si="187"/>
        <v>156.76799999999997</v>
      </c>
      <c r="O400" s="205">
        <f t="shared" si="188"/>
        <v>0</v>
      </c>
      <c r="P400" s="201">
        <f t="shared" si="189"/>
        <v>156.76799999999997</v>
      </c>
    </row>
    <row r="401" spans="3:16" ht="15" customHeight="1" x14ac:dyDescent="0.35">
      <c r="D401" s="184" t="s">
        <v>249</v>
      </c>
      <c r="F401" s="201">
        <f t="shared" si="193"/>
        <v>327.36</v>
      </c>
      <c r="G401" s="201"/>
      <c r="H401" s="201">
        <f t="shared" si="190"/>
        <v>327.36</v>
      </c>
      <c r="I401" s="201">
        <f t="shared" si="191"/>
        <v>13.439999999999941</v>
      </c>
      <c r="J401" s="201">
        <f t="shared" si="192"/>
        <v>340.79999999999995</v>
      </c>
      <c r="K401" s="6">
        <f t="shared" si="184"/>
        <v>0</v>
      </c>
      <c r="L401" s="5">
        <f t="shared" si="185"/>
        <v>340.79999999999995</v>
      </c>
      <c r="M401" s="6">
        <f t="shared" si="186"/>
        <v>0.46</v>
      </c>
      <c r="N401" s="203">
        <f t="shared" si="187"/>
        <v>156.76799999999997</v>
      </c>
      <c r="O401" s="205">
        <f t="shared" si="188"/>
        <v>0</v>
      </c>
      <c r="P401" s="201">
        <f t="shared" si="189"/>
        <v>156.76799999999997</v>
      </c>
    </row>
    <row r="402" spans="3:16" ht="15" customHeight="1" x14ac:dyDescent="0.35">
      <c r="D402" s="184" t="s">
        <v>249</v>
      </c>
      <c r="F402" s="201">
        <f t="shared" si="193"/>
        <v>327.36</v>
      </c>
      <c r="G402" s="201"/>
      <c r="H402" s="201">
        <f t="shared" si="190"/>
        <v>327.36</v>
      </c>
      <c r="I402" s="201">
        <f t="shared" si="191"/>
        <v>13.439999999999941</v>
      </c>
      <c r="J402" s="201">
        <f t="shared" si="192"/>
        <v>340.79999999999995</v>
      </c>
      <c r="K402" s="6">
        <f t="shared" si="184"/>
        <v>0</v>
      </c>
      <c r="L402" s="5">
        <f t="shared" si="185"/>
        <v>340.79999999999995</v>
      </c>
      <c r="M402" s="6">
        <f t="shared" si="186"/>
        <v>0</v>
      </c>
      <c r="N402" s="203">
        <f t="shared" si="187"/>
        <v>0</v>
      </c>
      <c r="O402" s="205">
        <f t="shared" si="188"/>
        <v>0</v>
      </c>
      <c r="P402" s="201">
        <f t="shared" si="189"/>
        <v>0</v>
      </c>
    </row>
    <row r="403" spans="3:16" ht="15" customHeight="1" x14ac:dyDescent="0.35">
      <c r="D403" s="184" t="s">
        <v>249</v>
      </c>
      <c r="F403" s="201">
        <f t="shared" si="193"/>
        <v>327.36</v>
      </c>
      <c r="G403" s="201"/>
      <c r="H403" s="201">
        <f t="shared" si="190"/>
        <v>327.36</v>
      </c>
      <c r="I403" s="201">
        <f t="shared" si="191"/>
        <v>13.439999999999941</v>
      </c>
      <c r="J403" s="201">
        <f t="shared" si="192"/>
        <v>340.79999999999995</v>
      </c>
      <c r="K403" s="6">
        <f t="shared" si="184"/>
        <v>0</v>
      </c>
      <c r="L403" s="5">
        <f t="shared" si="185"/>
        <v>340.79999999999995</v>
      </c>
      <c r="M403" s="6">
        <f t="shared" si="186"/>
        <v>0</v>
      </c>
      <c r="N403" s="203">
        <f t="shared" si="187"/>
        <v>0</v>
      </c>
      <c r="O403" s="205">
        <f t="shared" si="188"/>
        <v>0</v>
      </c>
      <c r="P403" s="201">
        <f t="shared" si="189"/>
        <v>0</v>
      </c>
    </row>
    <row r="404" spans="3:16" ht="15" customHeight="1" x14ac:dyDescent="0.35">
      <c r="D404" s="184" t="s">
        <v>48</v>
      </c>
      <c r="F404" s="201">
        <f>27.28*9</f>
        <v>245.52</v>
      </c>
      <c r="G404" s="201"/>
      <c r="H404" s="201">
        <f t="shared" si="190"/>
        <v>327.36</v>
      </c>
      <c r="I404" s="201">
        <f t="shared" si="191"/>
        <v>13.439999999999941</v>
      </c>
      <c r="J404" s="201">
        <f t="shared" si="192"/>
        <v>340.79999999999995</v>
      </c>
      <c r="K404" s="6">
        <f t="shared" si="184"/>
        <v>0.3</v>
      </c>
      <c r="L404" s="5">
        <f t="shared" si="185"/>
        <v>238.55999999999995</v>
      </c>
      <c r="M404" s="6">
        <f t="shared" si="186"/>
        <v>0</v>
      </c>
      <c r="N404" s="203">
        <f t="shared" si="187"/>
        <v>0</v>
      </c>
      <c r="O404" s="205">
        <f t="shared" si="188"/>
        <v>0</v>
      </c>
      <c r="P404" s="201">
        <f t="shared" si="189"/>
        <v>0</v>
      </c>
    </row>
    <row r="405" spans="3:16" ht="15" customHeight="1" x14ac:dyDescent="0.35">
      <c r="D405" s="184" t="s">
        <v>250</v>
      </c>
      <c r="F405" s="201">
        <f>27.28*12</f>
        <v>327.36</v>
      </c>
      <c r="G405" s="201"/>
      <c r="H405" s="201">
        <f t="shared" si="190"/>
        <v>327.36</v>
      </c>
      <c r="I405" s="201">
        <f t="shared" si="191"/>
        <v>13.439999999999941</v>
      </c>
      <c r="J405" s="201">
        <f t="shared" si="192"/>
        <v>340.79999999999995</v>
      </c>
      <c r="K405" s="6">
        <f t="shared" si="184"/>
        <v>0</v>
      </c>
      <c r="L405" s="5">
        <f t="shared" si="185"/>
        <v>340.79999999999995</v>
      </c>
      <c r="M405" s="6">
        <f t="shared" si="186"/>
        <v>0</v>
      </c>
      <c r="N405" s="203">
        <f t="shared" si="187"/>
        <v>0</v>
      </c>
      <c r="O405" s="205">
        <f t="shared" si="188"/>
        <v>0</v>
      </c>
      <c r="P405" s="201">
        <f t="shared" si="189"/>
        <v>0</v>
      </c>
    </row>
    <row r="406" spans="3:16" ht="15" customHeight="1" x14ac:dyDescent="0.35">
      <c r="D406" s="184" t="s">
        <v>250</v>
      </c>
      <c r="F406" s="201">
        <f>27.28*12</f>
        <v>327.36</v>
      </c>
      <c r="G406" s="201"/>
      <c r="H406" s="201">
        <f t="shared" si="190"/>
        <v>327.36</v>
      </c>
      <c r="I406" s="201">
        <f t="shared" si="191"/>
        <v>13.439999999999941</v>
      </c>
      <c r="J406" s="201">
        <f t="shared" si="192"/>
        <v>340.79999999999995</v>
      </c>
      <c r="K406" s="6">
        <f t="shared" si="184"/>
        <v>0</v>
      </c>
      <c r="L406" s="5">
        <f t="shared" si="185"/>
        <v>340.79999999999995</v>
      </c>
      <c r="M406" s="6">
        <f t="shared" si="186"/>
        <v>0</v>
      </c>
      <c r="N406" s="203">
        <f t="shared" si="187"/>
        <v>0</v>
      </c>
      <c r="O406" s="205">
        <f t="shared" si="188"/>
        <v>0</v>
      </c>
      <c r="P406" s="201">
        <f t="shared" si="189"/>
        <v>0</v>
      </c>
    </row>
    <row r="407" spans="3:16" ht="15" customHeight="1" x14ac:dyDescent="0.35">
      <c r="D407" s="184" t="s">
        <v>251</v>
      </c>
      <c r="F407" s="201"/>
      <c r="G407" s="201"/>
      <c r="H407" s="201">
        <v>0</v>
      </c>
      <c r="I407" s="201">
        <f>J407-H407</f>
        <v>0</v>
      </c>
      <c r="J407" s="201">
        <v>0</v>
      </c>
      <c r="K407" s="6">
        <f t="shared" si="184"/>
        <v>0</v>
      </c>
      <c r="L407" s="5">
        <f>J407*(1-K407)</f>
        <v>0</v>
      </c>
      <c r="M407" s="6">
        <f t="shared" si="186"/>
        <v>0</v>
      </c>
      <c r="N407" s="203">
        <f>L407*M407</f>
        <v>0</v>
      </c>
      <c r="O407" s="205">
        <f t="shared" si="188"/>
        <v>0</v>
      </c>
      <c r="P407" s="201">
        <f t="shared" si="189"/>
        <v>0</v>
      </c>
    </row>
    <row r="408" spans="3:16" ht="15" customHeight="1" x14ac:dyDescent="0.35">
      <c r="F408" s="201"/>
      <c r="G408" s="201"/>
      <c r="H408" s="201"/>
      <c r="K408" s="201"/>
      <c r="L408" s="201"/>
    </row>
    <row r="409" spans="3:16" ht="15" customHeight="1" x14ac:dyDescent="0.35">
      <c r="C409" s="184" t="s">
        <v>54</v>
      </c>
      <c r="F409" s="201"/>
      <c r="G409" s="201"/>
      <c r="H409" s="201"/>
      <c r="K409" s="201"/>
      <c r="L409" s="201"/>
    </row>
    <row r="410" spans="3:16" ht="15" customHeight="1" x14ac:dyDescent="0.35">
      <c r="D410" s="184" t="s">
        <v>47</v>
      </c>
      <c r="F410" s="201">
        <f>32.62*11</f>
        <v>358.82</v>
      </c>
      <c r="G410" s="201"/>
      <c r="H410" s="201">
        <f>35.89*12</f>
        <v>430.68</v>
      </c>
      <c r="I410" s="201">
        <f>J410-H410</f>
        <v>143.74829477791133</v>
      </c>
      <c r="J410" s="211">
        <f>ROUNDUP((J340+J354)*3,-3)*(0.16/1000*12)+ROUNDUP((J340+J354)*3,-3)*(0.026/1000*12)+(((J340+J354)*0.545/100/12)*12)</f>
        <v>574.42829477791133</v>
      </c>
      <c r="K410" s="6">
        <f t="shared" ref="K410:K421" si="194">K396</f>
        <v>0</v>
      </c>
      <c r="L410" s="5">
        <f t="shared" ref="L410:L420" si="195">J410*(1-K410)</f>
        <v>574.42829477791133</v>
      </c>
      <c r="M410" s="6">
        <f t="shared" ref="M410:M421" si="196">M396</f>
        <v>0</v>
      </c>
      <c r="N410" s="203">
        <f t="shared" ref="N410:N420" si="197">L410*M410</f>
        <v>0</v>
      </c>
      <c r="P410" s="201">
        <f t="shared" ref="P410:P421" si="198">+N410+O410</f>
        <v>0</v>
      </c>
    </row>
    <row r="411" spans="3:16" ht="15" customHeight="1" x14ac:dyDescent="0.35">
      <c r="D411" s="184" t="s">
        <v>248</v>
      </c>
      <c r="F411" s="201">
        <f>35.24*12</f>
        <v>422.88</v>
      </c>
      <c r="G411" s="201"/>
      <c r="H411" s="201">
        <f>32.72*12</f>
        <v>392.64</v>
      </c>
      <c r="I411" s="201">
        <f t="shared" ref="I411:I420" si="199">J411-H411</f>
        <v>60.549124800000072</v>
      </c>
      <c r="J411" s="211">
        <f t="shared" ref="J411:J420" si="200">ROUNDUP((J341+J355)*3,-3)*(0.16/1000*12)+ROUNDUP((J341+J355)*3,-3)*(0.026/1000*12)+(((J341+J355)*0.545/100/12)*12)</f>
        <v>453.18912480000006</v>
      </c>
      <c r="K411" s="6">
        <f t="shared" si="194"/>
        <v>0</v>
      </c>
      <c r="L411" s="5">
        <f t="shared" si="195"/>
        <v>453.18912480000006</v>
      </c>
      <c r="M411" s="6">
        <f t="shared" si="196"/>
        <v>0.46</v>
      </c>
      <c r="N411" s="203">
        <f t="shared" si="197"/>
        <v>208.46699740800003</v>
      </c>
      <c r="P411" s="201">
        <f t="shared" si="198"/>
        <v>208.46699740800003</v>
      </c>
    </row>
    <row r="412" spans="3:16" ht="15" customHeight="1" x14ac:dyDescent="0.35">
      <c r="D412" s="184" t="s">
        <v>248</v>
      </c>
      <c r="F412" s="201">
        <f>35.59*12</f>
        <v>427.08000000000004</v>
      </c>
      <c r="G412" s="201"/>
      <c r="H412" s="201">
        <f>38.83*12</f>
        <v>465.96</v>
      </c>
      <c r="I412" s="201">
        <f t="shared" si="199"/>
        <v>91.10889391500001</v>
      </c>
      <c r="J412" s="211">
        <f t="shared" si="200"/>
        <v>557.06889391499999</v>
      </c>
      <c r="K412" s="6">
        <f t="shared" si="194"/>
        <v>0</v>
      </c>
      <c r="L412" s="5">
        <f t="shared" si="195"/>
        <v>557.06889391499999</v>
      </c>
      <c r="M412" s="6">
        <f t="shared" si="196"/>
        <v>0.46</v>
      </c>
      <c r="N412" s="203">
        <f t="shared" si="197"/>
        <v>256.25169120089998</v>
      </c>
      <c r="P412" s="201">
        <f t="shared" si="198"/>
        <v>256.25169120089998</v>
      </c>
    </row>
    <row r="413" spans="3:16" ht="15" customHeight="1" x14ac:dyDescent="0.35">
      <c r="D413" s="184" t="s">
        <v>249</v>
      </c>
      <c r="F413" s="201">
        <f>46.41*12</f>
        <v>556.91999999999996</v>
      </c>
      <c r="G413" s="201"/>
      <c r="H413" s="201">
        <f>60.45*12</f>
        <v>725.40000000000009</v>
      </c>
      <c r="I413" s="201">
        <f t="shared" si="199"/>
        <v>116.29404469500014</v>
      </c>
      <c r="J413" s="211">
        <f t="shared" si="200"/>
        <v>841.69404469500023</v>
      </c>
      <c r="K413" s="6">
        <f t="shared" si="194"/>
        <v>0</v>
      </c>
      <c r="L413" s="5">
        <f t="shared" si="195"/>
        <v>841.69404469500023</v>
      </c>
      <c r="M413" s="6">
        <f t="shared" si="196"/>
        <v>0.46</v>
      </c>
      <c r="N413" s="203">
        <f t="shared" si="197"/>
        <v>387.17926055970014</v>
      </c>
      <c r="P413" s="201">
        <f t="shared" si="198"/>
        <v>387.17926055970014</v>
      </c>
    </row>
    <row r="414" spans="3:16" ht="15" customHeight="1" x14ac:dyDescent="0.35">
      <c r="D414" s="184" t="s">
        <v>248</v>
      </c>
      <c r="F414" s="201">
        <f>34.32*12</f>
        <v>411.84000000000003</v>
      </c>
      <c r="G414" s="201"/>
      <c r="H414" s="201">
        <f>37.51*12</f>
        <v>450.12</v>
      </c>
      <c r="I414" s="201">
        <f t="shared" si="199"/>
        <v>120.45741735000013</v>
      </c>
      <c r="J414" s="211">
        <f t="shared" si="200"/>
        <v>570.57741735000013</v>
      </c>
      <c r="K414" s="6">
        <f t="shared" si="194"/>
        <v>0</v>
      </c>
      <c r="L414" s="5">
        <f t="shared" si="195"/>
        <v>570.57741735000013</v>
      </c>
      <c r="M414" s="6">
        <f t="shared" si="196"/>
        <v>0.46</v>
      </c>
      <c r="N414" s="203">
        <f t="shared" si="197"/>
        <v>262.46561198100005</v>
      </c>
      <c r="P414" s="201">
        <f t="shared" si="198"/>
        <v>262.46561198100005</v>
      </c>
    </row>
    <row r="415" spans="3:16" ht="15" customHeight="1" x14ac:dyDescent="0.35">
      <c r="D415" s="184" t="s">
        <v>249</v>
      </c>
      <c r="F415" s="201">
        <f>47*12</f>
        <v>564</v>
      </c>
      <c r="G415" s="201"/>
      <c r="H415" s="201">
        <f>51.07*12</f>
        <v>612.84</v>
      </c>
      <c r="I415" s="201">
        <f t="shared" si="199"/>
        <v>187.13057592000007</v>
      </c>
      <c r="J415" s="211">
        <f t="shared" si="200"/>
        <v>799.9705759200001</v>
      </c>
      <c r="K415" s="6">
        <f t="shared" si="194"/>
        <v>0</v>
      </c>
      <c r="L415" s="5">
        <f t="shared" si="195"/>
        <v>799.9705759200001</v>
      </c>
      <c r="M415" s="6">
        <f t="shared" si="196"/>
        <v>0.46</v>
      </c>
      <c r="N415" s="203">
        <f t="shared" si="197"/>
        <v>367.98646492320006</v>
      </c>
      <c r="P415" s="201">
        <f t="shared" si="198"/>
        <v>367.98646492320006</v>
      </c>
    </row>
    <row r="416" spans="3:16" ht="15" customHeight="1" x14ac:dyDescent="0.35">
      <c r="D416" s="184" t="s">
        <v>249</v>
      </c>
      <c r="F416" s="201">
        <f>51.97*12</f>
        <v>623.64</v>
      </c>
      <c r="G416" s="201"/>
      <c r="H416" s="201">
        <f>32.72*12</f>
        <v>392.64</v>
      </c>
      <c r="I416" s="201">
        <f t="shared" si="199"/>
        <v>80.618891035789886</v>
      </c>
      <c r="J416" s="211">
        <f t="shared" si="200"/>
        <v>473.25889103578987</v>
      </c>
      <c r="K416" s="6">
        <f t="shared" si="194"/>
        <v>0</v>
      </c>
      <c r="L416" s="5">
        <f t="shared" si="195"/>
        <v>473.25889103578987</v>
      </c>
      <c r="M416" s="6">
        <f t="shared" si="196"/>
        <v>0</v>
      </c>
      <c r="N416" s="203">
        <f t="shared" si="197"/>
        <v>0</v>
      </c>
      <c r="P416" s="201">
        <f t="shared" si="198"/>
        <v>0</v>
      </c>
    </row>
    <row r="417" spans="3:16" ht="15" customHeight="1" x14ac:dyDescent="0.35">
      <c r="D417" s="184" t="s">
        <v>249</v>
      </c>
      <c r="F417" s="201">
        <f>54.9*12</f>
        <v>658.8</v>
      </c>
      <c r="G417" s="201"/>
      <c r="H417" s="201">
        <f>35.89*12</f>
        <v>430.68</v>
      </c>
      <c r="I417" s="201">
        <f t="shared" si="199"/>
        <v>61.825800000000015</v>
      </c>
      <c r="J417" s="211">
        <f t="shared" si="200"/>
        <v>492.50580000000002</v>
      </c>
      <c r="K417" s="6">
        <f t="shared" si="194"/>
        <v>0</v>
      </c>
      <c r="L417" s="5">
        <f t="shared" si="195"/>
        <v>492.50580000000002</v>
      </c>
      <c r="M417" s="6">
        <f t="shared" si="196"/>
        <v>0</v>
      </c>
      <c r="N417" s="203">
        <f t="shared" si="197"/>
        <v>0</v>
      </c>
      <c r="P417" s="201">
        <f t="shared" si="198"/>
        <v>0</v>
      </c>
    </row>
    <row r="418" spans="3:16" ht="15" customHeight="1" x14ac:dyDescent="0.35">
      <c r="D418" s="184" t="s">
        <v>48</v>
      </c>
      <c r="F418" s="201">
        <f>79.84*9</f>
        <v>718.56000000000006</v>
      </c>
      <c r="G418" s="201"/>
      <c r="H418" s="201">
        <f>76.22*12</f>
        <v>914.64</v>
      </c>
      <c r="I418" s="201">
        <f t="shared" si="199"/>
        <v>132.41491920000033</v>
      </c>
      <c r="J418" s="211">
        <f t="shared" si="200"/>
        <v>1047.0549192000003</v>
      </c>
      <c r="K418" s="6">
        <f t="shared" si="194"/>
        <v>0.3</v>
      </c>
      <c r="L418" s="5">
        <f t="shared" si="195"/>
        <v>732.93844344000013</v>
      </c>
      <c r="M418" s="6">
        <f t="shared" si="196"/>
        <v>0</v>
      </c>
      <c r="N418" s="203">
        <f t="shared" si="197"/>
        <v>0</v>
      </c>
      <c r="P418" s="201">
        <f t="shared" si="198"/>
        <v>0</v>
      </c>
    </row>
    <row r="419" spans="3:16" ht="15" customHeight="1" x14ac:dyDescent="0.35">
      <c r="D419" s="184" t="s">
        <v>250</v>
      </c>
      <c r="F419" s="201">
        <f>69.96*12</f>
        <v>839.52</v>
      </c>
      <c r="G419" s="201"/>
      <c r="H419" s="201">
        <f>61.43*12</f>
        <v>737.16</v>
      </c>
      <c r="I419" s="201">
        <f t="shared" si="199"/>
        <v>161.08516319516991</v>
      </c>
      <c r="J419" s="211">
        <f t="shared" si="200"/>
        <v>898.24516319516988</v>
      </c>
      <c r="K419" s="6">
        <f t="shared" si="194"/>
        <v>0</v>
      </c>
      <c r="L419" s="5">
        <f t="shared" si="195"/>
        <v>898.24516319516988</v>
      </c>
      <c r="M419" s="6">
        <f t="shared" si="196"/>
        <v>0</v>
      </c>
      <c r="N419" s="203">
        <f t="shared" si="197"/>
        <v>0</v>
      </c>
      <c r="P419" s="201">
        <f t="shared" si="198"/>
        <v>0</v>
      </c>
    </row>
    <row r="420" spans="3:16" ht="15" customHeight="1" x14ac:dyDescent="0.35">
      <c r="D420" s="184" t="s">
        <v>250</v>
      </c>
      <c r="F420" s="201">
        <f>58.2*12</f>
        <v>698.40000000000009</v>
      </c>
      <c r="G420" s="201"/>
      <c r="H420" s="201">
        <f>63.43*12</f>
        <v>761.16</v>
      </c>
      <c r="I420" s="201">
        <f t="shared" si="199"/>
        <v>196.57797749873168</v>
      </c>
      <c r="J420" s="211">
        <f t="shared" si="200"/>
        <v>957.73797749873165</v>
      </c>
      <c r="K420" s="6">
        <f t="shared" si="194"/>
        <v>0</v>
      </c>
      <c r="L420" s="5">
        <f t="shared" si="195"/>
        <v>957.73797749873165</v>
      </c>
      <c r="M420" s="6">
        <f t="shared" si="196"/>
        <v>0</v>
      </c>
      <c r="N420" s="203">
        <f t="shared" si="197"/>
        <v>0</v>
      </c>
      <c r="P420" s="201">
        <f t="shared" si="198"/>
        <v>0</v>
      </c>
    </row>
    <row r="421" spans="3:16" ht="15" customHeight="1" x14ac:dyDescent="0.35">
      <c r="D421" s="184" t="s">
        <v>251</v>
      </c>
      <c r="F421" s="201"/>
      <c r="G421" s="201"/>
      <c r="H421" s="201">
        <v>0</v>
      </c>
      <c r="I421" s="201">
        <f>J421-H421</f>
        <v>0</v>
      </c>
      <c r="J421" s="201">
        <v>0</v>
      </c>
      <c r="K421" s="6">
        <f t="shared" si="194"/>
        <v>0</v>
      </c>
      <c r="L421" s="5">
        <f>J421*(1-K421)</f>
        <v>0</v>
      </c>
      <c r="M421" s="6">
        <f t="shared" si="196"/>
        <v>0</v>
      </c>
      <c r="N421" s="203">
        <f>L421*M421</f>
        <v>0</v>
      </c>
      <c r="P421" s="201">
        <f t="shared" si="198"/>
        <v>0</v>
      </c>
    </row>
    <row r="422" spans="3:16" ht="15" customHeight="1" x14ac:dyDescent="0.35">
      <c r="F422" s="201"/>
      <c r="G422" s="201"/>
      <c r="H422" s="201"/>
      <c r="K422" s="201"/>
      <c r="L422" s="201"/>
    </row>
    <row r="423" spans="3:16" ht="15" customHeight="1" x14ac:dyDescent="0.35">
      <c r="C423" s="184" t="s">
        <v>162</v>
      </c>
      <c r="F423" s="201"/>
      <c r="G423" s="201"/>
      <c r="H423" s="201"/>
      <c r="K423" s="201"/>
      <c r="L423" s="201"/>
    </row>
    <row r="424" spans="3:16" ht="15" customHeight="1" x14ac:dyDescent="0.35">
      <c r="D424" s="184" t="s">
        <v>47</v>
      </c>
      <c r="F424" s="201">
        <f t="shared" ref="F424:F435" si="201">+(F340+F354)*0.0765</f>
        <v>2792.3262527519996</v>
      </c>
      <c r="G424" s="201"/>
      <c r="H424" s="201">
        <f t="shared" ref="H424:H435" si="202">+(H340+H354)*0.0765</f>
        <v>3256.0622448979589</v>
      </c>
      <c r="I424" s="201">
        <f>J424-H424</f>
        <v>358.16684693877596</v>
      </c>
      <c r="J424" s="201">
        <f>(J340+J354)*0.0765</f>
        <v>3614.2290918367348</v>
      </c>
      <c r="K424" s="6">
        <f t="shared" ref="K424:K435" si="203">K410</f>
        <v>0</v>
      </c>
      <c r="L424" s="5">
        <f t="shared" ref="L424:L434" si="204">J424*(1-K424)</f>
        <v>3614.2290918367348</v>
      </c>
      <c r="M424" s="6">
        <f t="shared" ref="M424:M435" si="205">M410</f>
        <v>0</v>
      </c>
      <c r="N424" s="203">
        <f t="shared" ref="N424:N434" si="206">L424*M424</f>
        <v>0</v>
      </c>
      <c r="P424" s="201">
        <f t="shared" ref="P424:P435" si="207">+N424+O424</f>
        <v>0</v>
      </c>
    </row>
    <row r="425" spans="3:16" ht="15" customHeight="1" x14ac:dyDescent="0.35">
      <c r="D425" s="184" t="s">
        <v>248</v>
      </c>
      <c r="F425" s="201">
        <f t="shared" si="201"/>
        <v>2836.1587049999998</v>
      </c>
      <c r="G425" s="201"/>
      <c r="H425" s="201">
        <f t="shared" si="202"/>
        <v>2569.6656000000003</v>
      </c>
      <c r="I425" s="201">
        <f t="shared" ref="I425:I434" si="208">J425-H425</f>
        <v>282.66321599999992</v>
      </c>
      <c r="J425" s="201">
        <f t="shared" ref="J425:J435" si="209">(J341+J355)*0.0765</f>
        <v>2852.3288160000002</v>
      </c>
      <c r="K425" s="6">
        <f t="shared" si="203"/>
        <v>0</v>
      </c>
      <c r="L425" s="5">
        <f t="shared" si="204"/>
        <v>2852.3288160000002</v>
      </c>
      <c r="M425" s="6">
        <f t="shared" si="205"/>
        <v>0.46</v>
      </c>
      <c r="N425" s="203">
        <f t="shared" si="206"/>
        <v>1312.0712553600001</v>
      </c>
      <c r="P425" s="201">
        <f t="shared" si="207"/>
        <v>1312.0712553600001</v>
      </c>
    </row>
    <row r="426" spans="3:16" ht="15" customHeight="1" x14ac:dyDescent="0.35">
      <c r="D426" s="184" t="s">
        <v>248</v>
      </c>
      <c r="F426" s="201">
        <f t="shared" si="201"/>
        <v>2479.1592150000001</v>
      </c>
      <c r="G426" s="201"/>
      <c r="H426" s="201">
        <f t="shared" si="202"/>
        <v>3149.4415050000002</v>
      </c>
      <c r="I426" s="201">
        <f t="shared" si="208"/>
        <v>346.43856555000002</v>
      </c>
      <c r="J426" s="201">
        <f t="shared" si="209"/>
        <v>3495.8800705500003</v>
      </c>
      <c r="K426" s="6">
        <f t="shared" si="203"/>
        <v>0</v>
      </c>
      <c r="L426" s="5">
        <f t="shared" si="204"/>
        <v>3495.8800705500003</v>
      </c>
      <c r="M426" s="6">
        <f t="shared" si="205"/>
        <v>0.46</v>
      </c>
      <c r="N426" s="203">
        <f t="shared" si="206"/>
        <v>1608.1048324530002</v>
      </c>
      <c r="P426" s="201">
        <f t="shared" si="207"/>
        <v>1608.1048324530002</v>
      </c>
    </row>
    <row r="427" spans="3:16" ht="15" customHeight="1" x14ac:dyDescent="0.35">
      <c r="D427" s="184" t="s">
        <v>249</v>
      </c>
      <c r="F427" s="201">
        <f t="shared" si="201"/>
        <v>4311.7610850000001</v>
      </c>
      <c r="G427" s="201"/>
      <c r="H427" s="201">
        <f t="shared" si="202"/>
        <v>4772.958165</v>
      </c>
      <c r="I427" s="201">
        <f t="shared" si="208"/>
        <v>525.02539815000091</v>
      </c>
      <c r="J427" s="201">
        <f t="shared" si="209"/>
        <v>5297.9835631500009</v>
      </c>
      <c r="K427" s="6">
        <f t="shared" si="203"/>
        <v>0</v>
      </c>
      <c r="L427" s="5">
        <f t="shared" si="204"/>
        <v>5297.9835631500009</v>
      </c>
      <c r="M427" s="6">
        <f t="shared" si="205"/>
        <v>0.46</v>
      </c>
      <c r="N427" s="203">
        <f t="shared" si="206"/>
        <v>2437.0724390490004</v>
      </c>
      <c r="P427" s="201">
        <f t="shared" si="207"/>
        <v>2437.0724390490004</v>
      </c>
    </row>
    <row r="428" spans="3:16" ht="15" customHeight="1" x14ac:dyDescent="0.35">
      <c r="D428" s="184" t="s">
        <v>248</v>
      </c>
      <c r="F428" s="201">
        <f t="shared" si="201"/>
        <v>2838.793365</v>
      </c>
      <c r="G428" s="201"/>
      <c r="H428" s="201">
        <f t="shared" si="202"/>
        <v>3235.5904500000001</v>
      </c>
      <c r="I428" s="201">
        <f t="shared" si="208"/>
        <v>355.91494950000015</v>
      </c>
      <c r="J428" s="201">
        <f t="shared" si="209"/>
        <v>3591.5053995000003</v>
      </c>
      <c r="K428" s="6">
        <f t="shared" si="203"/>
        <v>0</v>
      </c>
      <c r="L428" s="5">
        <f t="shared" si="204"/>
        <v>3591.5053995000003</v>
      </c>
      <c r="M428" s="6">
        <f t="shared" si="205"/>
        <v>0.46</v>
      </c>
      <c r="N428" s="203">
        <f t="shared" si="206"/>
        <v>1652.0924837700002</v>
      </c>
      <c r="P428" s="201">
        <f t="shared" si="207"/>
        <v>1652.0924837700002</v>
      </c>
    </row>
    <row r="429" spans="3:16" ht="15" customHeight="1" x14ac:dyDescent="0.35">
      <c r="D429" s="184" t="s">
        <v>249</v>
      </c>
      <c r="F429" s="201">
        <f t="shared" si="201"/>
        <v>3999.9402</v>
      </c>
      <c r="G429" s="201"/>
      <c r="H429" s="201">
        <f t="shared" si="202"/>
        <v>4527.58824</v>
      </c>
      <c r="I429" s="201">
        <f t="shared" si="208"/>
        <v>498.03470639999978</v>
      </c>
      <c r="J429" s="201">
        <f t="shared" si="209"/>
        <v>5025.6229463999998</v>
      </c>
      <c r="K429" s="6">
        <f t="shared" si="203"/>
        <v>0</v>
      </c>
      <c r="L429" s="5">
        <f t="shared" si="204"/>
        <v>5025.6229463999998</v>
      </c>
      <c r="M429" s="6">
        <f t="shared" si="205"/>
        <v>0.46</v>
      </c>
      <c r="N429" s="203">
        <f t="shared" si="206"/>
        <v>2311.7865553440001</v>
      </c>
      <c r="P429" s="201">
        <f t="shared" si="207"/>
        <v>2311.7865553440001</v>
      </c>
    </row>
    <row r="430" spans="3:16" ht="15" customHeight="1" x14ac:dyDescent="0.35">
      <c r="D430" s="184" t="s">
        <v>249</v>
      </c>
      <c r="F430" s="201">
        <f t="shared" si="201"/>
        <v>4348.7419500000005</v>
      </c>
      <c r="G430" s="201"/>
      <c r="H430" s="201">
        <f t="shared" si="202"/>
        <v>2682.3355920717277</v>
      </c>
      <c r="I430" s="201">
        <f t="shared" si="208"/>
        <v>295.05691512789008</v>
      </c>
      <c r="J430" s="201">
        <f t="shared" si="209"/>
        <v>2977.3925071996177</v>
      </c>
      <c r="K430" s="6">
        <f t="shared" si="203"/>
        <v>0</v>
      </c>
      <c r="L430" s="5">
        <f t="shared" si="204"/>
        <v>2977.3925071996177</v>
      </c>
      <c r="M430" s="6">
        <f t="shared" si="205"/>
        <v>0</v>
      </c>
      <c r="N430" s="203">
        <f t="shared" si="206"/>
        <v>0</v>
      </c>
      <c r="P430" s="201">
        <f t="shared" si="207"/>
        <v>0</v>
      </c>
    </row>
    <row r="431" spans="3:16" ht="15" customHeight="1" x14ac:dyDescent="0.35">
      <c r="D431" s="184" t="s">
        <v>249</v>
      </c>
      <c r="F431" s="201">
        <f t="shared" si="201"/>
        <v>4552.3880099999997</v>
      </c>
      <c r="G431" s="201"/>
      <c r="H431" s="201">
        <f t="shared" si="202"/>
        <v>2784.6</v>
      </c>
      <c r="I431" s="201">
        <f t="shared" si="208"/>
        <v>306.30600000000004</v>
      </c>
      <c r="J431" s="201">
        <f t="shared" si="209"/>
        <v>3090.9059999999999</v>
      </c>
      <c r="K431" s="6">
        <f t="shared" si="203"/>
        <v>0</v>
      </c>
      <c r="L431" s="5">
        <f t="shared" si="204"/>
        <v>3090.9059999999999</v>
      </c>
      <c r="M431" s="6">
        <f t="shared" si="205"/>
        <v>0</v>
      </c>
      <c r="N431" s="203">
        <f t="shared" si="206"/>
        <v>0</v>
      </c>
      <c r="P431" s="201">
        <f t="shared" si="207"/>
        <v>0</v>
      </c>
    </row>
    <row r="432" spans="3:16" ht="15" customHeight="1" x14ac:dyDescent="0.35">
      <c r="D432" s="184" t="s">
        <v>48</v>
      </c>
      <c r="F432" s="201">
        <f t="shared" si="201"/>
        <v>5786.9312399999999</v>
      </c>
      <c r="G432" s="201"/>
      <c r="H432" s="201">
        <f t="shared" si="202"/>
        <v>5930.4023999999999</v>
      </c>
      <c r="I432" s="201">
        <f t="shared" si="208"/>
        <v>652.34426400000029</v>
      </c>
      <c r="J432" s="201">
        <f t="shared" si="209"/>
        <v>6582.7466640000002</v>
      </c>
      <c r="K432" s="6">
        <f t="shared" si="203"/>
        <v>0.3</v>
      </c>
      <c r="L432" s="5">
        <f t="shared" si="204"/>
        <v>4607.9226647999994</v>
      </c>
      <c r="M432" s="6">
        <f t="shared" si="205"/>
        <v>0</v>
      </c>
      <c r="N432" s="203">
        <f t="shared" si="206"/>
        <v>0</v>
      </c>
      <c r="P432" s="201">
        <f t="shared" si="207"/>
        <v>0</v>
      </c>
    </row>
    <row r="433" spans="3:31" ht="15" customHeight="1" x14ac:dyDescent="0.35">
      <c r="D433" s="184" t="s">
        <v>250</v>
      </c>
      <c r="F433" s="201">
        <f t="shared" si="201"/>
        <v>5957.9423999999999</v>
      </c>
      <c r="G433" s="201"/>
      <c r="H433" s="201">
        <f t="shared" si="202"/>
        <v>5092.933132396146</v>
      </c>
      <c r="I433" s="201">
        <f t="shared" si="208"/>
        <v>560.22264456357607</v>
      </c>
      <c r="J433" s="201">
        <f t="shared" si="209"/>
        <v>5653.1557769597221</v>
      </c>
      <c r="K433" s="6">
        <f t="shared" si="203"/>
        <v>0</v>
      </c>
      <c r="L433" s="5">
        <f t="shared" si="204"/>
        <v>5653.1557769597221</v>
      </c>
      <c r="M433" s="6">
        <f t="shared" si="205"/>
        <v>0</v>
      </c>
      <c r="N433" s="203">
        <f t="shared" si="206"/>
        <v>0</v>
      </c>
      <c r="P433" s="201">
        <f t="shared" si="207"/>
        <v>0</v>
      </c>
    </row>
    <row r="434" spans="3:31" ht="15" customHeight="1" x14ac:dyDescent="0.35">
      <c r="D434" s="184" t="s">
        <v>250</v>
      </c>
      <c r="F434" s="201">
        <f t="shared" si="201"/>
        <v>4921.6634549999999</v>
      </c>
      <c r="G434" s="201"/>
      <c r="H434" s="201">
        <f t="shared" si="202"/>
        <v>5421.882680990655</v>
      </c>
      <c r="I434" s="201">
        <f t="shared" si="208"/>
        <v>596.40709490897279</v>
      </c>
      <c r="J434" s="201">
        <f t="shared" si="209"/>
        <v>6018.2897758996278</v>
      </c>
      <c r="K434" s="6">
        <f t="shared" si="203"/>
        <v>0</v>
      </c>
      <c r="L434" s="5">
        <f t="shared" si="204"/>
        <v>6018.2897758996278</v>
      </c>
      <c r="M434" s="6">
        <f t="shared" si="205"/>
        <v>0</v>
      </c>
      <c r="N434" s="203">
        <f t="shared" si="206"/>
        <v>0</v>
      </c>
      <c r="P434" s="201">
        <f t="shared" si="207"/>
        <v>0</v>
      </c>
    </row>
    <row r="435" spans="3:31" ht="15" customHeight="1" x14ac:dyDescent="0.35">
      <c r="D435" s="184" t="s">
        <v>251</v>
      </c>
      <c r="F435" s="201">
        <f t="shared" si="201"/>
        <v>0</v>
      </c>
      <c r="G435" s="201"/>
      <c r="H435" s="201">
        <f t="shared" si="202"/>
        <v>0</v>
      </c>
      <c r="I435" s="201">
        <f>J435-H435</f>
        <v>381.88799999999998</v>
      </c>
      <c r="J435" s="201">
        <f t="shared" si="209"/>
        <v>381.88799999999998</v>
      </c>
      <c r="K435" s="6">
        <f t="shared" si="203"/>
        <v>0</v>
      </c>
      <c r="L435" s="5">
        <f>J435*(1-K435)</f>
        <v>381.88799999999998</v>
      </c>
      <c r="M435" s="6">
        <f t="shared" si="205"/>
        <v>0</v>
      </c>
      <c r="N435" s="203">
        <f>L435*M435</f>
        <v>0</v>
      </c>
      <c r="P435" s="201">
        <f t="shared" si="207"/>
        <v>0</v>
      </c>
    </row>
    <row r="436" spans="3:31" ht="15" customHeight="1" x14ac:dyDescent="0.35">
      <c r="F436" s="201"/>
      <c r="G436" s="201"/>
      <c r="H436" s="201"/>
      <c r="K436" s="201"/>
      <c r="L436" s="201"/>
    </row>
    <row r="437" spans="3:31" ht="15" customHeight="1" x14ac:dyDescent="0.35">
      <c r="C437" s="184" t="s">
        <v>244</v>
      </c>
      <c r="F437" s="201"/>
      <c r="G437" s="201"/>
      <c r="H437" s="201"/>
      <c r="K437" s="201"/>
      <c r="L437" s="201"/>
    </row>
    <row r="438" spans="3:31" ht="15" customHeight="1" x14ac:dyDescent="0.35">
      <c r="D438" s="184" t="s">
        <v>47</v>
      </c>
      <c r="F438" s="201">
        <f>172*12</f>
        <v>2064</v>
      </c>
      <c r="G438" s="201"/>
      <c r="H438" s="201">
        <f>172*12</f>
        <v>2064</v>
      </c>
      <c r="I438" s="201">
        <f t="shared" ref="I438:I449" si="210">J438-F438</f>
        <v>636</v>
      </c>
      <c r="J438" s="201">
        <v>2700</v>
      </c>
      <c r="K438" s="6">
        <f t="shared" ref="K438:K449" si="211">K424</f>
        <v>0</v>
      </c>
      <c r="L438" s="5">
        <f t="shared" ref="L438:L448" si="212">J438*(1-K438)</f>
        <v>2700</v>
      </c>
      <c r="M438" s="6">
        <f t="shared" ref="M438:M449" si="213">M424</f>
        <v>0</v>
      </c>
      <c r="N438" s="203">
        <f t="shared" ref="N438:N448" si="214">L438*M438</f>
        <v>0</v>
      </c>
      <c r="P438" s="201">
        <f t="shared" ref="P438:P449" si="215">+N438+O438</f>
        <v>0</v>
      </c>
    </row>
    <row r="439" spans="3:31" ht="15" customHeight="1" x14ac:dyDescent="0.35">
      <c r="D439" s="184" t="s">
        <v>248</v>
      </c>
      <c r="F439" s="201">
        <f t="shared" ref="F439:F448" si="216">172*12</f>
        <v>2064</v>
      </c>
      <c r="G439" s="201"/>
      <c r="H439" s="201">
        <f t="shared" ref="H439:H448" si="217">172*12</f>
        <v>2064</v>
      </c>
      <c r="I439" s="201">
        <f t="shared" si="210"/>
        <v>636</v>
      </c>
      <c r="J439" s="201">
        <v>2700</v>
      </c>
      <c r="K439" s="6">
        <f t="shared" si="211"/>
        <v>0</v>
      </c>
      <c r="L439" s="5">
        <f t="shared" si="212"/>
        <v>2700</v>
      </c>
      <c r="M439" s="6">
        <f t="shared" si="213"/>
        <v>0.46</v>
      </c>
      <c r="N439" s="203">
        <f t="shared" si="214"/>
        <v>1242</v>
      </c>
      <c r="P439" s="201">
        <f t="shared" si="215"/>
        <v>1242</v>
      </c>
    </row>
    <row r="440" spans="3:31" ht="15" customHeight="1" x14ac:dyDescent="0.35">
      <c r="D440" s="184" t="s">
        <v>248</v>
      </c>
      <c r="F440" s="201">
        <f t="shared" si="216"/>
        <v>2064</v>
      </c>
      <c r="G440" s="201"/>
      <c r="H440" s="201">
        <f t="shared" si="217"/>
        <v>2064</v>
      </c>
      <c r="I440" s="201">
        <f t="shared" si="210"/>
        <v>636</v>
      </c>
      <c r="J440" s="201">
        <v>2700</v>
      </c>
      <c r="K440" s="6">
        <f t="shared" si="211"/>
        <v>0</v>
      </c>
      <c r="L440" s="5">
        <f t="shared" si="212"/>
        <v>2700</v>
      </c>
      <c r="M440" s="6">
        <f t="shared" si="213"/>
        <v>0.46</v>
      </c>
      <c r="N440" s="203">
        <f t="shared" si="214"/>
        <v>1242</v>
      </c>
      <c r="P440" s="201">
        <f t="shared" si="215"/>
        <v>1242</v>
      </c>
    </row>
    <row r="441" spans="3:31" ht="15" customHeight="1" x14ac:dyDescent="0.35">
      <c r="D441" s="184" t="s">
        <v>249</v>
      </c>
      <c r="F441" s="201">
        <f t="shared" si="216"/>
        <v>2064</v>
      </c>
      <c r="G441" s="201"/>
      <c r="H441" s="201">
        <f t="shared" si="217"/>
        <v>2064</v>
      </c>
      <c r="I441" s="201">
        <f t="shared" si="210"/>
        <v>636</v>
      </c>
      <c r="J441" s="201">
        <v>2700</v>
      </c>
      <c r="K441" s="6">
        <f t="shared" si="211"/>
        <v>0</v>
      </c>
      <c r="L441" s="5">
        <f t="shared" si="212"/>
        <v>2700</v>
      </c>
      <c r="M441" s="6">
        <f t="shared" si="213"/>
        <v>0.46</v>
      </c>
      <c r="N441" s="203">
        <f t="shared" si="214"/>
        <v>1242</v>
      </c>
      <c r="P441" s="201">
        <f t="shared" si="215"/>
        <v>1242</v>
      </c>
    </row>
    <row r="442" spans="3:31" ht="15" customHeight="1" x14ac:dyDescent="0.35">
      <c r="D442" s="184" t="s">
        <v>248</v>
      </c>
      <c r="F442" s="201">
        <f t="shared" si="216"/>
        <v>2064</v>
      </c>
      <c r="G442" s="201"/>
      <c r="H442" s="201">
        <f t="shared" si="217"/>
        <v>2064</v>
      </c>
      <c r="I442" s="201">
        <f t="shared" si="210"/>
        <v>636</v>
      </c>
      <c r="J442" s="201">
        <v>2700</v>
      </c>
      <c r="K442" s="6">
        <f t="shared" si="211"/>
        <v>0</v>
      </c>
      <c r="L442" s="5">
        <f t="shared" si="212"/>
        <v>2700</v>
      </c>
      <c r="M442" s="6">
        <f t="shared" si="213"/>
        <v>0.46</v>
      </c>
      <c r="N442" s="203">
        <f t="shared" si="214"/>
        <v>1242</v>
      </c>
      <c r="P442" s="201">
        <f t="shared" si="215"/>
        <v>1242</v>
      </c>
    </row>
    <row r="443" spans="3:31" ht="15" customHeight="1" x14ac:dyDescent="0.35">
      <c r="D443" s="184" t="s">
        <v>249</v>
      </c>
      <c r="F443" s="201">
        <f t="shared" si="216"/>
        <v>2064</v>
      </c>
      <c r="G443" s="201"/>
      <c r="H443" s="201">
        <f t="shared" si="217"/>
        <v>2064</v>
      </c>
      <c r="I443" s="201">
        <f t="shared" si="210"/>
        <v>636</v>
      </c>
      <c r="J443" s="201">
        <v>2700</v>
      </c>
      <c r="K443" s="6">
        <f t="shared" si="211"/>
        <v>0</v>
      </c>
      <c r="L443" s="5">
        <f t="shared" si="212"/>
        <v>2700</v>
      </c>
      <c r="M443" s="6">
        <f t="shared" si="213"/>
        <v>0.46</v>
      </c>
      <c r="N443" s="203">
        <f t="shared" si="214"/>
        <v>1242</v>
      </c>
      <c r="P443" s="201">
        <f t="shared" si="215"/>
        <v>1242</v>
      </c>
    </row>
    <row r="444" spans="3:31" ht="15" customHeight="1" x14ac:dyDescent="0.35">
      <c r="D444" s="184" t="s">
        <v>249</v>
      </c>
      <c r="F444" s="201">
        <f t="shared" si="216"/>
        <v>2064</v>
      </c>
      <c r="G444" s="201"/>
      <c r="H444" s="201">
        <f t="shared" si="217"/>
        <v>2064</v>
      </c>
      <c r="I444" s="201">
        <f t="shared" si="210"/>
        <v>636</v>
      </c>
      <c r="J444" s="201">
        <v>2700</v>
      </c>
      <c r="K444" s="6">
        <f t="shared" si="211"/>
        <v>0</v>
      </c>
      <c r="L444" s="5">
        <f t="shared" si="212"/>
        <v>2700</v>
      </c>
      <c r="M444" s="6">
        <f t="shared" si="213"/>
        <v>0</v>
      </c>
      <c r="N444" s="203">
        <f t="shared" si="214"/>
        <v>0</v>
      </c>
      <c r="P444" s="201">
        <f t="shared" si="215"/>
        <v>0</v>
      </c>
    </row>
    <row r="445" spans="3:31" ht="15" customHeight="1" x14ac:dyDescent="0.35">
      <c r="D445" s="184" t="s">
        <v>249</v>
      </c>
      <c r="F445" s="201">
        <f t="shared" si="216"/>
        <v>2064</v>
      </c>
      <c r="G445" s="201"/>
      <c r="H445" s="201">
        <f t="shared" si="217"/>
        <v>2064</v>
      </c>
      <c r="I445" s="201">
        <f t="shared" si="210"/>
        <v>636</v>
      </c>
      <c r="J445" s="201">
        <v>2700</v>
      </c>
      <c r="K445" s="6">
        <f t="shared" si="211"/>
        <v>0</v>
      </c>
      <c r="L445" s="5">
        <f t="shared" si="212"/>
        <v>2700</v>
      </c>
      <c r="M445" s="6">
        <f t="shared" si="213"/>
        <v>0</v>
      </c>
      <c r="N445" s="203">
        <f t="shared" si="214"/>
        <v>0</v>
      </c>
      <c r="P445" s="201">
        <f t="shared" si="215"/>
        <v>0</v>
      </c>
      <c r="S445" s="183"/>
      <c r="T445" s="183"/>
      <c r="U445" s="183"/>
      <c r="V445" s="183"/>
      <c r="W445" s="183"/>
      <c r="X445" s="183"/>
      <c r="Y445" s="183"/>
      <c r="Z445" s="183"/>
      <c r="AA445" s="183"/>
      <c r="AB445" s="183"/>
      <c r="AC445" s="183"/>
      <c r="AD445" s="183"/>
      <c r="AE445" s="183"/>
    </row>
    <row r="446" spans="3:31" ht="15" customHeight="1" x14ac:dyDescent="0.35">
      <c r="D446" s="184" t="s">
        <v>48</v>
      </c>
      <c r="F446" s="201">
        <f t="shared" si="216"/>
        <v>2064</v>
      </c>
      <c r="G446" s="201"/>
      <c r="H446" s="201">
        <f t="shared" si="217"/>
        <v>2064</v>
      </c>
      <c r="I446" s="201">
        <f t="shared" si="210"/>
        <v>636</v>
      </c>
      <c r="J446" s="201">
        <v>2700</v>
      </c>
      <c r="K446" s="6">
        <f t="shared" si="211"/>
        <v>0.3</v>
      </c>
      <c r="L446" s="5">
        <f t="shared" si="212"/>
        <v>1889.9999999999998</v>
      </c>
      <c r="M446" s="6">
        <f t="shared" si="213"/>
        <v>0</v>
      </c>
      <c r="N446" s="203">
        <f t="shared" si="214"/>
        <v>0</v>
      </c>
      <c r="P446" s="201">
        <f t="shared" si="215"/>
        <v>0</v>
      </c>
    </row>
    <row r="447" spans="3:31" ht="15" customHeight="1" x14ac:dyDescent="0.35">
      <c r="D447" s="184" t="s">
        <v>250</v>
      </c>
      <c r="F447" s="201">
        <f t="shared" si="216"/>
        <v>2064</v>
      </c>
      <c r="G447" s="201"/>
      <c r="H447" s="201">
        <f t="shared" si="217"/>
        <v>2064</v>
      </c>
      <c r="I447" s="201">
        <f t="shared" si="210"/>
        <v>636</v>
      </c>
      <c r="J447" s="201">
        <v>2700</v>
      </c>
      <c r="K447" s="6">
        <f t="shared" si="211"/>
        <v>0</v>
      </c>
      <c r="L447" s="5">
        <f t="shared" si="212"/>
        <v>2700</v>
      </c>
      <c r="M447" s="6">
        <f t="shared" si="213"/>
        <v>0</v>
      </c>
      <c r="N447" s="203">
        <f t="shared" si="214"/>
        <v>0</v>
      </c>
      <c r="P447" s="201">
        <f t="shared" si="215"/>
        <v>0</v>
      </c>
    </row>
    <row r="448" spans="3:31" ht="15" customHeight="1" x14ac:dyDescent="0.35">
      <c r="D448" s="184" t="s">
        <v>250</v>
      </c>
      <c r="F448" s="201">
        <f t="shared" si="216"/>
        <v>2064</v>
      </c>
      <c r="G448" s="201"/>
      <c r="H448" s="201">
        <f t="shared" si="217"/>
        <v>2064</v>
      </c>
      <c r="I448" s="201">
        <f t="shared" si="210"/>
        <v>636</v>
      </c>
      <c r="J448" s="201">
        <v>2700</v>
      </c>
      <c r="K448" s="6">
        <f t="shared" si="211"/>
        <v>0</v>
      </c>
      <c r="L448" s="5">
        <f t="shared" si="212"/>
        <v>2700</v>
      </c>
      <c r="M448" s="6">
        <f t="shared" si="213"/>
        <v>0</v>
      </c>
      <c r="N448" s="203">
        <f t="shared" si="214"/>
        <v>0</v>
      </c>
      <c r="P448" s="201">
        <f t="shared" si="215"/>
        <v>0</v>
      </c>
    </row>
    <row r="449" spans="3:17" ht="15" customHeight="1" x14ac:dyDescent="0.35">
      <c r="D449" s="184" t="s">
        <v>251</v>
      </c>
      <c r="F449" s="201"/>
      <c r="G449" s="201"/>
      <c r="H449" s="201">
        <v>0</v>
      </c>
      <c r="I449" s="201">
        <f t="shared" si="210"/>
        <v>0</v>
      </c>
      <c r="J449" s="201">
        <v>0</v>
      </c>
      <c r="K449" s="6">
        <f t="shared" si="211"/>
        <v>0</v>
      </c>
      <c r="L449" s="5">
        <f>J449*(1-K449)</f>
        <v>0</v>
      </c>
      <c r="M449" s="6">
        <f t="shared" si="213"/>
        <v>0</v>
      </c>
      <c r="N449" s="203">
        <f>L449*M449</f>
        <v>0</v>
      </c>
      <c r="P449" s="201">
        <f t="shared" si="215"/>
        <v>0</v>
      </c>
    </row>
    <row r="450" spans="3:17" ht="15" customHeight="1" x14ac:dyDescent="0.35">
      <c r="J450" s="201"/>
      <c r="K450" s="201"/>
      <c r="L450" s="201"/>
    </row>
    <row r="451" spans="3:17" ht="15" customHeight="1" x14ac:dyDescent="0.35">
      <c r="C451" s="184" t="s">
        <v>55</v>
      </c>
      <c r="F451" s="201"/>
      <c r="G451" s="201"/>
      <c r="H451" s="201"/>
      <c r="K451" s="201"/>
      <c r="L451" s="201"/>
    </row>
    <row r="452" spans="3:17" ht="15" customHeight="1" x14ac:dyDescent="0.35">
      <c r="D452" s="184" t="s">
        <v>47</v>
      </c>
      <c r="F452" s="201">
        <f t="shared" ref="F452:F462" si="218">(F340+F354)*0.2695/2+(F340+F354)*0.2406/2</f>
        <v>9309.5792256784007</v>
      </c>
      <c r="G452" s="201"/>
      <c r="H452" s="201">
        <f t="shared" ref="H452:H463" si="219">+(H340+H354)*0.2695/2+(H340+H354)*0.2679/2</f>
        <v>11436.652617046819</v>
      </c>
      <c r="I452" s="201">
        <f>J452-H452</f>
        <v>1978.5153650060038</v>
      </c>
      <c r="J452" s="201">
        <f t="shared" ref="J452:J462" si="220">(J340+J354)*0.2679/2+(J340+J354)*0.3/2</f>
        <v>13415.167982052822</v>
      </c>
      <c r="K452" s="6">
        <f t="shared" ref="K452:K463" si="221">K438</f>
        <v>0</v>
      </c>
      <c r="L452" s="5">
        <f t="shared" ref="L452:L462" si="222">J452*(1-K452)</f>
        <v>13415.167982052822</v>
      </c>
      <c r="M452" s="6">
        <f t="shared" ref="M452:M463" si="223">M438</f>
        <v>0</v>
      </c>
      <c r="N452" s="203">
        <f t="shared" ref="N452:N462" si="224">L452*M452</f>
        <v>0</v>
      </c>
      <c r="P452" s="201">
        <f t="shared" ref="P452:P463" si="225">+N452+O452</f>
        <v>0</v>
      </c>
    </row>
    <row r="453" spans="3:17" ht="15" customHeight="1" x14ac:dyDescent="0.35">
      <c r="D453" s="184" t="s">
        <v>248</v>
      </c>
      <c r="F453" s="201">
        <f t="shared" si="218"/>
        <v>9455.7160485000022</v>
      </c>
      <c r="G453" s="201"/>
      <c r="H453" s="201">
        <f t="shared" si="219"/>
        <v>9025.7404800000004</v>
      </c>
      <c r="I453" s="201">
        <f t="shared" ref="I453:I462" si="226">J453-H453</f>
        <v>1561.4329488000003</v>
      </c>
      <c r="J453" s="201">
        <f t="shared" si="220"/>
        <v>10587.173428800001</v>
      </c>
      <c r="K453" s="6">
        <f t="shared" si="221"/>
        <v>0</v>
      </c>
      <c r="L453" s="5">
        <f t="shared" si="222"/>
        <v>10587.173428800001</v>
      </c>
      <c r="M453" s="6">
        <f t="shared" si="223"/>
        <v>0.46</v>
      </c>
      <c r="N453" s="203">
        <f t="shared" si="224"/>
        <v>4870.0997772480005</v>
      </c>
      <c r="P453" s="201">
        <f t="shared" si="225"/>
        <v>4870.0997772480005</v>
      </c>
    </row>
    <row r="454" spans="3:17" ht="15" customHeight="1" x14ac:dyDescent="0.35">
      <c r="D454" s="184" t="s">
        <v>248</v>
      </c>
      <c r="F454" s="201">
        <f t="shared" si="218"/>
        <v>8265.484415500001</v>
      </c>
      <c r="G454" s="201"/>
      <c r="H454" s="201">
        <f t="shared" si="219"/>
        <v>11062.155979000003</v>
      </c>
      <c r="I454" s="201">
        <f t="shared" si="226"/>
        <v>1913.7282828649986</v>
      </c>
      <c r="J454" s="201">
        <f t="shared" si="220"/>
        <v>12975.884261865001</v>
      </c>
      <c r="K454" s="6">
        <f t="shared" si="221"/>
        <v>0</v>
      </c>
      <c r="L454" s="5">
        <f t="shared" si="222"/>
        <v>12975.884261865001</v>
      </c>
      <c r="M454" s="6">
        <f t="shared" si="223"/>
        <v>0.46</v>
      </c>
      <c r="N454" s="203">
        <f t="shared" si="224"/>
        <v>5968.9067604579013</v>
      </c>
      <c r="P454" s="201">
        <f t="shared" si="225"/>
        <v>5968.9067604579013</v>
      </c>
    </row>
    <row r="455" spans="3:17" ht="15" customHeight="1" x14ac:dyDescent="0.35">
      <c r="D455" s="184" t="s">
        <v>249</v>
      </c>
      <c r="F455" s="201">
        <f t="shared" si="218"/>
        <v>14375.355094500001</v>
      </c>
      <c r="G455" s="201"/>
      <c r="H455" s="201">
        <f t="shared" si="219"/>
        <v>16764.625607000002</v>
      </c>
      <c r="I455" s="201">
        <f t="shared" si="226"/>
        <v>2900.2427950450001</v>
      </c>
      <c r="J455" s="201">
        <f t="shared" si="220"/>
        <v>19664.868402045002</v>
      </c>
      <c r="K455" s="6">
        <f t="shared" si="221"/>
        <v>0</v>
      </c>
      <c r="L455" s="5">
        <f t="shared" si="222"/>
        <v>19664.868402045002</v>
      </c>
      <c r="M455" s="6">
        <f t="shared" si="223"/>
        <v>0.46</v>
      </c>
      <c r="N455" s="203">
        <f t="shared" si="224"/>
        <v>9045.8394649407019</v>
      </c>
      <c r="P455" s="201">
        <f t="shared" si="225"/>
        <v>9045.8394649407019</v>
      </c>
    </row>
    <row r="456" spans="3:17" ht="15" customHeight="1" x14ac:dyDescent="0.35">
      <c r="D456" s="184" t="s">
        <v>248</v>
      </c>
      <c r="F456" s="201">
        <f t="shared" si="218"/>
        <v>9464.4999705000009</v>
      </c>
      <c r="G456" s="201"/>
      <c r="H456" s="201">
        <f t="shared" si="219"/>
        <v>11364.74711</v>
      </c>
      <c r="I456" s="201">
        <f t="shared" si="226"/>
        <v>1966.0758728500005</v>
      </c>
      <c r="J456" s="201">
        <f t="shared" si="220"/>
        <v>13330.822982850001</v>
      </c>
      <c r="K456" s="6">
        <f t="shared" si="221"/>
        <v>0</v>
      </c>
      <c r="L456" s="5">
        <f t="shared" si="222"/>
        <v>13330.822982850001</v>
      </c>
      <c r="M456" s="6">
        <f t="shared" si="223"/>
        <v>0.46</v>
      </c>
      <c r="N456" s="203">
        <f t="shared" si="224"/>
        <v>6132.1785721110009</v>
      </c>
      <c r="P456" s="201">
        <f t="shared" si="225"/>
        <v>6132.1785721110009</v>
      </c>
    </row>
    <row r="457" spans="3:17" ht="15" customHeight="1" x14ac:dyDescent="0.35">
      <c r="D457" s="184" t="s">
        <v>249</v>
      </c>
      <c r="F457" s="201">
        <f t="shared" si="218"/>
        <v>13335.748340000002</v>
      </c>
      <c r="G457" s="201"/>
      <c r="H457" s="201">
        <f t="shared" si="219"/>
        <v>15902.783792</v>
      </c>
      <c r="I457" s="201">
        <f t="shared" si="226"/>
        <v>2751.1460855200003</v>
      </c>
      <c r="J457" s="201">
        <f t="shared" si="220"/>
        <v>18653.92987752</v>
      </c>
      <c r="K457" s="6">
        <f t="shared" si="221"/>
        <v>0</v>
      </c>
      <c r="L457" s="5">
        <f t="shared" si="222"/>
        <v>18653.92987752</v>
      </c>
      <c r="M457" s="6">
        <f t="shared" si="223"/>
        <v>0.46</v>
      </c>
      <c r="N457" s="203">
        <f t="shared" si="224"/>
        <v>8580.8077436592012</v>
      </c>
      <c r="P457" s="201">
        <f t="shared" si="225"/>
        <v>8580.8077436592012</v>
      </c>
    </row>
    <row r="458" spans="3:17" ht="15" customHeight="1" x14ac:dyDescent="0.35">
      <c r="D458" s="184" t="s">
        <v>249</v>
      </c>
      <c r="F458" s="201">
        <f t="shared" si="218"/>
        <v>14498.648815</v>
      </c>
      <c r="G458" s="201"/>
      <c r="H458" s="201">
        <f t="shared" si="219"/>
        <v>9421.4846220872314</v>
      </c>
      <c r="I458" s="201">
        <f t="shared" si="226"/>
        <v>1629.89580169488</v>
      </c>
      <c r="J458" s="201">
        <f t="shared" si="220"/>
        <v>11051.380423782111</v>
      </c>
      <c r="K458" s="6">
        <f t="shared" si="221"/>
        <v>0</v>
      </c>
      <c r="L458" s="5">
        <f t="shared" si="222"/>
        <v>11051.380423782111</v>
      </c>
      <c r="M458" s="6">
        <f t="shared" si="223"/>
        <v>0</v>
      </c>
      <c r="N458" s="203">
        <f t="shared" si="224"/>
        <v>0</v>
      </c>
      <c r="P458" s="201">
        <f t="shared" si="225"/>
        <v>0</v>
      </c>
    </row>
    <row r="459" spans="3:17" ht="15" customHeight="1" x14ac:dyDescent="0.35">
      <c r="D459" s="184" t="s">
        <v>249</v>
      </c>
      <c r="F459" s="201">
        <f t="shared" si="218"/>
        <v>15177.602116999999</v>
      </c>
      <c r="G459" s="201"/>
      <c r="H459" s="201">
        <f t="shared" si="219"/>
        <v>9780.68</v>
      </c>
      <c r="I459" s="201">
        <f t="shared" si="226"/>
        <v>1692.0357999999997</v>
      </c>
      <c r="J459" s="201">
        <f t="shared" si="220"/>
        <v>11472.7158</v>
      </c>
      <c r="K459" s="6">
        <f t="shared" si="221"/>
        <v>0</v>
      </c>
      <c r="L459" s="5">
        <f t="shared" si="222"/>
        <v>11472.7158</v>
      </c>
      <c r="M459" s="6">
        <f t="shared" si="223"/>
        <v>0</v>
      </c>
      <c r="N459" s="203">
        <f t="shared" si="224"/>
        <v>0</v>
      </c>
      <c r="P459" s="201">
        <f t="shared" si="225"/>
        <v>0</v>
      </c>
    </row>
    <row r="460" spans="3:17" ht="15" customHeight="1" x14ac:dyDescent="0.35">
      <c r="D460" s="184" t="s">
        <v>48</v>
      </c>
      <c r="F460" s="201">
        <f t="shared" si="218"/>
        <v>19293.553108</v>
      </c>
      <c r="G460" s="201"/>
      <c r="H460" s="201">
        <f t="shared" si="219"/>
        <v>20830.053920000002</v>
      </c>
      <c r="I460" s="201">
        <f t="shared" si="226"/>
        <v>3603.5528152000006</v>
      </c>
      <c r="J460" s="201">
        <f t="shared" si="220"/>
        <v>24433.606735200003</v>
      </c>
      <c r="K460" s="6">
        <f t="shared" si="221"/>
        <v>0.3</v>
      </c>
      <c r="L460" s="5">
        <f t="shared" si="222"/>
        <v>17103.52471464</v>
      </c>
      <c r="M460" s="6">
        <f t="shared" si="223"/>
        <v>0</v>
      </c>
      <c r="N460" s="203">
        <f t="shared" si="224"/>
        <v>0</v>
      </c>
      <c r="P460" s="201">
        <f t="shared" si="225"/>
        <v>0</v>
      </c>
    </row>
    <row r="461" spans="3:17" ht="15" customHeight="1" x14ac:dyDescent="0.35">
      <c r="D461" s="184" t="s">
        <v>250</v>
      </c>
      <c r="F461" s="201">
        <f t="shared" si="218"/>
        <v>19863.702080000003</v>
      </c>
      <c r="G461" s="201"/>
      <c r="H461" s="201">
        <f t="shared" si="219"/>
        <v>17888.511538233262</v>
      </c>
      <c r="I461" s="201">
        <f t="shared" si="226"/>
        <v>3094.6725515407634</v>
      </c>
      <c r="J461" s="201">
        <f t="shared" si="220"/>
        <v>20983.184089774026</v>
      </c>
      <c r="K461" s="6">
        <f t="shared" si="221"/>
        <v>0</v>
      </c>
      <c r="L461" s="5">
        <f t="shared" si="222"/>
        <v>20983.184089774026</v>
      </c>
      <c r="M461" s="6">
        <f t="shared" si="223"/>
        <v>0</v>
      </c>
      <c r="N461" s="203">
        <f t="shared" si="224"/>
        <v>0</v>
      </c>
      <c r="P461" s="201">
        <f t="shared" si="225"/>
        <v>0</v>
      </c>
    </row>
    <row r="462" spans="3:17" ht="15" customHeight="1" x14ac:dyDescent="0.35">
      <c r="D462" s="184" t="s">
        <v>250</v>
      </c>
      <c r="F462" s="201">
        <f t="shared" si="218"/>
        <v>16408.761623500002</v>
      </c>
      <c r="G462" s="201"/>
      <c r="H462" s="201">
        <f t="shared" si="219"/>
        <v>19043.919952708355</v>
      </c>
      <c r="I462" s="201">
        <f t="shared" si="226"/>
        <v>3294.5556272484973</v>
      </c>
      <c r="J462" s="201">
        <f t="shared" si="220"/>
        <v>22338.475579956852</v>
      </c>
      <c r="K462" s="6">
        <f t="shared" si="221"/>
        <v>0</v>
      </c>
      <c r="L462" s="5">
        <f t="shared" si="222"/>
        <v>22338.475579956852</v>
      </c>
      <c r="M462" s="6">
        <f t="shared" si="223"/>
        <v>0</v>
      </c>
      <c r="N462" s="203">
        <f t="shared" si="224"/>
        <v>0</v>
      </c>
      <c r="P462" s="201">
        <f t="shared" si="225"/>
        <v>0</v>
      </c>
    </row>
    <row r="463" spans="3:17" ht="15" customHeight="1" x14ac:dyDescent="0.35">
      <c r="D463" s="184" t="s">
        <v>251</v>
      </c>
      <c r="F463" s="201"/>
      <c r="G463" s="201"/>
      <c r="H463" s="201">
        <f t="shared" si="219"/>
        <v>0</v>
      </c>
      <c r="I463" s="201">
        <f>J463-H463</f>
        <v>0</v>
      </c>
      <c r="J463" s="201">
        <v>0</v>
      </c>
      <c r="K463" s="6">
        <f t="shared" si="221"/>
        <v>0</v>
      </c>
      <c r="L463" s="5">
        <f>J463*(1-K463)</f>
        <v>0</v>
      </c>
      <c r="M463" s="6">
        <f t="shared" si="223"/>
        <v>0</v>
      </c>
      <c r="N463" s="203">
        <f>L463*M463</f>
        <v>0</v>
      </c>
      <c r="P463" s="201">
        <f t="shared" si="225"/>
        <v>0</v>
      </c>
    </row>
    <row r="464" spans="3:17" ht="15" customHeight="1" x14ac:dyDescent="0.35">
      <c r="K464" s="201"/>
      <c r="L464" s="201"/>
      <c r="Q464" s="183"/>
    </row>
    <row r="465" spans="2:31" s="183" customFormat="1" ht="15" customHeight="1" x14ac:dyDescent="0.35">
      <c r="B465" s="183" t="s">
        <v>252</v>
      </c>
      <c r="F465" s="216">
        <f>SUM(F340:F464)</f>
        <v>895029.48348392954</v>
      </c>
      <c r="G465" s="216"/>
      <c r="H465" s="237">
        <f>SUM(H340:H464)</f>
        <v>884225.88386838627</v>
      </c>
      <c r="I465" s="216">
        <f>SUM(I340:I464)</f>
        <v>103938.99595569186</v>
      </c>
      <c r="J465" s="216">
        <f>SUM(J340:J464)</f>
        <v>993156.87982407829</v>
      </c>
      <c r="K465" s="216"/>
      <c r="L465" s="216">
        <f>SUM(L340:L464)</f>
        <v>954210.99426855822</v>
      </c>
      <c r="N465" s="216">
        <f>SUM(N340:N464)</f>
        <v>192779.91245446564</v>
      </c>
      <c r="O465" s="216">
        <f>SUM(O340:O464)</f>
        <v>0</v>
      </c>
      <c r="P465" s="216">
        <f t="shared" ref="P465" si="227">SUM(P340:P464)</f>
        <v>192779.91245446564</v>
      </c>
      <c r="Q465" s="217"/>
      <c r="S465" s="184"/>
      <c r="T465" s="184"/>
      <c r="U465" s="184"/>
      <c r="V465" s="184"/>
      <c r="W465" s="184"/>
      <c r="X465" s="184"/>
      <c r="Y465" s="184"/>
      <c r="Z465" s="184"/>
      <c r="AA465" s="184"/>
      <c r="AB465" s="184"/>
      <c r="AC465" s="184"/>
      <c r="AD465" s="184"/>
      <c r="AE465" s="184"/>
    </row>
    <row r="466" spans="2:31" ht="15" customHeight="1" x14ac:dyDescent="0.35">
      <c r="I466" s="2">
        <f>I465*N466</f>
        <v>20998.867819902644</v>
      </c>
      <c r="J466" s="201"/>
      <c r="K466" s="201"/>
      <c r="L466" s="201"/>
      <c r="N466" s="6">
        <f>N465/L465</f>
        <v>0.20203069720679473</v>
      </c>
    </row>
    <row r="467" spans="2:31" x14ac:dyDescent="0.35">
      <c r="I467" s="7" t="s">
        <v>70</v>
      </c>
      <c r="K467" s="201"/>
      <c r="L467" s="201"/>
      <c r="Q467" s="218"/>
    </row>
    <row r="468" spans="2:31" ht="15" customHeight="1" x14ac:dyDescent="0.35">
      <c r="I468" s="7"/>
      <c r="K468" s="201"/>
      <c r="L468" s="201"/>
    </row>
    <row r="469" spans="2:31" ht="4.9000000000000004" customHeight="1" x14ac:dyDescent="0.35">
      <c r="K469" s="201"/>
      <c r="L469" s="201"/>
    </row>
    <row r="470" spans="2:31" ht="15" customHeight="1" x14ac:dyDescent="0.35">
      <c r="B470" s="183"/>
      <c r="C470" s="183"/>
    </row>
    <row r="471" spans="2:31" ht="15" customHeight="1" x14ac:dyDescent="0.35">
      <c r="B471" s="183"/>
      <c r="C471" s="183"/>
      <c r="S471" s="183"/>
      <c r="T471" s="183"/>
      <c r="U471" s="183"/>
      <c r="V471" s="183"/>
      <c r="W471" s="183"/>
      <c r="X471" s="183"/>
      <c r="Y471" s="183"/>
      <c r="Z471" s="183"/>
      <c r="AA471" s="183"/>
      <c r="AB471" s="183"/>
      <c r="AC471" s="183"/>
      <c r="AD471" s="183"/>
      <c r="AE471" s="183"/>
    </row>
    <row r="472" spans="2:31" ht="15" customHeight="1" x14ac:dyDescent="0.35">
      <c r="C472" s="183"/>
      <c r="J472" s="185"/>
      <c r="K472" s="185"/>
      <c r="L472" s="185"/>
      <c r="N472" s="185"/>
    </row>
    <row r="473" spans="2:31" ht="15" customHeight="1" x14ac:dyDescent="0.35"/>
    <row r="474" spans="2:31" ht="41.65" customHeight="1" x14ac:dyDescent="0.35">
      <c r="F474" s="186">
        <v>2021</v>
      </c>
      <c r="G474" s="187"/>
      <c r="H474" s="186">
        <v>2022</v>
      </c>
      <c r="I474" s="188"/>
      <c r="J474" s="220">
        <v>2023</v>
      </c>
      <c r="K474" s="188"/>
      <c r="L474" s="188"/>
      <c r="M474" s="190" t="s">
        <v>49</v>
      </c>
      <c r="N474" s="191"/>
    </row>
    <row r="475" spans="2:31" ht="38.65" customHeight="1" x14ac:dyDescent="0.35">
      <c r="C475" s="192"/>
      <c r="D475" s="193"/>
      <c r="E475" s="194" t="s">
        <v>42</v>
      </c>
      <c r="F475" s="195" t="s">
        <v>30</v>
      </c>
      <c r="G475" s="196" t="s">
        <v>236</v>
      </c>
      <c r="H475" s="195" t="s">
        <v>0</v>
      </c>
      <c r="I475" s="195" t="s">
        <v>22</v>
      </c>
      <c r="J475" s="198" t="s">
        <v>23</v>
      </c>
      <c r="K475" s="198" t="s">
        <v>56</v>
      </c>
      <c r="L475" s="198" t="s">
        <v>57</v>
      </c>
      <c r="M475" s="196" t="s">
        <v>50</v>
      </c>
      <c r="N475" s="196" t="s">
        <v>51</v>
      </c>
      <c r="O475" s="196" t="s">
        <v>897</v>
      </c>
      <c r="P475" s="196" t="s">
        <v>949</v>
      </c>
    </row>
    <row r="476" spans="2:31" x14ac:dyDescent="0.35">
      <c r="B476" s="183" t="s">
        <v>62</v>
      </c>
      <c r="C476" s="192"/>
      <c r="D476" s="193"/>
      <c r="E476" s="224"/>
      <c r="F476" s="225"/>
      <c r="G476" s="226"/>
      <c r="H476" s="225"/>
      <c r="I476" s="225"/>
      <c r="J476" s="225"/>
      <c r="K476" s="225"/>
      <c r="L476" s="225"/>
      <c r="M476" s="226"/>
      <c r="N476" s="226"/>
      <c r="O476" s="226"/>
      <c r="P476" s="226"/>
    </row>
    <row r="477" spans="2:31" ht="15" customHeight="1" x14ac:dyDescent="0.35">
      <c r="C477" s="184" t="s">
        <v>38</v>
      </c>
      <c r="K477" s="201"/>
      <c r="L477" s="201"/>
    </row>
    <row r="478" spans="2:31" ht="15" customHeight="1" x14ac:dyDescent="0.35">
      <c r="D478" s="184" t="s">
        <v>69</v>
      </c>
      <c r="E478" s="199"/>
      <c r="F478" s="201">
        <v>22333.919999999998</v>
      </c>
      <c r="G478" s="201"/>
      <c r="H478" s="201">
        <v>22334</v>
      </c>
      <c r="I478" s="201">
        <v>0</v>
      </c>
      <c r="J478" s="201">
        <f>H478</f>
        <v>22334</v>
      </c>
      <c r="K478" s="6">
        <v>0</v>
      </c>
      <c r="L478" s="5">
        <f>J478*(1-K478)</f>
        <v>22334</v>
      </c>
      <c r="M478" s="6">
        <v>0.24</v>
      </c>
      <c r="N478" s="203">
        <f>L478*M478</f>
        <v>5360.16</v>
      </c>
      <c r="P478" s="201">
        <f t="shared" ref="P478" si="228">+N478+O478</f>
        <v>5360.16</v>
      </c>
    </row>
    <row r="479" spans="2:31" ht="15" customHeight="1" x14ac:dyDescent="0.35">
      <c r="K479" s="201"/>
      <c r="L479" s="201"/>
    </row>
    <row r="480" spans="2:31" ht="15" customHeight="1" x14ac:dyDescent="0.35">
      <c r="C480" s="184" t="s">
        <v>67</v>
      </c>
      <c r="K480" s="201"/>
      <c r="L480" s="201"/>
    </row>
    <row r="481" spans="2:31" ht="15" customHeight="1" x14ac:dyDescent="0.35">
      <c r="D481" s="184" t="s">
        <v>69</v>
      </c>
      <c r="E481" s="199"/>
      <c r="F481" s="201">
        <f>552.37*12</f>
        <v>6628.4400000000005</v>
      </c>
      <c r="G481" s="201"/>
      <c r="H481" s="201">
        <f>591.04*12</f>
        <v>7092.48</v>
      </c>
      <c r="I481" s="201">
        <f>J481-H481</f>
        <v>141.84000000000015</v>
      </c>
      <c r="J481" s="201">
        <f>602.86*12</f>
        <v>7234.32</v>
      </c>
      <c r="K481" s="6">
        <f>K478</f>
        <v>0</v>
      </c>
      <c r="L481" s="5">
        <f>J481*(1-K481)</f>
        <v>7234.32</v>
      </c>
      <c r="M481" s="6">
        <f>M478</f>
        <v>0.24</v>
      </c>
      <c r="N481" s="203">
        <f>L481*M481</f>
        <v>1736.2367999999999</v>
      </c>
      <c r="O481" s="205">
        <f>-N481*$T$28</f>
        <v>-1736.2367999999999</v>
      </c>
      <c r="P481" s="201">
        <f t="shared" ref="P481" si="229">+N481+O481</f>
        <v>0</v>
      </c>
    </row>
    <row r="482" spans="2:31" ht="15" customHeight="1" x14ac:dyDescent="0.35">
      <c r="E482" s="199"/>
      <c r="F482" s="201"/>
      <c r="G482" s="201"/>
      <c r="H482" s="201"/>
      <c r="I482" s="201"/>
      <c r="J482" s="201"/>
      <c r="K482" s="6"/>
      <c r="L482" s="5"/>
      <c r="M482" s="6"/>
      <c r="N482" s="203"/>
    </row>
    <row r="483" spans="2:31" ht="15" customHeight="1" x14ac:dyDescent="0.35">
      <c r="C483" s="184" t="s">
        <v>68</v>
      </c>
      <c r="K483" s="201"/>
      <c r="L483" s="201"/>
    </row>
    <row r="484" spans="2:31" ht="15" customHeight="1" x14ac:dyDescent="0.35">
      <c r="D484" s="184" t="s">
        <v>69</v>
      </c>
      <c r="E484" s="199"/>
      <c r="F484" s="201">
        <f>29.93</f>
        <v>29.93</v>
      </c>
      <c r="G484" s="201"/>
      <c r="H484" s="201">
        <v>32.08</v>
      </c>
      <c r="I484" s="4">
        <f>H484*(1-1.01)</f>
        <v>-0.32080000000000025</v>
      </c>
      <c r="J484" s="201">
        <f>H484+I484</f>
        <v>31.759199999999996</v>
      </c>
      <c r="K484" s="6">
        <f>K481</f>
        <v>0</v>
      </c>
      <c r="L484" s="5">
        <f>J484*(1-K484)</f>
        <v>31.759199999999996</v>
      </c>
      <c r="M484" s="6">
        <f>M481</f>
        <v>0.24</v>
      </c>
      <c r="N484" s="203">
        <f>L484*M484</f>
        <v>7.6222079999999988</v>
      </c>
      <c r="P484" s="201">
        <f t="shared" ref="P484" si="230">+N484+O484</f>
        <v>7.6222079999999988</v>
      </c>
    </row>
    <row r="485" spans="2:31" ht="15" customHeight="1" x14ac:dyDescent="0.35">
      <c r="E485" s="199"/>
      <c r="F485" s="201"/>
      <c r="G485" s="201"/>
      <c r="H485" s="201"/>
      <c r="I485" s="201"/>
      <c r="J485" s="201"/>
      <c r="K485" s="6"/>
      <c r="L485" s="5"/>
      <c r="M485" s="6"/>
      <c r="N485" s="203"/>
    </row>
    <row r="486" spans="2:31" ht="15" customHeight="1" x14ac:dyDescent="0.35">
      <c r="C486" s="184" t="s">
        <v>162</v>
      </c>
      <c r="K486" s="201"/>
      <c r="L486" s="201"/>
    </row>
    <row r="487" spans="2:31" ht="15" customHeight="1" x14ac:dyDescent="0.35">
      <c r="D487" s="184" t="s">
        <v>69</v>
      </c>
      <c r="E487" s="199"/>
      <c r="F487" s="201">
        <f>F478*0.0765</f>
        <v>1708.5448799999999</v>
      </c>
      <c r="G487" s="201"/>
      <c r="H487" s="201">
        <f>+(H478)*0.0765</f>
        <v>1708.5509999999999</v>
      </c>
      <c r="I487" s="201">
        <f>J487-H487</f>
        <v>0</v>
      </c>
      <c r="J487" s="201">
        <f>J478*0.0765</f>
        <v>1708.5509999999999</v>
      </c>
      <c r="K487" s="6">
        <f>K484</f>
        <v>0</v>
      </c>
      <c r="L487" s="5">
        <f>J487*(1-K487)</f>
        <v>1708.5509999999999</v>
      </c>
      <c r="M487" s="6">
        <f>M484</f>
        <v>0.24</v>
      </c>
      <c r="N487" s="203">
        <f>L487*M487</f>
        <v>410.05223999999998</v>
      </c>
      <c r="P487" s="201">
        <f t="shared" ref="P487" si="231">+N487+O487</f>
        <v>410.05223999999998</v>
      </c>
    </row>
    <row r="488" spans="2:31" x14ac:dyDescent="0.35">
      <c r="K488" s="201"/>
      <c r="L488" s="201"/>
    </row>
    <row r="489" spans="2:31" ht="15" customHeight="1" x14ac:dyDescent="0.35">
      <c r="C489" s="184" t="s">
        <v>55</v>
      </c>
      <c r="K489" s="201"/>
      <c r="L489" s="201"/>
    </row>
    <row r="490" spans="2:31" ht="15" customHeight="1" x14ac:dyDescent="0.35">
      <c r="D490" s="184" t="s">
        <v>69</v>
      </c>
      <c r="E490" s="199"/>
      <c r="F490" s="201">
        <f>F478*0.2695/2+F478*0.2406/2</f>
        <v>5696.2662959999998</v>
      </c>
      <c r="G490" s="201"/>
      <c r="H490" s="201">
        <f>H478*0.2695/2+H478*0.2679/2</f>
        <v>6001.1458000000002</v>
      </c>
      <c r="I490" s="201">
        <f>J490-H490</f>
        <v>340.59349999999995</v>
      </c>
      <c r="J490" s="201">
        <f>J478*0.2679/2+J478*0.3/2</f>
        <v>6341.7393000000002</v>
      </c>
      <c r="K490" s="6">
        <f>K487</f>
        <v>0</v>
      </c>
      <c r="L490" s="5">
        <f>J490*(1-K490)</f>
        <v>6341.7393000000002</v>
      </c>
      <c r="M490" s="6">
        <f>M487</f>
        <v>0.24</v>
      </c>
      <c r="N490" s="203">
        <f>L490*M490</f>
        <v>1522.0174320000001</v>
      </c>
      <c r="P490" s="201">
        <f t="shared" ref="P490" si="232">+N490+O490</f>
        <v>1522.0174320000001</v>
      </c>
    </row>
    <row r="491" spans="2:31" ht="15" customHeight="1" x14ac:dyDescent="0.35">
      <c r="E491" s="199"/>
      <c r="F491" s="201"/>
      <c r="G491" s="201"/>
      <c r="H491" s="201"/>
      <c r="I491" s="201"/>
      <c r="J491" s="201"/>
      <c r="K491" s="6"/>
      <c r="L491" s="5"/>
      <c r="M491" s="6"/>
      <c r="N491" s="203"/>
      <c r="Q491" s="183"/>
    </row>
    <row r="492" spans="2:31" s="183" customFormat="1" x14ac:dyDescent="0.35">
      <c r="B492" s="183" t="s">
        <v>63</v>
      </c>
      <c r="F492" s="216">
        <f>SUM(F478:F490)</f>
        <v>36397.101176000004</v>
      </c>
      <c r="G492" s="216"/>
      <c r="H492" s="237">
        <f>SUM(H478:H488)</f>
        <v>31167.111000000001</v>
      </c>
      <c r="I492" s="216">
        <f>SUM(I478:I488)</f>
        <v>141.51920000000015</v>
      </c>
      <c r="J492" s="216">
        <f>SUM(J478:J490)</f>
        <v>37650.369500000001</v>
      </c>
      <c r="K492" s="216"/>
      <c r="L492" s="216">
        <f>SUM(L478:L488)</f>
        <v>31308.6302</v>
      </c>
      <c r="N492" s="216">
        <f>SUM(N478:N490)</f>
        <v>9036.0886799999989</v>
      </c>
      <c r="O492" s="216">
        <f>SUM(O478:O490)</f>
        <v>-1736.2367999999999</v>
      </c>
      <c r="P492" s="216">
        <f t="shared" ref="P492" si="233">SUM(P478:P490)</f>
        <v>7299.8518800000002</v>
      </c>
      <c r="Q492" s="217"/>
      <c r="S492" s="184"/>
      <c r="T492" s="184"/>
      <c r="U492" s="184"/>
      <c r="V492" s="184"/>
      <c r="W492" s="184"/>
      <c r="X492" s="184"/>
      <c r="Y492" s="184"/>
      <c r="Z492" s="184"/>
      <c r="AA492" s="184"/>
      <c r="AB492" s="184"/>
      <c r="AC492" s="184"/>
      <c r="AD492" s="184"/>
      <c r="AE492" s="184"/>
    </row>
    <row r="493" spans="2:31" x14ac:dyDescent="0.35">
      <c r="I493" s="11">
        <f>I492*N493</f>
        <v>40.844330555306676</v>
      </c>
      <c r="J493" s="201"/>
      <c r="K493" s="201"/>
      <c r="L493" s="201"/>
      <c r="N493" s="6">
        <f>N492/L492</f>
        <v>0.2886133510880971</v>
      </c>
    </row>
    <row r="494" spans="2:31" x14ac:dyDescent="0.35">
      <c r="I494" s="7" t="s">
        <v>70</v>
      </c>
      <c r="K494" s="201"/>
      <c r="L494" s="201"/>
    </row>
    <row r="495" spans="2:31" x14ac:dyDescent="0.35">
      <c r="I495" s="7"/>
      <c r="K495" s="201"/>
      <c r="L495" s="201"/>
    </row>
    <row r="496" spans="2:31" ht="6" customHeight="1" x14ac:dyDescent="0.35">
      <c r="K496" s="201"/>
      <c r="L496" s="201"/>
    </row>
    <row r="497" spans="2:16" ht="15" customHeight="1" x14ac:dyDescent="0.35">
      <c r="B497" s="183"/>
      <c r="C497" s="183"/>
    </row>
    <row r="498" spans="2:16" ht="15" customHeight="1" x14ac:dyDescent="0.35">
      <c r="B498" s="183"/>
      <c r="C498" s="183"/>
    </row>
    <row r="499" spans="2:16" ht="15" customHeight="1" x14ac:dyDescent="0.35">
      <c r="C499" s="183"/>
      <c r="J499" s="185"/>
      <c r="K499" s="185"/>
      <c r="L499" s="185"/>
      <c r="N499" s="185"/>
    </row>
    <row r="500" spans="2:16" ht="15" customHeight="1" x14ac:dyDescent="0.35"/>
    <row r="501" spans="2:16" ht="41.65" customHeight="1" x14ac:dyDescent="0.35">
      <c r="F501" s="186">
        <v>2021</v>
      </c>
      <c r="G501" s="187"/>
      <c r="H501" s="186">
        <v>2022</v>
      </c>
      <c r="I501" s="188"/>
      <c r="J501" s="220">
        <v>2023</v>
      </c>
      <c r="K501" s="188"/>
      <c r="L501" s="188"/>
      <c r="M501" s="190" t="s">
        <v>49</v>
      </c>
      <c r="N501" s="191"/>
    </row>
    <row r="502" spans="2:16" ht="38.65" customHeight="1" x14ac:dyDescent="0.35">
      <c r="C502" s="192"/>
      <c r="D502" s="193"/>
      <c r="E502" s="194" t="s">
        <v>42</v>
      </c>
      <c r="F502" s="195" t="s">
        <v>30</v>
      </c>
      <c r="G502" s="196" t="s">
        <v>236</v>
      </c>
      <c r="H502" s="195" t="s">
        <v>0</v>
      </c>
      <c r="I502" s="195" t="s">
        <v>22</v>
      </c>
      <c r="J502" s="198" t="s">
        <v>23</v>
      </c>
      <c r="K502" s="198" t="s">
        <v>56</v>
      </c>
      <c r="L502" s="198" t="s">
        <v>57</v>
      </c>
      <c r="M502" s="196" t="s">
        <v>50</v>
      </c>
      <c r="N502" s="196" t="s">
        <v>51</v>
      </c>
      <c r="O502" s="196" t="s">
        <v>897</v>
      </c>
      <c r="P502" s="196" t="s">
        <v>949</v>
      </c>
    </row>
    <row r="503" spans="2:16" x14ac:dyDescent="0.35">
      <c r="B503" s="183" t="s">
        <v>165</v>
      </c>
      <c r="C503" s="192"/>
      <c r="D503" s="193"/>
      <c r="E503" s="224"/>
      <c r="F503" s="225"/>
      <c r="G503" s="226"/>
      <c r="H503" s="225"/>
      <c r="I503" s="225"/>
      <c r="J503" s="225"/>
      <c r="K503" s="225"/>
      <c r="L503" s="225"/>
      <c r="M503" s="226"/>
      <c r="N503" s="226"/>
      <c r="O503" s="226"/>
      <c r="P503" s="226"/>
    </row>
    <row r="504" spans="2:16" x14ac:dyDescent="0.35">
      <c r="C504" s="184" t="s">
        <v>38</v>
      </c>
      <c r="K504" s="201"/>
      <c r="L504" s="201"/>
    </row>
    <row r="505" spans="2:16" x14ac:dyDescent="0.35">
      <c r="D505" s="184" t="s">
        <v>64</v>
      </c>
      <c r="E505" s="199">
        <v>40</v>
      </c>
      <c r="F505" s="201">
        <f>73903.77-1467.84</f>
        <v>72435.930000000008</v>
      </c>
      <c r="G505" s="221">
        <v>37.44</v>
      </c>
      <c r="H505" s="201">
        <v>78900.02</v>
      </c>
      <c r="I505" s="4">
        <f>H505*0.11</f>
        <v>8679.0022000000008</v>
      </c>
      <c r="J505" s="201">
        <f>H505+I505</f>
        <v>87579.022200000007</v>
      </c>
      <c r="K505" s="6">
        <v>0.3</v>
      </c>
      <c r="L505" s="5">
        <f>J505*(1-K505)</f>
        <v>61305.315540000003</v>
      </c>
      <c r="M505" s="6">
        <v>0.02</v>
      </c>
      <c r="N505" s="203">
        <f>L505*M505</f>
        <v>1226.1063108000001</v>
      </c>
      <c r="P505" s="201">
        <f t="shared" ref="P505:P507" si="234">+N505+O505</f>
        <v>1226.1063108000001</v>
      </c>
    </row>
    <row r="506" spans="2:16" x14ac:dyDescent="0.35">
      <c r="D506" s="184" t="s">
        <v>64</v>
      </c>
      <c r="E506" s="199">
        <v>40</v>
      </c>
      <c r="F506" s="201">
        <f>71523.92-48.2</f>
        <v>71475.72</v>
      </c>
      <c r="G506" s="221">
        <v>37.270000000000003</v>
      </c>
      <c r="H506" s="201">
        <v>77383.66</v>
      </c>
      <c r="I506" s="4">
        <f>H506*0.11</f>
        <v>8512.2026000000005</v>
      </c>
      <c r="J506" s="201">
        <f>H506+I506</f>
        <v>85895.862600000008</v>
      </c>
      <c r="K506" s="6">
        <v>0.4</v>
      </c>
      <c r="L506" s="5">
        <f>J506*(1-K506)</f>
        <v>51537.51756</v>
      </c>
      <c r="M506" s="6">
        <v>0.25</v>
      </c>
      <c r="N506" s="203">
        <f>L506*M506</f>
        <v>12884.37939</v>
      </c>
      <c r="P506" s="201">
        <f t="shared" si="234"/>
        <v>12884.37939</v>
      </c>
    </row>
    <row r="507" spans="2:16" x14ac:dyDescent="0.35">
      <c r="D507" s="184" t="s">
        <v>64</v>
      </c>
      <c r="E507" s="199">
        <v>40</v>
      </c>
      <c r="F507" s="201"/>
      <c r="G507" s="221">
        <v>34.22</v>
      </c>
      <c r="H507" s="201">
        <v>71141.7</v>
      </c>
      <c r="I507" s="4">
        <f>H507*0.11</f>
        <v>7825.5869999999995</v>
      </c>
      <c r="J507" s="201">
        <f>H507+I507</f>
        <v>78967.286999999997</v>
      </c>
      <c r="K507" s="6">
        <v>0.1</v>
      </c>
      <c r="L507" s="5">
        <f>J507*(1-K507)</f>
        <v>71070.558300000004</v>
      </c>
      <c r="M507" s="6">
        <v>0.45</v>
      </c>
      <c r="N507" s="203">
        <f>L507*M507</f>
        <v>31981.751235000003</v>
      </c>
      <c r="P507" s="201">
        <f t="shared" si="234"/>
        <v>31981.751235000003</v>
      </c>
    </row>
    <row r="508" spans="2:16" x14ac:dyDescent="0.35">
      <c r="E508" s="199"/>
      <c r="F508" s="201"/>
      <c r="G508" s="201"/>
      <c r="H508" s="201"/>
      <c r="I508" s="4"/>
      <c r="J508" s="201"/>
      <c r="K508" s="6"/>
      <c r="L508" s="5"/>
      <c r="M508" s="6"/>
      <c r="N508" s="203"/>
    </row>
    <row r="509" spans="2:16" x14ac:dyDescent="0.35">
      <c r="C509" s="184" t="s">
        <v>66</v>
      </c>
      <c r="E509" s="199"/>
      <c r="F509" s="201"/>
      <c r="G509" s="201"/>
      <c r="H509" s="201"/>
      <c r="I509" s="4"/>
      <c r="J509" s="201"/>
      <c r="K509" s="201"/>
      <c r="L509" s="201"/>
    </row>
    <row r="510" spans="2:16" x14ac:dyDescent="0.35">
      <c r="D510" s="184" t="s">
        <v>64</v>
      </c>
      <c r="E510" s="199"/>
      <c r="F510" s="201">
        <v>1467.84</v>
      </c>
      <c r="G510" s="201"/>
      <c r="H510" s="201">
        <v>4449.16</v>
      </c>
      <c r="I510" s="4">
        <f>H510*0.11</f>
        <v>489.4076</v>
      </c>
      <c r="J510" s="201">
        <f>H510+I510</f>
        <v>4938.5676000000003</v>
      </c>
      <c r="K510" s="6">
        <f>K505</f>
        <v>0.3</v>
      </c>
      <c r="L510" s="5">
        <f>J510*(1-K510)</f>
        <v>3456.9973199999999</v>
      </c>
      <c r="M510" s="6">
        <f>M505</f>
        <v>0.02</v>
      </c>
      <c r="N510" s="203">
        <f>L510*M510</f>
        <v>69.139946399999999</v>
      </c>
      <c r="P510" s="201">
        <f t="shared" ref="P510:P512" si="235">+N510+O510</f>
        <v>69.139946399999999</v>
      </c>
    </row>
    <row r="511" spans="2:16" x14ac:dyDescent="0.35">
      <c r="D511" s="184" t="s">
        <v>64</v>
      </c>
      <c r="E511" s="199"/>
      <c r="F511" s="201">
        <v>48.2</v>
      </c>
      <c r="G511" s="201"/>
      <c r="H511" s="201">
        <f>18.44/61964.07*H506</f>
        <v>23.028743760698742</v>
      </c>
      <c r="I511" s="4">
        <f>H511*0.11</f>
        <v>2.5331618136768617</v>
      </c>
      <c r="J511" s="201">
        <f>H511+I511</f>
        <v>25.561905574375604</v>
      </c>
      <c r="K511" s="6">
        <f>K506</f>
        <v>0.4</v>
      </c>
      <c r="L511" s="5">
        <f>J511*(1-K511)</f>
        <v>15.337143344625362</v>
      </c>
      <c r="M511" s="6">
        <f>M506</f>
        <v>0.25</v>
      </c>
      <c r="N511" s="203">
        <f>L511*M511</f>
        <v>3.8342858361563406</v>
      </c>
      <c r="P511" s="201">
        <f t="shared" si="235"/>
        <v>3.8342858361563406</v>
      </c>
    </row>
    <row r="512" spans="2:16" x14ac:dyDescent="0.35">
      <c r="D512" s="184" t="s">
        <v>64</v>
      </c>
      <c r="E512" s="199"/>
      <c r="F512" s="201"/>
      <c r="G512" s="201"/>
      <c r="H512" s="201">
        <v>1199.46</v>
      </c>
      <c r="I512" s="4">
        <f>H512*0.11</f>
        <v>131.94060000000002</v>
      </c>
      <c r="J512" s="201">
        <f>H512+I512</f>
        <v>1331.4005999999999</v>
      </c>
      <c r="K512" s="6">
        <f>K507</f>
        <v>0.1</v>
      </c>
      <c r="L512" s="5">
        <f>J512*(1-K512)</f>
        <v>1198.26054</v>
      </c>
      <c r="M512" s="6">
        <f>M507</f>
        <v>0.45</v>
      </c>
      <c r="N512" s="203">
        <f>L512*M512</f>
        <v>539.21724300000005</v>
      </c>
      <c r="P512" s="201">
        <f t="shared" si="235"/>
        <v>539.21724300000005</v>
      </c>
    </row>
    <row r="513" spans="3:16" x14ac:dyDescent="0.35">
      <c r="E513" s="199"/>
      <c r="F513" s="201"/>
      <c r="G513" s="201"/>
      <c r="H513" s="201"/>
      <c r="I513" s="4"/>
      <c r="J513" s="201"/>
      <c r="K513" s="201"/>
      <c r="L513" s="201"/>
    </row>
    <row r="514" spans="3:16" x14ac:dyDescent="0.35">
      <c r="C514" s="184" t="s">
        <v>67</v>
      </c>
      <c r="E514" s="199"/>
      <c r="F514" s="201"/>
      <c r="G514" s="201"/>
      <c r="H514" s="201"/>
      <c r="I514" s="4"/>
      <c r="J514" s="201"/>
      <c r="K514" s="201"/>
      <c r="L514" s="201"/>
    </row>
    <row r="515" spans="3:16" x14ac:dyDescent="0.35">
      <c r="D515" s="184" t="s">
        <v>64</v>
      </c>
      <c r="E515" s="199"/>
      <c r="F515" s="201">
        <f>552.37*12</f>
        <v>6628.4400000000005</v>
      </c>
      <c r="G515" s="201"/>
      <c r="H515" s="201">
        <f>591.04*12</f>
        <v>7092.48</v>
      </c>
      <c r="I515" s="4">
        <f>J515-H515</f>
        <v>141.84000000000015</v>
      </c>
      <c r="J515" s="201">
        <f>602.86*12</f>
        <v>7234.32</v>
      </c>
      <c r="K515" s="6">
        <f>K510</f>
        <v>0.3</v>
      </c>
      <c r="L515" s="5">
        <f>J515*(1-K515)</f>
        <v>5064.0239999999994</v>
      </c>
      <c r="M515" s="6">
        <f>M510</f>
        <v>0.02</v>
      </c>
      <c r="N515" s="203">
        <f>L515*M515</f>
        <v>101.28048</v>
      </c>
      <c r="O515" s="205">
        <f>-N515*$T$26</f>
        <v>0</v>
      </c>
      <c r="P515" s="201">
        <f t="shared" ref="P515:P517" si="236">+N515+O515</f>
        <v>101.28048</v>
      </c>
    </row>
    <row r="516" spans="3:16" x14ac:dyDescent="0.35">
      <c r="D516" s="184" t="s">
        <v>64</v>
      </c>
      <c r="E516" s="199"/>
      <c r="F516" s="201">
        <f>552.37*12</f>
        <v>6628.4400000000005</v>
      </c>
      <c r="G516" s="201"/>
      <c r="H516" s="201">
        <f>591.04*12</f>
        <v>7092.48</v>
      </c>
      <c r="I516" s="4">
        <f>J516-H516</f>
        <v>141.84000000000015</v>
      </c>
      <c r="J516" s="201">
        <f>602.86*12</f>
        <v>7234.32</v>
      </c>
      <c r="K516" s="6">
        <f>K511</f>
        <v>0.4</v>
      </c>
      <c r="L516" s="5">
        <f>J516*(1-K516)</f>
        <v>4340.5919999999996</v>
      </c>
      <c r="M516" s="6">
        <f>M511</f>
        <v>0.25</v>
      </c>
      <c r="N516" s="203">
        <f>L516*M516</f>
        <v>1085.1479999999999</v>
      </c>
      <c r="O516" s="205">
        <f>-N516*$T$26</f>
        <v>0</v>
      </c>
      <c r="P516" s="201">
        <f t="shared" si="236"/>
        <v>1085.1479999999999</v>
      </c>
    </row>
    <row r="517" spans="3:16" x14ac:dyDescent="0.35">
      <c r="D517" s="184" t="s">
        <v>64</v>
      </c>
      <c r="E517" s="199"/>
      <c r="F517" s="201"/>
      <c r="G517" s="201"/>
      <c r="H517" s="201">
        <f>591.04*12</f>
        <v>7092.48</v>
      </c>
      <c r="I517" s="4">
        <f>J517-H517</f>
        <v>141.84000000000015</v>
      </c>
      <c r="J517" s="201">
        <f>602.86*12</f>
        <v>7234.32</v>
      </c>
      <c r="K517" s="6">
        <f>K512</f>
        <v>0.1</v>
      </c>
      <c r="L517" s="5">
        <f>J517*(1-K517)</f>
        <v>6510.8879999999999</v>
      </c>
      <c r="M517" s="6">
        <f>M512</f>
        <v>0.45</v>
      </c>
      <c r="N517" s="203">
        <f>L517*M517</f>
        <v>2929.8996000000002</v>
      </c>
      <c r="O517" s="205">
        <f>-N517*$T$26</f>
        <v>0</v>
      </c>
      <c r="P517" s="201">
        <f t="shared" si="236"/>
        <v>2929.8996000000002</v>
      </c>
    </row>
    <row r="518" spans="3:16" x14ac:dyDescent="0.35">
      <c r="E518" s="199"/>
      <c r="F518" s="201"/>
      <c r="G518" s="201"/>
      <c r="H518" s="201"/>
      <c r="I518" s="4"/>
      <c r="J518" s="201"/>
      <c r="K518" s="201"/>
      <c r="L518" s="201"/>
    </row>
    <row r="519" spans="3:16" x14ac:dyDescent="0.35">
      <c r="C519" s="184" t="s">
        <v>68</v>
      </c>
      <c r="E519" s="199"/>
      <c r="F519" s="201"/>
      <c r="G519" s="201"/>
      <c r="H519" s="201"/>
      <c r="I519" s="4"/>
      <c r="J519" s="201"/>
      <c r="K519" s="201"/>
      <c r="L519" s="201"/>
    </row>
    <row r="520" spans="3:16" x14ac:dyDescent="0.35">
      <c r="D520" s="184" t="s">
        <v>64</v>
      </c>
      <c r="E520" s="199"/>
      <c r="F520" s="201">
        <v>1502.03</v>
      </c>
      <c r="G520" s="201"/>
      <c r="H520" s="201">
        <v>1453.35</v>
      </c>
      <c r="I520" s="4">
        <f>H520*(1-1.01)</f>
        <v>-14.533500000000013</v>
      </c>
      <c r="J520" s="201">
        <f>H520+I520</f>
        <v>1438.8164999999999</v>
      </c>
      <c r="K520" s="6">
        <f>K515</f>
        <v>0.3</v>
      </c>
      <c r="L520" s="5">
        <f>J520*(1-K520)</f>
        <v>1007.1715499999999</v>
      </c>
      <c r="M520" s="6">
        <f>M515</f>
        <v>0.02</v>
      </c>
      <c r="N520" s="203">
        <f>L520*M520</f>
        <v>20.143431</v>
      </c>
      <c r="P520" s="201">
        <f t="shared" ref="P520:P522" si="237">+N520+O520</f>
        <v>20.143431</v>
      </c>
    </row>
    <row r="521" spans="3:16" x14ac:dyDescent="0.35">
      <c r="D521" s="184" t="s">
        <v>64</v>
      </c>
      <c r="E521" s="199"/>
      <c r="F521" s="201">
        <v>1495.28</v>
      </c>
      <c r="G521" s="201"/>
      <c r="H521" s="201">
        <v>1446.58</v>
      </c>
      <c r="I521" s="4">
        <f>H521*(1-1.01)</f>
        <v>-14.465800000000012</v>
      </c>
      <c r="J521" s="201">
        <f>H521+I521</f>
        <v>1432.1142</v>
      </c>
      <c r="K521" s="6">
        <f>K516</f>
        <v>0.4</v>
      </c>
      <c r="L521" s="5">
        <f>J521*(1-K521)</f>
        <v>859.26851999999997</v>
      </c>
      <c r="M521" s="6">
        <f>M516</f>
        <v>0.25</v>
      </c>
      <c r="N521" s="203">
        <f>L521*M521</f>
        <v>214.81712999999999</v>
      </c>
      <c r="P521" s="201">
        <f t="shared" si="237"/>
        <v>214.81712999999999</v>
      </c>
    </row>
    <row r="522" spans="3:16" x14ac:dyDescent="0.35">
      <c r="D522" s="184" t="s">
        <v>64</v>
      </c>
      <c r="E522" s="199"/>
      <c r="F522" s="201"/>
      <c r="G522" s="201"/>
      <c r="H522" s="201">
        <v>1328.12</v>
      </c>
      <c r="I522" s="4">
        <f>H522*(1-1.01)</f>
        <v>-13.281200000000011</v>
      </c>
      <c r="J522" s="201">
        <f>H522+I522</f>
        <v>1314.8388</v>
      </c>
      <c r="K522" s="6">
        <f>K517</f>
        <v>0.1</v>
      </c>
      <c r="L522" s="5">
        <f>J522*(1-K522)</f>
        <v>1183.35492</v>
      </c>
      <c r="M522" s="6">
        <f>M517</f>
        <v>0.45</v>
      </c>
      <c r="N522" s="203">
        <f>L522*M522</f>
        <v>532.50971400000003</v>
      </c>
      <c r="P522" s="201">
        <f t="shared" si="237"/>
        <v>532.50971400000003</v>
      </c>
    </row>
    <row r="523" spans="3:16" x14ac:dyDescent="0.35">
      <c r="E523" s="199"/>
      <c r="F523" s="201"/>
      <c r="G523" s="201"/>
      <c r="H523" s="201"/>
      <c r="I523" s="4"/>
      <c r="J523" s="201"/>
      <c r="K523" s="201"/>
      <c r="L523" s="201"/>
    </row>
    <row r="524" spans="3:16" x14ac:dyDescent="0.35">
      <c r="C524" s="184" t="s">
        <v>53</v>
      </c>
      <c r="E524" s="199"/>
      <c r="F524" s="201"/>
      <c r="G524" s="201"/>
      <c r="H524" s="201"/>
      <c r="I524" s="4"/>
      <c r="J524" s="201"/>
      <c r="K524" s="201"/>
      <c r="L524" s="201"/>
    </row>
    <row r="525" spans="3:16" x14ac:dyDescent="0.35">
      <c r="D525" s="184" t="s">
        <v>64</v>
      </c>
      <c r="E525" s="199"/>
      <c r="F525" s="201">
        <f>27.28*12</f>
        <v>327.36</v>
      </c>
      <c r="G525" s="201"/>
      <c r="H525" s="201">
        <f>27.28*12</f>
        <v>327.36</v>
      </c>
      <c r="I525" s="4">
        <f>J525-F525</f>
        <v>13.439999999999941</v>
      </c>
      <c r="J525" s="201">
        <f>(22.11+6.29)*12</f>
        <v>340.79999999999995</v>
      </c>
      <c r="K525" s="6">
        <f>K520</f>
        <v>0.3</v>
      </c>
      <c r="L525" s="5">
        <f>J525*(1-K525)</f>
        <v>238.55999999999995</v>
      </c>
      <c r="M525" s="6">
        <f>M520</f>
        <v>0.02</v>
      </c>
      <c r="N525" s="203">
        <f>L525*M525</f>
        <v>4.7711999999999994</v>
      </c>
      <c r="O525" s="205">
        <f>-N525*$T$27</f>
        <v>0</v>
      </c>
      <c r="P525" s="201">
        <f t="shared" ref="P525:P528" si="238">+N525+O525</f>
        <v>4.7711999999999994</v>
      </c>
    </row>
    <row r="526" spans="3:16" x14ac:dyDescent="0.35">
      <c r="D526" s="184" t="s">
        <v>64</v>
      </c>
      <c r="E526" s="199"/>
      <c r="F526" s="201">
        <f>27.28*12</f>
        <v>327.36</v>
      </c>
      <c r="G526" s="201"/>
      <c r="H526" s="201">
        <f>27.28*12</f>
        <v>327.36</v>
      </c>
      <c r="I526" s="4">
        <f>J526-F526</f>
        <v>13.439999999999941</v>
      </c>
      <c r="J526" s="201">
        <f>(22.11+6.29)*12</f>
        <v>340.79999999999995</v>
      </c>
      <c r="K526" s="6">
        <f>K521</f>
        <v>0.4</v>
      </c>
      <c r="L526" s="5">
        <f>J526*(1-K526)</f>
        <v>204.47999999999996</v>
      </c>
      <c r="M526" s="6">
        <f>M521</f>
        <v>0.25</v>
      </c>
      <c r="N526" s="203">
        <f>L526*M526</f>
        <v>51.11999999999999</v>
      </c>
      <c r="O526" s="205">
        <f>-N526*$T$27</f>
        <v>0</v>
      </c>
      <c r="P526" s="201">
        <f t="shared" si="238"/>
        <v>51.11999999999999</v>
      </c>
    </row>
    <row r="527" spans="3:16" x14ac:dyDescent="0.35">
      <c r="D527" s="184" t="s">
        <v>64</v>
      </c>
      <c r="E527" s="199"/>
      <c r="F527" s="201"/>
      <c r="G527" s="201"/>
      <c r="H527" s="201">
        <f>27.28*12</f>
        <v>327.36</v>
      </c>
      <c r="I527" s="4">
        <f>J527-H527</f>
        <v>13.439999999999941</v>
      </c>
      <c r="J527" s="201">
        <f>(22.11+6.29)*12</f>
        <v>340.79999999999995</v>
      </c>
      <c r="K527" s="6">
        <f>K522</f>
        <v>0.1</v>
      </c>
      <c r="L527" s="5">
        <f>J527*(1-K527)</f>
        <v>306.71999999999997</v>
      </c>
      <c r="M527" s="6">
        <f>M522</f>
        <v>0.45</v>
      </c>
      <c r="N527" s="203">
        <f>L527*M527</f>
        <v>138.024</v>
      </c>
      <c r="O527" s="205">
        <f>-N527*$T$27</f>
        <v>0</v>
      </c>
      <c r="P527" s="201">
        <f t="shared" si="238"/>
        <v>138.024</v>
      </c>
    </row>
    <row r="528" spans="3:16" x14ac:dyDescent="0.35">
      <c r="E528" s="199"/>
      <c r="F528" s="201"/>
      <c r="G528" s="201"/>
      <c r="H528" s="201"/>
      <c r="I528" s="4"/>
      <c r="J528" s="201"/>
      <c r="K528" s="201"/>
      <c r="L528" s="201"/>
      <c r="P528" s="201">
        <f t="shared" si="238"/>
        <v>0</v>
      </c>
    </row>
    <row r="529" spans="3:16" x14ac:dyDescent="0.35">
      <c r="C529" s="184" t="s">
        <v>54</v>
      </c>
    </row>
    <row r="530" spans="3:16" x14ac:dyDescent="0.35">
      <c r="D530" s="184" t="s">
        <v>64</v>
      </c>
      <c r="F530" s="201">
        <f>70.29*12</f>
        <v>843.48</v>
      </c>
      <c r="G530" s="201"/>
      <c r="H530" s="201">
        <f>76.55*12</f>
        <v>918.59999999999991</v>
      </c>
      <c r="I530" s="4">
        <f>J530-H530</f>
        <v>206.11686441000029</v>
      </c>
      <c r="J530" s="211">
        <f>ROUNDUP((J505+J510)*3,-3)*(0.16/1000*12)+ROUNDUP((J505+J510)*3,-3)*(0.026/1000*12)+(((J505+J510)*0.545/100/12)*12)</f>
        <v>1124.7168644100002</v>
      </c>
      <c r="K530" s="6">
        <f>K525</f>
        <v>0.3</v>
      </c>
      <c r="L530" s="5">
        <f>J530*(1-K530)</f>
        <v>787.30180508700005</v>
      </c>
      <c r="M530" s="6">
        <f>M525</f>
        <v>0.02</v>
      </c>
      <c r="N530" s="203">
        <f>L530*M530</f>
        <v>15.746036101740001</v>
      </c>
      <c r="P530" s="201">
        <f t="shared" ref="P530:P532" si="239">+N530+O530</f>
        <v>15.746036101740001</v>
      </c>
    </row>
    <row r="531" spans="3:16" x14ac:dyDescent="0.35">
      <c r="D531" s="184" t="s">
        <v>64</v>
      </c>
      <c r="F531" s="201">
        <f>69.96*12</f>
        <v>839.52</v>
      </c>
      <c r="G531" s="201"/>
      <c r="H531" s="201">
        <f>76.22*12</f>
        <v>914.64</v>
      </c>
      <c r="I531" s="4">
        <f>J531-H531</f>
        <v>129.48776355538064</v>
      </c>
      <c r="J531" s="211">
        <f t="shared" ref="J531:J532" si="240">ROUNDUP((J506+J511)*3,-3)*(0.16/1000*12)+ROUNDUP((J506+J511)*3,-3)*(0.026/1000*12)+(((J506+J511)*0.545/100/12)*12)</f>
        <v>1044.1277635553806</v>
      </c>
      <c r="K531" s="6">
        <f>K526</f>
        <v>0.4</v>
      </c>
      <c r="L531" s="5">
        <f>J531*(1-K531)</f>
        <v>626.4766581332284</v>
      </c>
      <c r="M531" s="6">
        <f>M526</f>
        <v>0.25</v>
      </c>
      <c r="N531" s="203">
        <f>L531*M531</f>
        <v>156.6191645333071</v>
      </c>
      <c r="P531" s="201">
        <f t="shared" si="239"/>
        <v>156.6191645333071</v>
      </c>
    </row>
    <row r="532" spans="3:16" x14ac:dyDescent="0.35">
      <c r="D532" s="184" t="s">
        <v>64</v>
      </c>
      <c r="F532" s="201"/>
      <c r="G532" s="201"/>
      <c r="H532" s="201">
        <f>69.99*12</f>
        <v>839.87999999999988</v>
      </c>
      <c r="I532" s="4">
        <f>J532-H532</f>
        <v>135.65984742000012</v>
      </c>
      <c r="J532" s="211">
        <f t="shared" si="240"/>
        <v>975.53984742</v>
      </c>
      <c r="K532" s="6">
        <f>K527</f>
        <v>0.1</v>
      </c>
      <c r="L532" s="5">
        <f>J532*(1-K532)</f>
        <v>877.98586267799999</v>
      </c>
      <c r="M532" s="6">
        <f>M527</f>
        <v>0.45</v>
      </c>
      <c r="N532" s="203">
        <f>L532*M532</f>
        <v>395.09363820509998</v>
      </c>
      <c r="P532" s="201">
        <f t="shared" si="239"/>
        <v>395.09363820509998</v>
      </c>
    </row>
    <row r="533" spans="3:16" x14ac:dyDescent="0.35">
      <c r="F533" s="201"/>
      <c r="G533" s="201"/>
      <c r="H533" s="201"/>
    </row>
    <row r="534" spans="3:16" x14ac:dyDescent="0.35">
      <c r="C534" s="184" t="s">
        <v>162</v>
      </c>
      <c r="F534" s="201"/>
      <c r="G534" s="201"/>
      <c r="H534" s="201"/>
    </row>
    <row r="535" spans="3:16" x14ac:dyDescent="0.35">
      <c r="D535" s="184" t="s">
        <v>64</v>
      </c>
      <c r="F535" s="201">
        <f>(F505+F510)*0.0765</f>
        <v>5653.6384050000006</v>
      </c>
      <c r="G535" s="201"/>
      <c r="H535" s="201">
        <f>+(H505+H510)*0.0765</f>
        <v>6376.2122700000009</v>
      </c>
      <c r="I535" s="4">
        <f>J535-H535</f>
        <v>323.58292829999937</v>
      </c>
      <c r="J535" s="201">
        <f>J505*0.0765</f>
        <v>6699.7951983000003</v>
      </c>
      <c r="K535" s="6">
        <f>K530</f>
        <v>0.3</v>
      </c>
      <c r="L535" s="5">
        <f>J535*(1-K535)</f>
        <v>4689.8566388099998</v>
      </c>
      <c r="M535" s="6">
        <f>M530</f>
        <v>0.02</v>
      </c>
      <c r="N535" s="203">
        <f>L535*M535</f>
        <v>93.797132776200002</v>
      </c>
      <c r="P535" s="201">
        <f t="shared" ref="P535:P537" si="241">+N535+O535</f>
        <v>93.797132776200002</v>
      </c>
    </row>
    <row r="536" spans="3:16" x14ac:dyDescent="0.35">
      <c r="D536" s="184" t="s">
        <v>64</v>
      </c>
      <c r="F536" s="201">
        <f>(F506+F511)*0.0765</f>
        <v>5471.5798799999993</v>
      </c>
      <c r="G536" s="201"/>
      <c r="H536" s="201">
        <f>+(H506+H511)*0.0765</f>
        <v>5921.611688897694</v>
      </c>
      <c r="I536" s="4">
        <f>J536-H536</f>
        <v>649.42180000230655</v>
      </c>
      <c r="J536" s="201">
        <f>J506*0.0765</f>
        <v>6571.0334889000005</v>
      </c>
      <c r="K536" s="6">
        <f>K531</f>
        <v>0.4</v>
      </c>
      <c r="L536" s="5">
        <f>J536*(1-K536)</f>
        <v>3942.62009334</v>
      </c>
      <c r="M536" s="6">
        <f>M531</f>
        <v>0.25</v>
      </c>
      <c r="N536" s="203">
        <f>L536*M536</f>
        <v>985.65502333500001</v>
      </c>
      <c r="P536" s="201">
        <f t="shared" si="241"/>
        <v>985.65502333500001</v>
      </c>
    </row>
    <row r="537" spans="3:16" x14ac:dyDescent="0.35">
      <c r="D537" s="184" t="s">
        <v>64</v>
      </c>
      <c r="F537" s="201"/>
      <c r="G537" s="201"/>
      <c r="H537" s="201">
        <f>+(H507+H512)*0.0765</f>
        <v>5534.0987400000004</v>
      </c>
      <c r="I537" s="4">
        <f>J537-H537</f>
        <v>506.89871549999953</v>
      </c>
      <c r="J537" s="201">
        <f>J507*0.0765</f>
        <v>6040.9974554999999</v>
      </c>
      <c r="K537" s="6">
        <f>K532</f>
        <v>0.1</v>
      </c>
      <c r="L537" s="5">
        <f>J537*(1-K537)</f>
        <v>5436.8977099499998</v>
      </c>
      <c r="M537" s="6">
        <f>M532</f>
        <v>0.45</v>
      </c>
      <c r="N537" s="203">
        <f>L537*M537</f>
        <v>2446.6039694775</v>
      </c>
      <c r="P537" s="201">
        <f t="shared" si="241"/>
        <v>2446.6039694775</v>
      </c>
    </row>
    <row r="538" spans="3:16" x14ac:dyDescent="0.35">
      <c r="F538" s="201"/>
      <c r="G538" s="201"/>
      <c r="H538" s="201"/>
    </row>
    <row r="539" spans="3:16" x14ac:dyDescent="0.35">
      <c r="C539" s="184" t="s">
        <v>244</v>
      </c>
      <c r="F539" s="201"/>
      <c r="G539" s="201"/>
      <c r="H539" s="201"/>
    </row>
    <row r="540" spans="3:16" x14ac:dyDescent="0.35">
      <c r="D540" s="184" t="s">
        <v>64</v>
      </c>
      <c r="F540" s="201">
        <f>172*12</f>
        <v>2064</v>
      </c>
      <c r="G540" s="201"/>
      <c r="H540" s="201">
        <f>172*12</f>
        <v>2064</v>
      </c>
      <c r="I540" s="4">
        <f>J540-F540</f>
        <v>636</v>
      </c>
      <c r="J540" s="201">
        <v>2700</v>
      </c>
      <c r="K540" s="6">
        <f>K535</f>
        <v>0.3</v>
      </c>
      <c r="L540" s="5">
        <f>J540*(1-K540)</f>
        <v>1889.9999999999998</v>
      </c>
      <c r="M540" s="6">
        <f>M535</f>
        <v>0.02</v>
      </c>
      <c r="N540" s="203">
        <f>L540*M540</f>
        <v>37.799999999999997</v>
      </c>
      <c r="P540" s="201">
        <f t="shared" ref="P540:P542" si="242">+N540+O540</f>
        <v>37.799999999999997</v>
      </c>
    </row>
    <row r="541" spans="3:16" x14ac:dyDescent="0.35">
      <c r="D541" s="184" t="s">
        <v>64</v>
      </c>
      <c r="F541" s="201">
        <f t="shared" ref="F541:F542" si="243">172*12</f>
        <v>2064</v>
      </c>
      <c r="G541" s="201"/>
      <c r="H541" s="201">
        <f t="shared" ref="H541:H542" si="244">172*12</f>
        <v>2064</v>
      </c>
      <c r="I541" s="4">
        <f>J541-F541</f>
        <v>636</v>
      </c>
      <c r="J541" s="201">
        <v>2700</v>
      </c>
      <c r="K541" s="6">
        <f>K536</f>
        <v>0.4</v>
      </c>
      <c r="L541" s="5">
        <f>J541*(1-K541)</f>
        <v>1620</v>
      </c>
      <c r="M541" s="6">
        <f>M536</f>
        <v>0.25</v>
      </c>
      <c r="N541" s="203">
        <f>L541*M541</f>
        <v>405</v>
      </c>
      <c r="P541" s="201">
        <f t="shared" si="242"/>
        <v>405</v>
      </c>
    </row>
    <row r="542" spans="3:16" x14ac:dyDescent="0.35">
      <c r="D542" s="184" t="s">
        <v>64</v>
      </c>
      <c r="F542" s="201">
        <f t="shared" si="243"/>
        <v>2064</v>
      </c>
      <c r="G542" s="201"/>
      <c r="H542" s="201">
        <f t="shared" si="244"/>
        <v>2064</v>
      </c>
      <c r="I542" s="4">
        <f>J542-F542</f>
        <v>636</v>
      </c>
      <c r="J542" s="201">
        <v>2700</v>
      </c>
      <c r="K542" s="6">
        <f>K537</f>
        <v>0.1</v>
      </c>
      <c r="L542" s="5">
        <f>J542*(1-K542)</f>
        <v>2430</v>
      </c>
      <c r="M542" s="6">
        <f>M537</f>
        <v>0.45</v>
      </c>
      <c r="N542" s="203">
        <f>L542*M542</f>
        <v>1093.5</v>
      </c>
      <c r="P542" s="201">
        <f t="shared" si="242"/>
        <v>1093.5</v>
      </c>
    </row>
    <row r="544" spans="3:16" x14ac:dyDescent="0.35">
      <c r="C544" s="184" t="s">
        <v>55</v>
      </c>
      <c r="F544" s="201"/>
      <c r="G544" s="201"/>
      <c r="H544" s="201"/>
    </row>
    <row r="545" spans="2:17" x14ac:dyDescent="0.35">
      <c r="D545" s="184" t="s">
        <v>64</v>
      </c>
      <c r="F545" s="201">
        <f>+(F505+F510)*0.2695/2+(F505+F510)*0.2406/2</f>
        <v>18849.156538500003</v>
      </c>
      <c r="G545" s="201"/>
      <c r="H545" s="201">
        <f>+(H505+H510)*0.2695/2+(H505+H510)*0.2679/2</f>
        <v>22395.924666000003</v>
      </c>
      <c r="I545" s="4">
        <f>J545-H545</f>
        <v>3874.4449577099986</v>
      </c>
      <c r="J545" s="201">
        <f>(J505+J510)*0.2679/2+(J505+J510)*0.3/2</f>
        <v>26270.369623710001</v>
      </c>
      <c r="K545" s="6">
        <f>K540</f>
        <v>0.3</v>
      </c>
      <c r="L545" s="5">
        <f>J545*(1-K545)</f>
        <v>18389.258736596999</v>
      </c>
      <c r="M545" s="6">
        <f>M540</f>
        <v>0.02</v>
      </c>
      <c r="N545" s="203">
        <f>L545*M545</f>
        <v>367.78517473194</v>
      </c>
      <c r="P545" s="201">
        <f t="shared" ref="P545:P547" si="245">+N545+O545</f>
        <v>367.78517473194</v>
      </c>
    </row>
    <row r="546" spans="2:17" x14ac:dyDescent="0.35">
      <c r="D546" s="184" t="s">
        <v>64</v>
      </c>
      <c r="F546" s="201">
        <f>+(F506+F511)*0.2695/2+(F506+F511)*0.2406/2</f>
        <v>18242.175796</v>
      </c>
      <c r="G546" s="201"/>
      <c r="H546" s="201">
        <f>+(H506+H511)*0.2695/2+(H506+H511)*0.2679/2</f>
        <v>20799.177265448503</v>
      </c>
      <c r="I546" s="4">
        <f>J546-H546</f>
        <v>3598.2112229093436</v>
      </c>
      <c r="J546" s="201">
        <f>(J506+J511)*0.2679/2+(J506+J511)*0.3/2</f>
        <v>24397.388488357847</v>
      </c>
      <c r="K546" s="6">
        <f>K541</f>
        <v>0.4</v>
      </c>
      <c r="L546" s="5">
        <f>J546*(1-K546)</f>
        <v>14638.433093014708</v>
      </c>
      <c r="M546" s="6">
        <f>M541</f>
        <v>0.25</v>
      </c>
      <c r="N546" s="203">
        <f>L546*M546</f>
        <v>3659.608273253677</v>
      </c>
      <c r="P546" s="201">
        <f t="shared" si="245"/>
        <v>3659.608273253677</v>
      </c>
    </row>
    <row r="547" spans="2:17" x14ac:dyDescent="0.35">
      <c r="D547" s="184" t="s">
        <v>64</v>
      </c>
      <c r="F547" s="201"/>
      <c r="G547" s="201"/>
      <c r="H547" s="201">
        <f>+(H507+H512)*0.2695/2+(H507+H512)*0.2679/2</f>
        <v>19438.069692000005</v>
      </c>
      <c r="I547" s="4">
        <f>J547-H547</f>
        <v>3362.7426520199951</v>
      </c>
      <c r="J547" s="201">
        <f>(J507+J512)*0.2679/2+(J507+J512)*0.3/2</f>
        <v>22800.81234402</v>
      </c>
      <c r="K547" s="6">
        <f>K542</f>
        <v>0.1</v>
      </c>
      <c r="L547" s="5">
        <f>J547*(1-K547)</f>
        <v>20520.731109618002</v>
      </c>
      <c r="M547" s="6">
        <f>M542</f>
        <v>0.45</v>
      </c>
      <c r="N547" s="203">
        <f>L547*M547</f>
        <v>9234.3289993281014</v>
      </c>
      <c r="P547" s="201">
        <f t="shared" si="245"/>
        <v>9234.3289993281014</v>
      </c>
    </row>
    <row r="548" spans="2:17" x14ac:dyDescent="0.35">
      <c r="Q548" s="183"/>
    </row>
    <row r="549" spans="2:17" x14ac:dyDescent="0.35">
      <c r="B549" s="183" t="s">
        <v>65</v>
      </c>
      <c r="C549" s="183"/>
      <c r="D549" s="183"/>
      <c r="F549" s="216">
        <f>SUM(F505:F548)</f>
        <v>218428.15061950003</v>
      </c>
      <c r="G549" s="216"/>
      <c r="H549" s="237">
        <f>SUM(H505:H547)</f>
        <v>348914.81306610687</v>
      </c>
      <c r="I549" s="216">
        <f>SUM(I505:I548)</f>
        <v>40758.799413640692</v>
      </c>
      <c r="J549" s="216">
        <f>SUM(J505:J548)</f>
        <v>389673.61247974756</v>
      </c>
      <c r="L549" s="216">
        <f>SUM(L505:L548)</f>
        <v>284148.60710057255</v>
      </c>
      <c r="N549" s="216">
        <f>SUM(N505:N548)</f>
        <v>70673.679377778724</v>
      </c>
      <c r="O549" s="216">
        <f t="shared" ref="O549:P549" si="246">SUM(O505:O548)</f>
        <v>0</v>
      </c>
      <c r="P549" s="216">
        <f t="shared" si="246"/>
        <v>70673.679377778724</v>
      </c>
      <c r="Q549" s="217"/>
    </row>
    <row r="550" spans="2:17" x14ac:dyDescent="0.35">
      <c r="I550" s="12">
        <f>I549*N550</f>
        <v>10137.562703459875</v>
      </c>
      <c r="J550" s="201"/>
      <c r="K550" s="201"/>
      <c r="L550" s="201"/>
      <c r="N550" s="6">
        <f>N549/L549</f>
        <v>0.24872083695544647</v>
      </c>
    </row>
    <row r="551" spans="2:17" x14ac:dyDescent="0.35">
      <c r="I551" s="7" t="s">
        <v>70</v>
      </c>
      <c r="J551" s="201"/>
      <c r="K551" s="201"/>
      <c r="L551" s="201"/>
      <c r="N551" s="6"/>
    </row>
    <row r="553" spans="2:17" ht="6" customHeight="1" x14ac:dyDescent="0.35">
      <c r="E553" s="199"/>
      <c r="F553" s="201"/>
      <c r="G553" s="201"/>
      <c r="H553" s="201"/>
      <c r="I553" s="4"/>
      <c r="J553" s="201"/>
      <c r="K553" s="201"/>
      <c r="L553" s="201"/>
    </row>
    <row r="555" spans="2:17" ht="15" customHeight="1" x14ac:dyDescent="0.35">
      <c r="B555" s="183"/>
      <c r="C555" s="183"/>
    </row>
    <row r="556" spans="2:17" ht="15" customHeight="1" x14ac:dyDescent="0.35">
      <c r="B556" s="183"/>
      <c r="C556" s="183"/>
    </row>
    <row r="557" spans="2:17" ht="15" customHeight="1" x14ac:dyDescent="0.35">
      <c r="C557" s="183"/>
      <c r="J557" s="185"/>
      <c r="K557" s="185"/>
      <c r="L557" s="185"/>
      <c r="N557" s="185"/>
    </row>
    <row r="558" spans="2:17" ht="15" customHeight="1" x14ac:dyDescent="0.35"/>
    <row r="559" spans="2:17" ht="41.65" customHeight="1" x14ac:dyDescent="0.35">
      <c r="F559" s="186">
        <v>2021</v>
      </c>
      <c r="G559" s="187"/>
      <c r="H559" s="186">
        <v>2022</v>
      </c>
      <c r="I559" s="188"/>
      <c r="J559" s="220">
        <v>2023</v>
      </c>
      <c r="K559" s="188"/>
      <c r="L559" s="188"/>
      <c r="M559" s="190" t="s">
        <v>49</v>
      </c>
      <c r="N559" s="191"/>
    </row>
    <row r="560" spans="2:17" ht="38.65" customHeight="1" x14ac:dyDescent="0.35">
      <c r="C560" s="192"/>
      <c r="D560" s="193"/>
      <c r="E560" s="194" t="s">
        <v>42</v>
      </c>
      <c r="F560" s="195" t="s">
        <v>30</v>
      </c>
      <c r="G560" s="196" t="s">
        <v>236</v>
      </c>
      <c r="H560" s="195" t="s">
        <v>0</v>
      </c>
      <c r="I560" s="195" t="s">
        <v>22</v>
      </c>
      <c r="J560" s="198" t="s">
        <v>23</v>
      </c>
      <c r="K560" s="198" t="s">
        <v>56</v>
      </c>
      <c r="L560" s="198" t="s">
        <v>57</v>
      </c>
      <c r="M560" s="196" t="s">
        <v>50</v>
      </c>
      <c r="N560" s="196" t="s">
        <v>51</v>
      </c>
      <c r="O560" s="196" t="s">
        <v>897</v>
      </c>
      <c r="P560" s="196" t="s">
        <v>949</v>
      </c>
    </row>
    <row r="561" spans="2:16" x14ac:dyDescent="0.35">
      <c r="B561" s="183" t="s">
        <v>253</v>
      </c>
      <c r="C561" s="192"/>
      <c r="D561" s="193"/>
      <c r="E561" s="224"/>
      <c r="F561" s="225"/>
      <c r="G561" s="226"/>
      <c r="H561" s="225"/>
      <c r="I561" s="225"/>
      <c r="J561" s="225"/>
      <c r="K561" s="225"/>
      <c r="L561" s="225"/>
      <c r="M561" s="226"/>
      <c r="N561" s="226"/>
      <c r="O561" s="226"/>
      <c r="P561" s="226"/>
    </row>
    <row r="562" spans="2:16" x14ac:dyDescent="0.35">
      <c r="C562" s="184" t="s">
        <v>38</v>
      </c>
      <c r="K562" s="201"/>
      <c r="L562" s="201"/>
    </row>
    <row r="563" spans="2:16" x14ac:dyDescent="0.35">
      <c r="D563" s="184" t="s">
        <v>254</v>
      </c>
      <c r="E563" s="199">
        <v>40</v>
      </c>
      <c r="F563" s="201">
        <f>48487.49-345.35</f>
        <v>48142.14</v>
      </c>
      <c r="G563" s="221">
        <v>24.38</v>
      </c>
      <c r="H563" s="201">
        <v>50990.91</v>
      </c>
      <c r="I563" s="4">
        <f>H563*0.11</f>
        <v>5609.0001000000002</v>
      </c>
      <c r="J563" s="201">
        <f>H563+I563</f>
        <v>56599.910100000001</v>
      </c>
      <c r="K563" s="6">
        <v>0</v>
      </c>
      <c r="L563" s="5">
        <f>J563*(1-K563)</f>
        <v>56599.910100000001</v>
      </c>
      <c r="M563" s="6">
        <v>0.02</v>
      </c>
      <c r="N563" s="203">
        <f>L563*M563</f>
        <v>1131.998202</v>
      </c>
      <c r="P563" s="201">
        <f t="shared" ref="P563:P565" si="247">+N563+O563</f>
        <v>1131.998202</v>
      </c>
    </row>
    <row r="564" spans="2:16" x14ac:dyDescent="0.35">
      <c r="D564" s="184" t="s">
        <v>255</v>
      </c>
      <c r="E564" s="199">
        <v>40</v>
      </c>
      <c r="F564" s="201">
        <f>54942.66-140.25</f>
        <v>54802.41</v>
      </c>
      <c r="G564" s="221"/>
      <c r="H564" s="201">
        <f>G564*2080</f>
        <v>0</v>
      </c>
      <c r="I564" s="4">
        <f>H564*0.11</f>
        <v>0</v>
      </c>
      <c r="J564" s="201">
        <f>H564+I564</f>
        <v>0</v>
      </c>
      <c r="K564" s="6">
        <v>0</v>
      </c>
      <c r="L564" s="5">
        <f>J564*(1-K564)</f>
        <v>0</v>
      </c>
      <c r="M564" s="6">
        <v>0</v>
      </c>
      <c r="N564" s="203">
        <f>L564*M564</f>
        <v>0</v>
      </c>
      <c r="P564" s="201">
        <f t="shared" si="247"/>
        <v>0</v>
      </c>
    </row>
    <row r="565" spans="2:16" x14ac:dyDescent="0.35">
      <c r="D565" s="184" t="s">
        <v>256</v>
      </c>
      <c r="E565" s="199">
        <v>40</v>
      </c>
      <c r="F565" s="201">
        <f>52294-584.69</f>
        <v>51709.31</v>
      </c>
      <c r="G565" s="221">
        <v>22</v>
      </c>
      <c r="H565" s="201">
        <f>G565*2080</f>
        <v>45760</v>
      </c>
      <c r="I565" s="4">
        <f>H565*0.11</f>
        <v>5033.6000000000004</v>
      </c>
      <c r="J565" s="201">
        <f>H565+I565</f>
        <v>50793.599999999999</v>
      </c>
      <c r="K565" s="6">
        <v>0</v>
      </c>
      <c r="L565" s="5">
        <f>J565*(1-K565)</f>
        <v>50793.599999999999</v>
      </c>
      <c r="M565" s="6">
        <v>0.02</v>
      </c>
      <c r="N565" s="203">
        <f>L565*M565</f>
        <v>1015.872</v>
      </c>
      <c r="P565" s="201">
        <f t="shared" si="247"/>
        <v>1015.872</v>
      </c>
    </row>
    <row r="566" spans="2:16" x14ac:dyDescent="0.35">
      <c r="E566" s="199"/>
      <c r="F566" s="201"/>
      <c r="G566" s="201"/>
      <c r="H566" s="201"/>
      <c r="I566" s="4"/>
      <c r="J566" s="201"/>
      <c r="K566" s="6"/>
      <c r="L566" s="5"/>
      <c r="M566" s="6"/>
      <c r="N566" s="203"/>
    </row>
    <row r="567" spans="2:16" x14ac:dyDescent="0.35">
      <c r="C567" s="184" t="s">
        <v>66</v>
      </c>
      <c r="E567" s="199"/>
      <c r="F567" s="201"/>
      <c r="G567" s="201"/>
      <c r="H567" s="201"/>
      <c r="I567" s="4"/>
      <c r="J567" s="201"/>
      <c r="K567" s="201"/>
      <c r="L567" s="201"/>
    </row>
    <row r="568" spans="2:16" x14ac:dyDescent="0.35">
      <c r="D568" s="184" t="s">
        <v>254</v>
      </c>
      <c r="E568" s="199"/>
      <c r="F568" s="201">
        <v>345.35</v>
      </c>
      <c r="G568" s="201"/>
      <c r="H568" s="201">
        <v>272.04000000000002</v>
      </c>
      <c r="I568" s="4">
        <f>H568*0.11</f>
        <v>29.924400000000002</v>
      </c>
      <c r="J568" s="201">
        <f>H568+I568</f>
        <v>301.96440000000001</v>
      </c>
      <c r="K568" s="6">
        <f>K563</f>
        <v>0</v>
      </c>
      <c r="L568" s="5">
        <f>J568*(1-K568)</f>
        <v>301.96440000000001</v>
      </c>
      <c r="M568" s="6">
        <f>M563</f>
        <v>0.02</v>
      </c>
      <c r="N568" s="203">
        <f>L568*M568</f>
        <v>6.039288</v>
      </c>
      <c r="P568" s="201">
        <f t="shared" ref="P568:P570" si="248">+N568+O568</f>
        <v>6.039288</v>
      </c>
    </row>
    <row r="569" spans="2:16" x14ac:dyDescent="0.35">
      <c r="D569" s="184" t="s">
        <v>255</v>
      </c>
      <c r="E569" s="199"/>
      <c r="F569" s="201">
        <v>140.25</v>
      </c>
      <c r="G569" s="201"/>
      <c r="H569" s="201"/>
      <c r="I569" s="4">
        <f>H569*0.11</f>
        <v>0</v>
      </c>
      <c r="J569" s="201">
        <f>H569+I569</f>
        <v>0</v>
      </c>
      <c r="K569" s="6">
        <f>K564</f>
        <v>0</v>
      </c>
      <c r="L569" s="5">
        <f>J569*(1-K569)</f>
        <v>0</v>
      </c>
      <c r="M569" s="6">
        <f>M564</f>
        <v>0</v>
      </c>
      <c r="N569" s="203">
        <f>L569*M569</f>
        <v>0</v>
      </c>
      <c r="P569" s="201">
        <f t="shared" si="248"/>
        <v>0</v>
      </c>
    </row>
    <row r="570" spans="2:16" x14ac:dyDescent="0.35">
      <c r="D570" s="184" t="s">
        <v>256</v>
      </c>
      <c r="E570" s="199"/>
      <c r="F570" s="201">
        <v>686.91</v>
      </c>
      <c r="G570" s="201"/>
      <c r="H570" s="201">
        <f>14.19/8740.93*H565</f>
        <v>74.286649132300553</v>
      </c>
      <c r="I570" s="4">
        <f>H570*0.11</f>
        <v>8.1715314045530612</v>
      </c>
      <c r="J570" s="201">
        <f>H570+I570</f>
        <v>82.458180536853618</v>
      </c>
      <c r="K570" s="6">
        <f>K565</f>
        <v>0</v>
      </c>
      <c r="L570" s="5">
        <f>J570*(1-K570)</f>
        <v>82.458180536853618</v>
      </c>
      <c r="M570" s="6">
        <f>M565</f>
        <v>0.02</v>
      </c>
      <c r="N570" s="203">
        <f>L570*M570</f>
        <v>1.6491636107370724</v>
      </c>
      <c r="P570" s="201">
        <f t="shared" si="248"/>
        <v>1.6491636107370724</v>
      </c>
    </row>
    <row r="571" spans="2:16" x14ac:dyDescent="0.35">
      <c r="E571" s="199"/>
      <c r="F571" s="201"/>
      <c r="G571" s="201"/>
      <c r="H571" s="201"/>
      <c r="I571" s="4"/>
      <c r="J571" s="201"/>
      <c r="K571" s="201"/>
      <c r="L571" s="201"/>
    </row>
    <row r="572" spans="2:16" x14ac:dyDescent="0.35">
      <c r="C572" s="184" t="s">
        <v>67</v>
      </c>
      <c r="E572" s="199"/>
      <c r="F572" s="201"/>
      <c r="G572" s="201"/>
      <c r="H572" s="201"/>
      <c r="I572" s="4"/>
      <c r="J572" s="201"/>
      <c r="K572" s="201"/>
      <c r="L572" s="201"/>
    </row>
    <row r="573" spans="2:16" x14ac:dyDescent="0.35">
      <c r="D573" s="184" t="s">
        <v>254</v>
      </c>
      <c r="E573" s="199"/>
      <c r="F573" s="201">
        <f>552.37*12</f>
        <v>6628.4400000000005</v>
      </c>
      <c r="G573" s="201"/>
      <c r="H573" s="201">
        <f>591.04*12</f>
        <v>7092.48</v>
      </c>
      <c r="I573" s="4">
        <f>J573-H573</f>
        <v>141.84000000000015</v>
      </c>
      <c r="J573" s="201">
        <f>602.86*12</f>
        <v>7234.32</v>
      </c>
      <c r="K573" s="6">
        <f>K568</f>
        <v>0</v>
      </c>
      <c r="L573" s="5">
        <f>J573*(1-K573)</f>
        <v>7234.32</v>
      </c>
      <c r="M573" s="6">
        <f>M568</f>
        <v>0.02</v>
      </c>
      <c r="N573" s="203">
        <f>L573*M573</f>
        <v>144.68639999999999</v>
      </c>
      <c r="O573" s="205">
        <f>-N573*$T$26</f>
        <v>0</v>
      </c>
      <c r="P573" s="201">
        <f t="shared" ref="P573:P575" si="249">+N573+O573</f>
        <v>144.68639999999999</v>
      </c>
    </row>
    <row r="574" spans="2:16" x14ac:dyDescent="0.35">
      <c r="D574" s="184" t="s">
        <v>255</v>
      </c>
      <c r="E574" s="199"/>
      <c r="F574" s="201">
        <f>552.37*12</f>
        <v>6628.4400000000005</v>
      </c>
      <c r="G574" s="201"/>
      <c r="H574" s="201">
        <f>591.04*12</f>
        <v>7092.48</v>
      </c>
      <c r="I574" s="4">
        <f>J574-H574</f>
        <v>141.84000000000015</v>
      </c>
      <c r="J574" s="201">
        <f>602.86*12</f>
        <v>7234.32</v>
      </c>
      <c r="K574" s="6">
        <f>K569</f>
        <v>0</v>
      </c>
      <c r="L574" s="5">
        <f>J574*(1-K574)</f>
        <v>7234.32</v>
      </c>
      <c r="M574" s="6">
        <f>M569</f>
        <v>0</v>
      </c>
      <c r="N574" s="203">
        <f>L574*M574</f>
        <v>0</v>
      </c>
      <c r="O574" s="205">
        <f>-N574*$T$26</f>
        <v>0</v>
      </c>
      <c r="P574" s="201">
        <f t="shared" si="249"/>
        <v>0</v>
      </c>
    </row>
    <row r="575" spans="2:16" x14ac:dyDescent="0.35">
      <c r="D575" s="184" t="s">
        <v>256</v>
      </c>
      <c r="E575" s="199"/>
      <c r="F575" s="201">
        <f>552.37*10</f>
        <v>5523.7</v>
      </c>
      <c r="G575" s="201"/>
      <c r="H575" s="201">
        <f>591.04*12</f>
        <v>7092.48</v>
      </c>
      <c r="I575" s="4">
        <f>J575-H575</f>
        <v>141.84000000000015</v>
      </c>
      <c r="J575" s="201">
        <f>602.86*12</f>
        <v>7234.32</v>
      </c>
      <c r="K575" s="6">
        <f>K570</f>
        <v>0</v>
      </c>
      <c r="L575" s="5">
        <f>J575*(1-K575)</f>
        <v>7234.32</v>
      </c>
      <c r="M575" s="6">
        <f>M570</f>
        <v>0.02</v>
      </c>
      <c r="N575" s="203">
        <f>L575*M575</f>
        <v>144.68639999999999</v>
      </c>
      <c r="O575" s="205">
        <f>-N575*$T$26</f>
        <v>0</v>
      </c>
      <c r="P575" s="201">
        <f t="shared" si="249"/>
        <v>144.68639999999999</v>
      </c>
    </row>
    <row r="576" spans="2:16" x14ac:dyDescent="0.35">
      <c r="E576" s="199"/>
      <c r="F576" s="201"/>
      <c r="G576" s="201"/>
      <c r="H576" s="201"/>
      <c r="I576" s="4"/>
      <c r="J576" s="201"/>
      <c r="K576" s="201"/>
      <c r="L576" s="201"/>
    </row>
    <row r="577" spans="3:16" x14ac:dyDescent="0.35">
      <c r="C577" s="184" t="s">
        <v>68</v>
      </c>
      <c r="E577" s="199"/>
      <c r="F577" s="201"/>
      <c r="G577" s="201"/>
      <c r="H577" s="201"/>
      <c r="I577" s="4"/>
      <c r="J577" s="201"/>
      <c r="K577" s="201"/>
      <c r="L577" s="201"/>
    </row>
    <row r="578" spans="3:16" x14ac:dyDescent="0.35">
      <c r="D578" s="184" t="s">
        <v>254</v>
      </c>
      <c r="E578" s="199"/>
      <c r="F578" s="201">
        <v>945</v>
      </c>
      <c r="G578" s="201"/>
      <c r="H578" s="201">
        <v>1163.25</v>
      </c>
      <c r="I578" s="4">
        <f>H578*(1-1.01)</f>
        <v>-11.632500000000011</v>
      </c>
      <c r="J578" s="201">
        <f>H578+I578</f>
        <v>1151.6175000000001</v>
      </c>
      <c r="K578" s="6">
        <f>K573</f>
        <v>0</v>
      </c>
      <c r="L578" s="5">
        <f>J578*(1-K578)</f>
        <v>1151.6175000000001</v>
      </c>
      <c r="M578" s="6">
        <f>M573</f>
        <v>0.02</v>
      </c>
      <c r="N578" s="203">
        <f>L578*M578</f>
        <v>23.032350000000001</v>
      </c>
      <c r="P578" s="201">
        <f t="shared" ref="P578:P580" si="250">+N578+O578</f>
        <v>23.032350000000001</v>
      </c>
    </row>
    <row r="579" spans="3:16" x14ac:dyDescent="0.35">
      <c r="D579" s="184" t="s">
        <v>255</v>
      </c>
      <c r="E579" s="199"/>
      <c r="F579" s="201">
        <v>1319.42</v>
      </c>
      <c r="G579" s="201"/>
      <c r="H579" s="201"/>
      <c r="I579" s="4">
        <f>H579*(1-1.01)</f>
        <v>0</v>
      </c>
      <c r="J579" s="201">
        <f>H579+I579</f>
        <v>0</v>
      </c>
      <c r="K579" s="6">
        <f>K574</f>
        <v>0</v>
      </c>
      <c r="L579" s="5">
        <f>J579*(1-K579)</f>
        <v>0</v>
      </c>
      <c r="M579" s="6">
        <f>M574</f>
        <v>0</v>
      </c>
      <c r="N579" s="203">
        <f>L579*M579</f>
        <v>0</v>
      </c>
      <c r="P579" s="201">
        <f t="shared" si="250"/>
        <v>0</v>
      </c>
    </row>
    <row r="580" spans="3:16" x14ac:dyDescent="0.35">
      <c r="D580" s="184" t="s">
        <v>256</v>
      </c>
      <c r="E580" s="199"/>
      <c r="F580" s="201">
        <v>1061.98</v>
      </c>
      <c r="G580" s="201"/>
      <c r="H580" s="201">
        <v>1027.53</v>
      </c>
      <c r="I580" s="4">
        <f>H580*(1-1.01)</f>
        <v>-10.275300000000009</v>
      </c>
      <c r="J580" s="201">
        <f>H580+I580</f>
        <v>1017.2547</v>
      </c>
      <c r="K580" s="6">
        <f>K575</f>
        <v>0</v>
      </c>
      <c r="L580" s="5">
        <f>J580*(1-K580)</f>
        <v>1017.2547</v>
      </c>
      <c r="M580" s="6">
        <f>M575</f>
        <v>0.02</v>
      </c>
      <c r="N580" s="203">
        <f>L580*M580</f>
        <v>20.345094</v>
      </c>
      <c r="P580" s="201">
        <f t="shared" si="250"/>
        <v>20.345094</v>
      </c>
    </row>
    <row r="581" spans="3:16" x14ac:dyDescent="0.35">
      <c r="E581" s="199"/>
      <c r="F581" s="201"/>
      <c r="G581" s="201"/>
      <c r="H581" s="201"/>
      <c r="I581" s="4"/>
      <c r="J581" s="201"/>
      <c r="K581" s="201"/>
      <c r="L581" s="201"/>
    </row>
    <row r="582" spans="3:16" x14ac:dyDescent="0.35">
      <c r="C582" s="184" t="s">
        <v>53</v>
      </c>
      <c r="E582" s="199"/>
      <c r="F582" s="201"/>
      <c r="G582" s="201"/>
      <c r="H582" s="201"/>
      <c r="I582" s="4"/>
      <c r="J582" s="201"/>
      <c r="K582" s="201"/>
      <c r="L582" s="201"/>
    </row>
    <row r="583" spans="3:16" x14ac:dyDescent="0.35">
      <c r="D583" s="184" t="s">
        <v>254</v>
      </c>
      <c r="E583" s="199"/>
      <c r="F583" s="201">
        <f>27.28*12</f>
        <v>327.36</v>
      </c>
      <c r="G583" s="201"/>
      <c r="H583" s="201">
        <f>27.28*12</f>
        <v>327.36</v>
      </c>
      <c r="I583" s="4">
        <f>J583-H583</f>
        <v>13.439999999999941</v>
      </c>
      <c r="J583" s="201">
        <f>+(22.11+6.29)*12</f>
        <v>340.79999999999995</v>
      </c>
      <c r="K583" s="6">
        <f>K578</f>
        <v>0</v>
      </c>
      <c r="L583" s="5">
        <f>J583*(1-K583)</f>
        <v>340.79999999999995</v>
      </c>
      <c r="M583" s="6">
        <f>M578</f>
        <v>0.02</v>
      </c>
      <c r="N583" s="203">
        <f>L583*M583</f>
        <v>6.8159999999999989</v>
      </c>
      <c r="O583" s="205">
        <f>-N583*$T$27</f>
        <v>0</v>
      </c>
      <c r="P583" s="201">
        <f t="shared" ref="P583:P585" si="251">+N583+O583</f>
        <v>6.8159999999999989</v>
      </c>
    </row>
    <row r="584" spans="3:16" x14ac:dyDescent="0.35">
      <c r="D584" s="184" t="s">
        <v>255</v>
      </c>
      <c r="E584" s="199"/>
      <c r="F584" s="201">
        <f>27.28*12</f>
        <v>327.36</v>
      </c>
      <c r="G584" s="201"/>
      <c r="H584" s="201"/>
      <c r="I584" s="4">
        <f>J584-H584</f>
        <v>340.79999999999995</v>
      </c>
      <c r="J584" s="201">
        <f>+(22.11+6.29)*12</f>
        <v>340.79999999999995</v>
      </c>
      <c r="K584" s="6">
        <f>K579</f>
        <v>0</v>
      </c>
      <c r="L584" s="5">
        <f>J584*(1-K584)</f>
        <v>340.79999999999995</v>
      </c>
      <c r="M584" s="6">
        <f>M579</f>
        <v>0</v>
      </c>
      <c r="N584" s="203">
        <f>L584*M584</f>
        <v>0</v>
      </c>
      <c r="O584" s="205">
        <f>-N584*$T$27</f>
        <v>0</v>
      </c>
      <c r="P584" s="201">
        <f t="shared" si="251"/>
        <v>0</v>
      </c>
    </row>
    <row r="585" spans="3:16" x14ac:dyDescent="0.35">
      <c r="D585" s="184" t="s">
        <v>256</v>
      </c>
      <c r="E585" s="199"/>
      <c r="F585" s="201">
        <f>27.28*10</f>
        <v>272.8</v>
      </c>
      <c r="G585" s="201"/>
      <c r="H585" s="201">
        <f>27.28*12</f>
        <v>327.36</v>
      </c>
      <c r="I585" s="4">
        <f>J585-H585</f>
        <v>13.439999999999941</v>
      </c>
      <c r="J585" s="201">
        <f>+(22.11+6.29)*12</f>
        <v>340.79999999999995</v>
      </c>
      <c r="K585" s="6">
        <f>K580</f>
        <v>0</v>
      </c>
      <c r="L585" s="5">
        <f>J585*(1-K585)</f>
        <v>340.79999999999995</v>
      </c>
      <c r="M585" s="6">
        <f>M580</f>
        <v>0.02</v>
      </c>
      <c r="N585" s="203">
        <f>L585*M585</f>
        <v>6.8159999999999989</v>
      </c>
      <c r="O585" s="205">
        <f>-N585*$T$27</f>
        <v>0</v>
      </c>
      <c r="P585" s="201">
        <f t="shared" si="251"/>
        <v>6.8159999999999989</v>
      </c>
    </row>
    <row r="586" spans="3:16" x14ac:dyDescent="0.35">
      <c r="E586" s="199"/>
      <c r="F586" s="201"/>
      <c r="G586" s="201"/>
      <c r="H586" s="201"/>
      <c r="I586" s="4"/>
      <c r="J586" s="201"/>
      <c r="K586" s="201"/>
      <c r="L586" s="201"/>
    </row>
    <row r="587" spans="3:16" x14ac:dyDescent="0.35">
      <c r="C587" s="184" t="s">
        <v>54</v>
      </c>
    </row>
    <row r="588" spans="3:16" x14ac:dyDescent="0.35">
      <c r="D588" s="184" t="s">
        <v>254</v>
      </c>
      <c r="F588" s="201">
        <f>44.5*12</f>
        <v>534</v>
      </c>
      <c r="G588" s="201"/>
      <c r="H588" s="201">
        <f>49.97*12</f>
        <v>599.64</v>
      </c>
      <c r="I588" s="4">
        <f>J588-H588</f>
        <v>92.147216025000034</v>
      </c>
      <c r="J588" s="211">
        <f>ROUNDUP((J563+J568)*3,-3)*(0.16/1000*12)+ROUNDUP((J563+J568)*3,-3)*(0.026/1000*12)+(((J563+J568)*0.545/100/12)*12)</f>
        <v>691.78721602500002</v>
      </c>
      <c r="K588" s="6">
        <f>K583</f>
        <v>0</v>
      </c>
      <c r="L588" s="5">
        <f>J588*(1-K588)</f>
        <v>691.78721602500002</v>
      </c>
      <c r="M588" s="6">
        <f>M583</f>
        <v>0.02</v>
      </c>
      <c r="N588" s="203">
        <f>L588*M588</f>
        <v>13.8357443205</v>
      </c>
      <c r="P588" s="201">
        <f t="shared" ref="P588:P590" si="252">+N588+O588</f>
        <v>13.8357443205</v>
      </c>
    </row>
    <row r="589" spans="3:16" x14ac:dyDescent="0.35">
      <c r="D589" s="184" t="s">
        <v>255</v>
      </c>
      <c r="F589" s="201">
        <f>63.77*12</f>
        <v>765.24</v>
      </c>
      <c r="G589" s="201"/>
      <c r="H589" s="201"/>
      <c r="I589" s="4">
        <f>J589-H589</f>
        <v>0</v>
      </c>
      <c r="J589" s="211">
        <f t="shared" ref="J589:J590" si="253">ROUNDUP((J564+J569)*3,-3)*(0.16/1000*12)+ROUNDUP((J564+J569)*3,-3)*(0.026/1000*12)+(((J564+J569)*0.545/100/12)*12)</f>
        <v>0</v>
      </c>
      <c r="K589" s="6">
        <f>K584</f>
        <v>0</v>
      </c>
      <c r="L589" s="5">
        <f>J589*(1-K589)</f>
        <v>0</v>
      </c>
      <c r="M589" s="6">
        <f>M584</f>
        <v>0</v>
      </c>
      <c r="N589" s="203">
        <f>L589*M589</f>
        <v>0</v>
      </c>
      <c r="P589" s="201">
        <f t="shared" si="252"/>
        <v>0</v>
      </c>
    </row>
    <row r="590" spans="3:16" x14ac:dyDescent="0.35">
      <c r="D590" s="184" t="s">
        <v>256</v>
      </c>
      <c r="F590" s="201">
        <f>51.67*10</f>
        <v>516.70000000000005</v>
      </c>
      <c r="G590" s="201"/>
      <c r="H590" s="201">
        <f>45.07*12</f>
        <v>540.84</v>
      </c>
      <c r="I590" s="4">
        <f>J590-H590</f>
        <v>77.930517083925793</v>
      </c>
      <c r="J590" s="211">
        <f t="shared" si="253"/>
        <v>618.77051708392582</v>
      </c>
      <c r="K590" s="6">
        <f>K585</f>
        <v>0</v>
      </c>
      <c r="L590" s="5">
        <f>J590*(1-K590)</f>
        <v>618.77051708392582</v>
      </c>
      <c r="M590" s="6">
        <f>M585</f>
        <v>0.02</v>
      </c>
      <c r="N590" s="203">
        <f>L590*M590</f>
        <v>12.375410341678517</v>
      </c>
      <c r="P590" s="201">
        <f t="shared" si="252"/>
        <v>12.375410341678517</v>
      </c>
    </row>
    <row r="591" spans="3:16" x14ac:dyDescent="0.35">
      <c r="F591" s="201"/>
      <c r="G591" s="201"/>
      <c r="H591" s="201"/>
    </row>
    <row r="592" spans="3:16" x14ac:dyDescent="0.35">
      <c r="C592" s="184" t="s">
        <v>162</v>
      </c>
      <c r="F592" s="201"/>
      <c r="G592" s="201"/>
      <c r="H592" s="201"/>
    </row>
    <row r="593" spans="2:17" x14ac:dyDescent="0.35">
      <c r="D593" s="184" t="s">
        <v>254</v>
      </c>
      <c r="F593" s="201">
        <f>(F563+F568)*0.0765</f>
        <v>3709.2929849999996</v>
      </c>
      <c r="G593" s="201"/>
      <c r="H593" s="201">
        <f>(H563+H568)*0.0765</f>
        <v>3921.6156750000005</v>
      </c>
      <c r="I593" s="4">
        <f>J593-H593</f>
        <v>408.27744764999943</v>
      </c>
      <c r="J593" s="201">
        <f>J563*0.0765</f>
        <v>4329.8931226499999</v>
      </c>
      <c r="K593" s="6">
        <f>K588</f>
        <v>0</v>
      </c>
      <c r="L593" s="5">
        <f>J593*(1-K593)</f>
        <v>4329.8931226499999</v>
      </c>
      <c r="M593" s="6">
        <f>M588</f>
        <v>0.02</v>
      </c>
      <c r="N593" s="203">
        <f>L593*M593</f>
        <v>86.597862453000005</v>
      </c>
      <c r="P593" s="201">
        <f t="shared" ref="P593:P595" si="254">+N593+O593</f>
        <v>86.597862453000005</v>
      </c>
    </row>
    <row r="594" spans="2:17" x14ac:dyDescent="0.35">
      <c r="D594" s="184" t="s">
        <v>255</v>
      </c>
      <c r="F594" s="201">
        <f>(F564+F569)*0.0765</f>
        <v>4203.1134900000006</v>
      </c>
      <c r="G594" s="201"/>
      <c r="H594" s="201">
        <f>(H564+H569)*0.0765</f>
        <v>0</v>
      </c>
      <c r="I594" s="4">
        <f>J594-H594</f>
        <v>0</v>
      </c>
      <c r="J594" s="201">
        <f>J564*0.0765</f>
        <v>0</v>
      </c>
      <c r="K594" s="6">
        <f>K589</f>
        <v>0</v>
      </c>
      <c r="L594" s="5">
        <f>J594*(1-K594)</f>
        <v>0</v>
      </c>
      <c r="M594" s="6">
        <f>M589</f>
        <v>0</v>
      </c>
      <c r="N594" s="203">
        <f>L594*M594</f>
        <v>0</v>
      </c>
      <c r="P594" s="201">
        <f t="shared" si="254"/>
        <v>0</v>
      </c>
    </row>
    <row r="595" spans="2:17" x14ac:dyDescent="0.35">
      <c r="D595" s="184" t="s">
        <v>256</v>
      </c>
      <c r="F595" s="201">
        <f>(F565+F570)*0.0765</f>
        <v>4008.3108299999999</v>
      </c>
      <c r="G595" s="201"/>
      <c r="H595" s="201">
        <f>(H565+H570)*0.0765</f>
        <v>3506.3229286586211</v>
      </c>
      <c r="I595" s="4">
        <f>J595-H595</f>
        <v>379.38747134137884</v>
      </c>
      <c r="J595" s="201">
        <f>J565*0.0765</f>
        <v>3885.7103999999999</v>
      </c>
      <c r="K595" s="6">
        <f>K590</f>
        <v>0</v>
      </c>
      <c r="L595" s="5">
        <f>J595*(1-K595)</f>
        <v>3885.7103999999999</v>
      </c>
      <c r="M595" s="6">
        <f>M590</f>
        <v>0.02</v>
      </c>
      <c r="N595" s="203">
        <f>L595*M595</f>
        <v>77.714207999999999</v>
      </c>
      <c r="P595" s="201">
        <f t="shared" si="254"/>
        <v>77.714207999999999</v>
      </c>
    </row>
    <row r="596" spans="2:17" x14ac:dyDescent="0.35">
      <c r="F596" s="201"/>
      <c r="G596" s="201"/>
      <c r="H596" s="201"/>
    </row>
    <row r="597" spans="2:17" x14ac:dyDescent="0.35">
      <c r="C597" s="184" t="s">
        <v>244</v>
      </c>
      <c r="F597" s="201"/>
      <c r="G597" s="201"/>
      <c r="H597" s="201"/>
    </row>
    <row r="598" spans="2:17" x14ac:dyDescent="0.35">
      <c r="D598" s="184" t="s">
        <v>254</v>
      </c>
      <c r="F598" s="201">
        <f>172*12</f>
        <v>2064</v>
      </c>
      <c r="G598" s="201"/>
      <c r="H598" s="201">
        <f>172*12</f>
        <v>2064</v>
      </c>
      <c r="I598" s="4">
        <f>J598-F598</f>
        <v>636</v>
      </c>
      <c r="J598" s="201">
        <v>2700</v>
      </c>
      <c r="K598" s="6">
        <f>K593</f>
        <v>0</v>
      </c>
      <c r="L598" s="5">
        <f>J598*(1-K598)</f>
        <v>2700</v>
      </c>
      <c r="M598" s="6">
        <f>M593</f>
        <v>0.02</v>
      </c>
      <c r="N598" s="203">
        <f>L598*M598</f>
        <v>54</v>
      </c>
      <c r="P598" s="201">
        <f t="shared" ref="P598:P600" si="255">+N598+O598</f>
        <v>54</v>
      </c>
    </row>
    <row r="599" spans="2:17" x14ac:dyDescent="0.35">
      <c r="D599" s="184" t="s">
        <v>255</v>
      </c>
      <c r="F599" s="201">
        <f t="shared" ref="F599:F600" si="256">172*12</f>
        <v>2064</v>
      </c>
      <c r="G599" s="201"/>
      <c r="H599" s="201">
        <f t="shared" ref="H599:H600" si="257">172*12</f>
        <v>2064</v>
      </c>
      <c r="I599" s="4">
        <f>J599-F599</f>
        <v>636</v>
      </c>
      <c r="J599" s="201">
        <v>2700</v>
      </c>
      <c r="K599" s="6">
        <f>K594</f>
        <v>0</v>
      </c>
      <c r="L599" s="5">
        <f>J599*(1-K599)</f>
        <v>2700</v>
      </c>
      <c r="M599" s="6">
        <f>M594</f>
        <v>0</v>
      </c>
      <c r="N599" s="203">
        <f>L599*M599</f>
        <v>0</v>
      </c>
      <c r="P599" s="201">
        <f t="shared" si="255"/>
        <v>0</v>
      </c>
    </row>
    <row r="600" spans="2:17" x14ac:dyDescent="0.35">
      <c r="D600" s="184" t="s">
        <v>256</v>
      </c>
      <c r="F600" s="201">
        <f t="shared" si="256"/>
        <v>2064</v>
      </c>
      <c r="G600" s="201"/>
      <c r="H600" s="201">
        <f t="shared" si="257"/>
        <v>2064</v>
      </c>
      <c r="I600" s="4">
        <f>J600-F600</f>
        <v>636</v>
      </c>
      <c r="J600" s="201">
        <v>2700</v>
      </c>
      <c r="K600" s="6">
        <f>K595</f>
        <v>0</v>
      </c>
      <c r="L600" s="5">
        <f>J600*(1-K600)</f>
        <v>2700</v>
      </c>
      <c r="M600" s="6">
        <f>M595</f>
        <v>0.02</v>
      </c>
      <c r="N600" s="203">
        <f>L600*M600</f>
        <v>54</v>
      </c>
      <c r="P600" s="201">
        <f t="shared" si="255"/>
        <v>54</v>
      </c>
    </row>
    <row r="602" spans="2:17" x14ac:dyDescent="0.35">
      <c r="C602" s="184" t="s">
        <v>55</v>
      </c>
      <c r="F602" s="201"/>
      <c r="G602" s="201"/>
      <c r="H602" s="201"/>
    </row>
    <row r="603" spans="2:17" x14ac:dyDescent="0.35">
      <c r="D603" s="184" t="s">
        <v>254</v>
      </c>
      <c r="F603" s="201">
        <f>(F563+F568)*0.2695/2+(F563+F568)*0.2406</f>
        <v>18199.779371500001</v>
      </c>
      <c r="G603" s="201"/>
      <c r="H603" s="201">
        <f>+(H563+H568)*0.2695/2+(H563+H568)*0.2679/2</f>
        <v>13774.354665000003</v>
      </c>
      <c r="I603" s="4">
        <f>J603-H603</f>
        <v>2382.9325992749982</v>
      </c>
      <c r="J603" s="201">
        <f>(J563+J568)*0.2679/2+(J563+J568)*0.3/2</f>
        <v>16157.287264275001</v>
      </c>
      <c r="K603" s="6">
        <f>K598</f>
        <v>0</v>
      </c>
      <c r="L603" s="5">
        <f>J603*(1-K603)</f>
        <v>16157.287264275001</v>
      </c>
      <c r="M603" s="6">
        <f>M598</f>
        <v>0.02</v>
      </c>
      <c r="N603" s="203">
        <f>L603*M603</f>
        <v>323.14574528550003</v>
      </c>
      <c r="P603" s="201">
        <f t="shared" ref="P603:P605" si="258">+N603+O603</f>
        <v>323.14574528550003</v>
      </c>
    </row>
    <row r="604" spans="2:17" x14ac:dyDescent="0.35">
      <c r="D604" s="184" t="s">
        <v>255</v>
      </c>
      <c r="F604" s="201">
        <f>(F564+F569)*0.2695/2+(F564+F569)*0.2406</f>
        <v>20622.727431000003</v>
      </c>
      <c r="G604" s="201"/>
      <c r="H604" s="201">
        <f>+(H564+H569)*0.2695/2+(H564+H569)*0.2679/2</f>
        <v>0</v>
      </c>
      <c r="I604" s="4">
        <f>J604-H604</f>
        <v>0</v>
      </c>
      <c r="J604" s="201">
        <f>(J564+J569)*0.2679/2+(J564+J569)*0.3/2</f>
        <v>0</v>
      </c>
      <c r="K604" s="6">
        <f>K599</f>
        <v>0</v>
      </c>
      <c r="L604" s="5">
        <f>J604*(1-K604)</f>
        <v>0</v>
      </c>
      <c r="M604" s="6">
        <f>M599</f>
        <v>0</v>
      </c>
      <c r="N604" s="203">
        <f>L604*M604</f>
        <v>0</v>
      </c>
      <c r="P604" s="201">
        <f t="shared" si="258"/>
        <v>0</v>
      </c>
    </row>
    <row r="605" spans="2:17" x14ac:dyDescent="0.35">
      <c r="D605" s="184" t="s">
        <v>256</v>
      </c>
      <c r="F605" s="201">
        <f>(F565+F570)*0.2695/2+(F565+F570)*0.2406</f>
        <v>19666.921177</v>
      </c>
      <c r="G605" s="201"/>
      <c r="H605" s="201">
        <f>+(H565+H570)*0.2695/2+(H565+H570)*0.2679/2</f>
        <v>12315.672822621851</v>
      </c>
      <c r="I605" s="4">
        <f>J605-H605</f>
        <v>2130.5838977415879</v>
      </c>
      <c r="J605" s="201">
        <f>(J565+J570)*0.2679/2+(J565+J570)*0.3/2</f>
        <v>14446.256720363439</v>
      </c>
      <c r="K605" s="6">
        <f>K600</f>
        <v>0</v>
      </c>
      <c r="L605" s="5">
        <f>J605*(1-K605)</f>
        <v>14446.256720363439</v>
      </c>
      <c r="M605" s="6">
        <f>M600</f>
        <v>0.02</v>
      </c>
      <c r="N605" s="203">
        <f>L605*M605</f>
        <v>288.92513440726879</v>
      </c>
      <c r="P605" s="201">
        <f t="shared" si="258"/>
        <v>288.92513440726879</v>
      </c>
    </row>
    <row r="606" spans="2:17" x14ac:dyDescent="0.35">
      <c r="Q606" s="183"/>
    </row>
    <row r="607" spans="2:17" x14ac:dyDescent="0.35">
      <c r="B607" s="183" t="s">
        <v>257</v>
      </c>
      <c r="C607" s="183"/>
      <c r="D607" s="183"/>
      <c r="F607" s="216">
        <f>SUM(F563:F606)</f>
        <v>257278.95528450003</v>
      </c>
      <c r="G607" s="216"/>
      <c r="H607" s="237">
        <f>SUM(H563:H606)</f>
        <v>162070.62274041274</v>
      </c>
      <c r="I607" s="216">
        <f>SUM(I563:I606)</f>
        <v>18831.247380521443</v>
      </c>
      <c r="J607" s="216">
        <f>SUM(J563:J606)</f>
        <v>180901.87012093421</v>
      </c>
      <c r="L607" s="216">
        <f>SUM(L563:L606)</f>
        <v>180901.87012093421</v>
      </c>
      <c r="N607" s="216">
        <f>SUM(N563:N606)</f>
        <v>3412.5350024186837</v>
      </c>
      <c r="O607" s="216">
        <f t="shared" ref="O607:P607" si="259">SUM(O563:O606)</f>
        <v>0</v>
      </c>
      <c r="P607" s="216">
        <f t="shared" si="259"/>
        <v>3412.5350024186837</v>
      </c>
      <c r="Q607" s="217"/>
    </row>
    <row r="608" spans="2:17" x14ac:dyDescent="0.35">
      <c r="I608" s="13">
        <f>I607*N608</f>
        <v>355.2328717346856</v>
      </c>
      <c r="J608" s="201"/>
      <c r="K608" s="201"/>
      <c r="L608" s="201"/>
      <c r="N608" s="6">
        <f>N607/L607</f>
        <v>1.886401174370049E-2</v>
      </c>
    </row>
    <row r="609" spans="2:16" x14ac:dyDescent="0.35">
      <c r="I609" s="7" t="s">
        <v>70</v>
      </c>
      <c r="J609" s="201"/>
      <c r="K609" s="201"/>
      <c r="L609" s="201"/>
      <c r="N609" s="6"/>
    </row>
    <row r="611" spans="2:16" ht="6" customHeight="1" x14ac:dyDescent="0.35">
      <c r="E611" s="199"/>
      <c r="F611" s="201"/>
      <c r="G611" s="201"/>
      <c r="H611" s="201"/>
      <c r="I611" s="4"/>
      <c r="J611" s="201"/>
      <c r="K611" s="201"/>
      <c r="L611" s="201"/>
    </row>
    <row r="613" spans="2:16" ht="15" customHeight="1" x14ac:dyDescent="0.35">
      <c r="B613" s="183"/>
      <c r="C613" s="183"/>
    </row>
    <row r="614" spans="2:16" ht="15" customHeight="1" x14ac:dyDescent="0.35">
      <c r="B614" s="183"/>
      <c r="C614" s="183"/>
    </row>
    <row r="615" spans="2:16" ht="15" customHeight="1" x14ac:dyDescent="0.35">
      <c r="C615" s="183"/>
      <c r="J615" s="185"/>
      <c r="K615" s="185"/>
      <c r="L615" s="185"/>
      <c r="N615" s="185"/>
    </row>
    <row r="616" spans="2:16" ht="15" customHeight="1" x14ac:dyDescent="0.35"/>
    <row r="617" spans="2:16" ht="41.65" customHeight="1" x14ac:dyDescent="0.35">
      <c r="F617" s="186">
        <v>2021</v>
      </c>
      <c r="G617" s="187"/>
      <c r="H617" s="186">
        <v>2022</v>
      </c>
      <c r="I617" s="188"/>
      <c r="J617" s="220">
        <v>2023</v>
      </c>
      <c r="K617" s="188"/>
      <c r="L617" s="188"/>
      <c r="M617" s="190" t="s">
        <v>49</v>
      </c>
      <c r="N617" s="191"/>
    </row>
    <row r="618" spans="2:16" ht="38.65" customHeight="1" x14ac:dyDescent="0.35">
      <c r="C618" s="192"/>
      <c r="D618" s="193"/>
      <c r="E618" s="194" t="s">
        <v>42</v>
      </c>
      <c r="F618" s="195" t="s">
        <v>30</v>
      </c>
      <c r="G618" s="196" t="s">
        <v>236</v>
      </c>
      <c r="H618" s="195" t="s">
        <v>0</v>
      </c>
      <c r="I618" s="195" t="s">
        <v>22</v>
      </c>
      <c r="J618" s="198" t="s">
        <v>23</v>
      </c>
      <c r="K618" s="198" t="s">
        <v>56</v>
      </c>
      <c r="L618" s="198" t="s">
        <v>57</v>
      </c>
      <c r="M618" s="196" t="s">
        <v>50</v>
      </c>
      <c r="N618" s="196" t="s">
        <v>51</v>
      </c>
      <c r="O618" s="196" t="s">
        <v>897</v>
      </c>
      <c r="P618" s="196" t="s">
        <v>949</v>
      </c>
    </row>
    <row r="619" spans="2:16" x14ac:dyDescent="0.35">
      <c r="B619" s="183" t="s">
        <v>258</v>
      </c>
      <c r="C619" s="192"/>
      <c r="D619" s="193"/>
      <c r="E619" s="224"/>
      <c r="F619" s="225"/>
      <c r="G619" s="226"/>
      <c r="H619" s="225"/>
      <c r="I619" s="225"/>
      <c r="J619" s="225"/>
      <c r="K619" s="225"/>
      <c r="L619" s="225"/>
      <c r="M619" s="226"/>
      <c r="N619" s="226"/>
      <c r="O619" s="226"/>
      <c r="P619" s="226"/>
    </row>
    <row r="620" spans="2:16" x14ac:dyDescent="0.35">
      <c r="C620" s="184" t="s">
        <v>38</v>
      </c>
      <c r="K620" s="201"/>
      <c r="L620" s="201"/>
    </row>
    <row r="621" spans="2:16" x14ac:dyDescent="0.35">
      <c r="D621" s="184" t="s">
        <v>259</v>
      </c>
      <c r="E621" s="199">
        <v>40</v>
      </c>
      <c r="F621" s="201">
        <f>52996.63-202.28</f>
        <v>52794.35</v>
      </c>
      <c r="G621" s="221">
        <v>22.35</v>
      </c>
      <c r="H621" s="201">
        <v>48214.51</v>
      </c>
      <c r="I621" s="4">
        <f>H621*0.11</f>
        <v>5303.5961000000007</v>
      </c>
      <c r="J621" s="201">
        <f>H621+I621</f>
        <v>53518.106100000005</v>
      </c>
      <c r="K621" s="6">
        <v>0</v>
      </c>
      <c r="L621" s="5">
        <f>J621*(1-K621)</f>
        <v>53518.106100000005</v>
      </c>
      <c r="M621" s="6">
        <v>1</v>
      </c>
      <c r="N621" s="203">
        <f>L621*M621</f>
        <v>53518.106100000005</v>
      </c>
      <c r="P621" s="201">
        <f t="shared" ref="P621:P623" si="260">+N621+O621</f>
        <v>53518.106100000005</v>
      </c>
    </row>
    <row r="622" spans="2:16" x14ac:dyDescent="0.35">
      <c r="D622" s="184" t="s">
        <v>259</v>
      </c>
      <c r="E622" s="199">
        <v>40</v>
      </c>
      <c r="F622" s="201">
        <f>51717.71-130.29</f>
        <v>51587.42</v>
      </c>
      <c r="G622" s="221">
        <v>22</v>
      </c>
      <c r="H622" s="201">
        <f>G622*2080</f>
        <v>45760</v>
      </c>
      <c r="I622" s="4">
        <f>H622*0.11</f>
        <v>5033.6000000000004</v>
      </c>
      <c r="J622" s="201">
        <f>H622+I622</f>
        <v>50793.599999999999</v>
      </c>
      <c r="K622" s="6">
        <v>0</v>
      </c>
      <c r="L622" s="5">
        <f>J622*(1-K622)</f>
        <v>50793.599999999999</v>
      </c>
      <c r="M622" s="6">
        <v>1</v>
      </c>
      <c r="N622" s="203">
        <f>L622*M622</f>
        <v>50793.599999999999</v>
      </c>
      <c r="P622" s="201">
        <f t="shared" si="260"/>
        <v>50793.599999999999</v>
      </c>
    </row>
    <row r="623" spans="2:16" x14ac:dyDescent="0.35">
      <c r="D623" s="184" t="s">
        <v>259</v>
      </c>
      <c r="E623" s="199">
        <v>40</v>
      </c>
      <c r="F623" s="201">
        <f>44061.82-17.62</f>
        <v>44044.2</v>
      </c>
      <c r="G623" s="221">
        <v>22.57</v>
      </c>
      <c r="H623" s="201">
        <v>48104.91</v>
      </c>
      <c r="I623" s="4">
        <f>H623*0.11</f>
        <v>5291.5401000000002</v>
      </c>
      <c r="J623" s="201">
        <f>H623+I623</f>
        <v>53396.450100000002</v>
      </c>
      <c r="K623" s="6">
        <v>0</v>
      </c>
      <c r="L623" s="5">
        <f>J623*(1-K623)</f>
        <v>53396.450100000002</v>
      </c>
      <c r="M623" s="6">
        <v>1</v>
      </c>
      <c r="N623" s="203">
        <f>L623*M623</f>
        <v>53396.450100000002</v>
      </c>
      <c r="P623" s="201">
        <f t="shared" si="260"/>
        <v>53396.450100000002</v>
      </c>
    </row>
    <row r="624" spans="2:16" x14ac:dyDescent="0.35">
      <c r="E624" s="199"/>
      <c r="F624" s="201"/>
      <c r="G624" s="201"/>
      <c r="H624" s="201"/>
      <c r="I624" s="4"/>
      <c r="J624" s="201"/>
      <c r="K624" s="6"/>
      <c r="L624" s="5"/>
      <c r="M624" s="6"/>
      <c r="N624" s="203"/>
    </row>
    <row r="625" spans="3:16" x14ac:dyDescent="0.35">
      <c r="C625" s="184" t="s">
        <v>66</v>
      </c>
      <c r="E625" s="199"/>
      <c r="F625" s="201"/>
      <c r="G625" s="201"/>
      <c r="H625" s="201"/>
      <c r="I625" s="4"/>
      <c r="J625" s="201"/>
      <c r="K625" s="201"/>
      <c r="L625" s="201"/>
    </row>
    <row r="626" spans="3:16" x14ac:dyDescent="0.35">
      <c r="D626" s="184" t="s">
        <v>259</v>
      </c>
      <c r="E626" s="199"/>
      <c r="F626" s="201">
        <v>202.28</v>
      </c>
      <c r="G626" s="201"/>
      <c r="H626" s="201">
        <v>919.97</v>
      </c>
      <c r="I626" s="4">
        <f>H626*0.11</f>
        <v>101.19670000000001</v>
      </c>
      <c r="J626" s="201">
        <f>H626+I626</f>
        <v>1021.1667</v>
      </c>
      <c r="K626" s="6">
        <f>K621</f>
        <v>0</v>
      </c>
      <c r="L626" s="5">
        <f>J626*(1-K626)</f>
        <v>1021.1667</v>
      </c>
      <c r="M626" s="6">
        <f>M621</f>
        <v>1</v>
      </c>
      <c r="N626" s="203">
        <f>L626*M626</f>
        <v>1021.1667</v>
      </c>
      <c r="P626" s="201">
        <f t="shared" ref="P626:P628" si="261">+N626+O626</f>
        <v>1021.1667</v>
      </c>
    </row>
    <row r="627" spans="3:16" x14ac:dyDescent="0.35">
      <c r="D627" s="184" t="s">
        <v>259</v>
      </c>
      <c r="E627" s="199"/>
      <c r="F627" s="201">
        <v>130.29</v>
      </c>
      <c r="G627" s="201"/>
      <c r="H627" s="201">
        <f>350.57/30574.61*H622</f>
        <v>524.68643753755157</v>
      </c>
      <c r="I627" s="4">
        <f>H627*0.11</f>
        <v>57.715508129130676</v>
      </c>
      <c r="J627" s="201">
        <f t="shared" ref="J627:J628" si="262">H627+I627</f>
        <v>582.4019456666822</v>
      </c>
      <c r="K627" s="6">
        <f>K622</f>
        <v>0</v>
      </c>
      <c r="L627" s="5">
        <f>J627*(1-K627)</f>
        <v>582.4019456666822</v>
      </c>
      <c r="M627" s="6">
        <f>M622</f>
        <v>1</v>
      </c>
      <c r="N627" s="203">
        <f>L627*M627</f>
        <v>582.4019456666822</v>
      </c>
      <c r="P627" s="201">
        <f t="shared" si="261"/>
        <v>582.4019456666822</v>
      </c>
    </row>
    <row r="628" spans="3:16" x14ac:dyDescent="0.35">
      <c r="D628" s="184" t="s">
        <v>259</v>
      </c>
      <c r="E628" s="199"/>
      <c r="F628" s="201">
        <v>17.62</v>
      </c>
      <c r="G628" s="201"/>
      <c r="H628" s="201">
        <v>410.46</v>
      </c>
      <c r="I628" s="4">
        <f>H628*0.11</f>
        <v>45.150599999999997</v>
      </c>
      <c r="J628" s="201">
        <f t="shared" si="262"/>
        <v>455.61059999999998</v>
      </c>
      <c r="K628" s="6">
        <f>K623</f>
        <v>0</v>
      </c>
      <c r="L628" s="5">
        <f>J628*(1-K628)</f>
        <v>455.61059999999998</v>
      </c>
      <c r="M628" s="6">
        <f>M623</f>
        <v>1</v>
      </c>
      <c r="N628" s="203">
        <f>L628*M628</f>
        <v>455.61059999999998</v>
      </c>
      <c r="P628" s="201">
        <f t="shared" si="261"/>
        <v>455.61059999999998</v>
      </c>
    </row>
    <row r="629" spans="3:16" x14ac:dyDescent="0.35">
      <c r="E629" s="199"/>
      <c r="F629" s="201"/>
      <c r="G629" s="201"/>
      <c r="H629" s="201"/>
      <c r="I629" s="4"/>
      <c r="J629" s="201"/>
      <c r="K629" s="201"/>
      <c r="L629" s="201"/>
    </row>
    <row r="630" spans="3:16" x14ac:dyDescent="0.35">
      <c r="C630" s="184" t="s">
        <v>67</v>
      </c>
      <c r="E630" s="199"/>
      <c r="F630" s="201"/>
      <c r="G630" s="201"/>
      <c r="H630" s="201"/>
      <c r="I630" s="4"/>
      <c r="J630" s="201"/>
      <c r="K630" s="201"/>
      <c r="L630" s="201"/>
    </row>
    <row r="631" spans="3:16" x14ac:dyDescent="0.35">
      <c r="D631" s="184" t="s">
        <v>259</v>
      </c>
      <c r="E631" s="199"/>
      <c r="F631" s="201">
        <f>552.37*12</f>
        <v>6628.4400000000005</v>
      </c>
      <c r="G631" s="201"/>
      <c r="H631" s="201">
        <f>591.04*12</f>
        <v>7092.48</v>
      </c>
      <c r="I631" s="4">
        <f>J631-H631</f>
        <v>141.84000000000015</v>
      </c>
      <c r="J631" s="201">
        <f>602.86*12</f>
        <v>7234.32</v>
      </c>
      <c r="K631" s="6">
        <f>K626</f>
        <v>0</v>
      </c>
      <c r="L631" s="5">
        <f>J631*(1-K631)</f>
        <v>7234.32</v>
      </c>
      <c r="M631" s="6">
        <f>M626</f>
        <v>1</v>
      </c>
      <c r="N631" s="203">
        <f>L631*M631</f>
        <v>7234.32</v>
      </c>
      <c r="O631" s="205">
        <f>-N631*$T$26</f>
        <v>0</v>
      </c>
      <c r="P631" s="201">
        <f t="shared" ref="P631:P633" si="263">+N631+O631</f>
        <v>7234.32</v>
      </c>
    </row>
    <row r="632" spans="3:16" x14ac:dyDescent="0.35">
      <c r="D632" s="184" t="s">
        <v>259</v>
      </c>
      <c r="E632" s="199"/>
      <c r="F632" s="201">
        <f>552.37*12</f>
        <v>6628.4400000000005</v>
      </c>
      <c r="G632" s="201"/>
      <c r="H632" s="201">
        <f>591.04*12</f>
        <v>7092.48</v>
      </c>
      <c r="I632" s="4">
        <f>J632-H632</f>
        <v>141.84000000000015</v>
      </c>
      <c r="J632" s="201">
        <f>602.86*12</f>
        <v>7234.32</v>
      </c>
      <c r="K632" s="6">
        <f>K627</f>
        <v>0</v>
      </c>
      <c r="L632" s="5">
        <f>J632*(1-K632)</f>
        <v>7234.32</v>
      </c>
      <c r="M632" s="6">
        <f>M627</f>
        <v>1</v>
      </c>
      <c r="N632" s="203">
        <f>L632*M632</f>
        <v>7234.32</v>
      </c>
      <c r="O632" s="205">
        <f>-N632*$T$26</f>
        <v>0</v>
      </c>
      <c r="P632" s="201">
        <f t="shared" si="263"/>
        <v>7234.32</v>
      </c>
    </row>
    <row r="633" spans="3:16" x14ac:dyDescent="0.35">
      <c r="D633" s="184" t="s">
        <v>259</v>
      </c>
      <c r="E633" s="199"/>
      <c r="F633" s="201">
        <f>552.37*12</f>
        <v>6628.4400000000005</v>
      </c>
      <c r="G633" s="201"/>
      <c r="H633" s="201">
        <f>591.04*12</f>
        <v>7092.48</v>
      </c>
      <c r="I633" s="4">
        <f>J633-H633</f>
        <v>141.84000000000015</v>
      </c>
      <c r="J633" s="201">
        <f>602.86*12</f>
        <v>7234.32</v>
      </c>
      <c r="K633" s="6">
        <f>K628</f>
        <v>0</v>
      </c>
      <c r="L633" s="5">
        <f>J633*(1-K633)</f>
        <v>7234.32</v>
      </c>
      <c r="M633" s="6">
        <f>M628</f>
        <v>1</v>
      </c>
      <c r="N633" s="203">
        <f>L633*M633</f>
        <v>7234.32</v>
      </c>
      <c r="O633" s="205">
        <f>-N633*$T$26</f>
        <v>0</v>
      </c>
      <c r="P633" s="201">
        <f t="shared" si="263"/>
        <v>7234.32</v>
      </c>
    </row>
    <row r="634" spans="3:16" x14ac:dyDescent="0.35">
      <c r="E634" s="199"/>
      <c r="F634" s="201"/>
      <c r="G634" s="201"/>
      <c r="H634" s="201"/>
      <c r="I634" s="4"/>
      <c r="J634" s="201"/>
      <c r="K634" s="201"/>
      <c r="L634" s="201"/>
    </row>
    <row r="635" spans="3:16" x14ac:dyDescent="0.35">
      <c r="C635" s="184" t="s">
        <v>68</v>
      </c>
      <c r="E635" s="199"/>
      <c r="F635" s="201"/>
      <c r="G635" s="201"/>
      <c r="H635" s="201"/>
      <c r="I635" s="4"/>
      <c r="J635" s="201"/>
      <c r="K635" s="201"/>
      <c r="L635" s="201"/>
    </row>
    <row r="636" spans="3:16" x14ac:dyDescent="0.35">
      <c r="D636" s="184" t="s">
        <v>259</v>
      </c>
      <c r="E636" s="199"/>
      <c r="F636" s="201">
        <v>1000.56</v>
      </c>
      <c r="G636" s="201"/>
      <c r="H636" s="201">
        <v>1076.93</v>
      </c>
      <c r="I636" s="4">
        <f>H636*(1-1.01)</f>
        <v>-10.76930000000001</v>
      </c>
      <c r="J636" s="201">
        <f>H636+I636</f>
        <v>1066.1607000000001</v>
      </c>
      <c r="K636" s="6">
        <f>K631</f>
        <v>0</v>
      </c>
      <c r="L636" s="5">
        <f>J636*(1-K636)</f>
        <v>1066.1607000000001</v>
      </c>
      <c r="M636" s="6">
        <f>M631</f>
        <v>1</v>
      </c>
      <c r="N636" s="203">
        <f>L636*M636</f>
        <v>1066.1607000000001</v>
      </c>
      <c r="P636" s="201">
        <f t="shared" ref="P636:P638" si="264">+N636+O636</f>
        <v>1066.1607000000001</v>
      </c>
    </row>
    <row r="637" spans="3:16" x14ac:dyDescent="0.35">
      <c r="D637" s="184" t="s">
        <v>259</v>
      </c>
      <c r="E637" s="199"/>
      <c r="F637" s="201">
        <v>1025.83</v>
      </c>
      <c r="G637" s="201"/>
      <c r="H637" s="201">
        <v>1066.01</v>
      </c>
      <c r="I637" s="4">
        <f>H637*(1-1.01)</f>
        <v>-10.660100000000009</v>
      </c>
      <c r="J637" s="201">
        <f>H637+I637</f>
        <v>1055.3498999999999</v>
      </c>
      <c r="K637" s="6">
        <f>K632</f>
        <v>0</v>
      </c>
      <c r="L637" s="5">
        <f>J637*(1-K637)</f>
        <v>1055.3498999999999</v>
      </c>
      <c r="M637" s="6">
        <f>M632</f>
        <v>1</v>
      </c>
      <c r="N637" s="203">
        <f>L637*M637</f>
        <v>1055.3498999999999</v>
      </c>
      <c r="P637" s="201">
        <f t="shared" si="264"/>
        <v>1055.3498999999999</v>
      </c>
    </row>
    <row r="638" spans="3:16" x14ac:dyDescent="0.35">
      <c r="D638" s="184" t="s">
        <v>259</v>
      </c>
      <c r="E638" s="199"/>
      <c r="F638" s="201">
        <v>878.59</v>
      </c>
      <c r="G638" s="201"/>
      <c r="H638" s="201">
        <v>1076.93</v>
      </c>
      <c r="I638" s="4">
        <f>H638*(1-1.01)</f>
        <v>-10.76930000000001</v>
      </c>
      <c r="J638" s="201">
        <f>H638+I638</f>
        <v>1066.1607000000001</v>
      </c>
      <c r="K638" s="6">
        <f>K633</f>
        <v>0</v>
      </c>
      <c r="L638" s="5">
        <f>J638*(1-K638)</f>
        <v>1066.1607000000001</v>
      </c>
      <c r="M638" s="6">
        <f>M633</f>
        <v>1</v>
      </c>
      <c r="N638" s="203">
        <f>L638*M638</f>
        <v>1066.1607000000001</v>
      </c>
      <c r="P638" s="201">
        <f t="shared" si="264"/>
        <v>1066.1607000000001</v>
      </c>
    </row>
    <row r="639" spans="3:16" x14ac:dyDescent="0.35">
      <c r="E639" s="199"/>
      <c r="F639" s="201"/>
      <c r="G639" s="201"/>
      <c r="H639" s="201"/>
      <c r="I639" s="4"/>
      <c r="J639" s="201"/>
      <c r="K639" s="201"/>
      <c r="L639" s="201"/>
    </row>
    <row r="640" spans="3:16" x14ac:dyDescent="0.35">
      <c r="C640" s="184" t="s">
        <v>53</v>
      </c>
      <c r="E640" s="199"/>
      <c r="F640" s="201"/>
      <c r="G640" s="201"/>
      <c r="H640" s="201"/>
      <c r="I640" s="4"/>
      <c r="J640" s="201"/>
      <c r="K640" s="201"/>
      <c r="L640" s="201"/>
    </row>
    <row r="641" spans="3:19" x14ac:dyDescent="0.35">
      <c r="D641" s="184" t="s">
        <v>259</v>
      </c>
      <c r="E641" s="199"/>
      <c r="F641" s="201">
        <f>27.28*12</f>
        <v>327.36</v>
      </c>
      <c r="G641" s="201"/>
      <c r="H641" s="201">
        <f>27.28*12</f>
        <v>327.36</v>
      </c>
      <c r="I641" s="4">
        <f>J641-H641</f>
        <v>13.439999999999941</v>
      </c>
      <c r="J641" s="201">
        <f>+(22.11+6.29)*12</f>
        <v>340.79999999999995</v>
      </c>
      <c r="K641" s="6">
        <f>K636</f>
        <v>0</v>
      </c>
      <c r="L641" s="5">
        <f>J641*(1-K641)</f>
        <v>340.79999999999995</v>
      </c>
      <c r="M641" s="6">
        <f>M636</f>
        <v>1</v>
      </c>
      <c r="N641" s="203">
        <f>L641*M641</f>
        <v>340.79999999999995</v>
      </c>
      <c r="O641" s="205">
        <f>-N641*$T$27</f>
        <v>0</v>
      </c>
      <c r="P641" s="201">
        <f t="shared" ref="P641:P643" si="265">+N641+O641</f>
        <v>340.79999999999995</v>
      </c>
    </row>
    <row r="642" spans="3:19" x14ac:dyDescent="0.35">
      <c r="D642" s="184" t="s">
        <v>259</v>
      </c>
      <c r="E642" s="199"/>
      <c r="F642" s="201">
        <f>27.28*12</f>
        <v>327.36</v>
      </c>
      <c r="G642" s="201"/>
      <c r="H642" s="201">
        <f>27.28*12</f>
        <v>327.36</v>
      </c>
      <c r="I642" s="4">
        <f>J642-H642</f>
        <v>13.439999999999941</v>
      </c>
      <c r="J642" s="201">
        <f>+(22.11+6.29)*12</f>
        <v>340.79999999999995</v>
      </c>
      <c r="K642" s="6">
        <f>K637</f>
        <v>0</v>
      </c>
      <c r="L642" s="5">
        <f>J642*(1-K642)</f>
        <v>340.79999999999995</v>
      </c>
      <c r="M642" s="6">
        <f>M637</f>
        <v>1</v>
      </c>
      <c r="N642" s="203">
        <f>L642*M642</f>
        <v>340.79999999999995</v>
      </c>
      <c r="O642" s="205">
        <f>-N642*$T$27</f>
        <v>0</v>
      </c>
      <c r="P642" s="201">
        <f t="shared" si="265"/>
        <v>340.79999999999995</v>
      </c>
    </row>
    <row r="643" spans="3:19" x14ac:dyDescent="0.35">
      <c r="D643" s="184" t="s">
        <v>259</v>
      </c>
      <c r="E643" s="199"/>
      <c r="F643" s="201">
        <f>27.28*12</f>
        <v>327.36</v>
      </c>
      <c r="G643" s="201"/>
      <c r="H643" s="201">
        <f>27.28*12</f>
        <v>327.36</v>
      </c>
      <c r="I643" s="4">
        <f>J643-H643</f>
        <v>13.439999999999941</v>
      </c>
      <c r="J643" s="201">
        <f>+(22.11+6.29)*12</f>
        <v>340.79999999999995</v>
      </c>
      <c r="K643" s="6">
        <f>K638</f>
        <v>0</v>
      </c>
      <c r="L643" s="5">
        <f>J643*(1-K643)</f>
        <v>340.79999999999995</v>
      </c>
      <c r="M643" s="6">
        <f>M638</f>
        <v>1</v>
      </c>
      <c r="N643" s="203">
        <f>L643*M643</f>
        <v>340.79999999999995</v>
      </c>
      <c r="O643" s="205">
        <f>-N643*$T$27</f>
        <v>0</v>
      </c>
      <c r="P643" s="201">
        <f t="shared" si="265"/>
        <v>340.79999999999995</v>
      </c>
    </row>
    <row r="644" spans="3:19" x14ac:dyDescent="0.35">
      <c r="E644" s="199"/>
      <c r="F644" s="201"/>
      <c r="G644" s="201"/>
      <c r="H644" s="201"/>
      <c r="I644" s="4"/>
      <c r="J644" s="201"/>
      <c r="K644" s="201"/>
      <c r="L644" s="201"/>
    </row>
    <row r="645" spans="3:19" x14ac:dyDescent="0.35">
      <c r="C645" s="184" t="s">
        <v>54</v>
      </c>
      <c r="S645" s="214"/>
    </row>
    <row r="646" spans="3:19" x14ac:dyDescent="0.35">
      <c r="D646" s="184" t="s">
        <v>259</v>
      </c>
      <c r="F646" s="201">
        <f>50.95*12</f>
        <v>611.40000000000009</v>
      </c>
      <c r="G646" s="201"/>
      <c r="H646" s="201">
        <f>36.89*12</f>
        <v>442.68</v>
      </c>
      <c r="I646" s="4">
        <f>J646-H646</f>
        <v>220.60703676000008</v>
      </c>
      <c r="J646" s="211">
        <f>ROUNDUP((J621+J626)*3,-3)*(0.16/1000*12)+ROUNDUP((J621+J626)*3,-3)*(0.026/1000*12)+(((J621+J626)*0.545/100/12)*12)</f>
        <v>663.28703676000009</v>
      </c>
      <c r="K646" s="6">
        <f>K641</f>
        <v>0</v>
      </c>
      <c r="L646" s="5">
        <f>J646*(1-K646)</f>
        <v>663.28703676000009</v>
      </c>
      <c r="M646" s="6">
        <f>M641</f>
        <v>1</v>
      </c>
      <c r="N646" s="203">
        <f>L646*M646</f>
        <v>663.28703676000009</v>
      </c>
      <c r="P646" s="201">
        <f t="shared" ref="P646:P648" si="266">+N646+O646</f>
        <v>663.28703676000009</v>
      </c>
    </row>
    <row r="647" spans="3:19" x14ac:dyDescent="0.35">
      <c r="D647" s="184" t="s">
        <v>259</v>
      </c>
      <c r="F647" s="201">
        <f>42.45*12</f>
        <v>509.40000000000003</v>
      </c>
      <c r="G647" s="201"/>
      <c r="H647" s="201">
        <f>45.75*12</f>
        <v>549</v>
      </c>
      <c r="I647" s="4">
        <f>J647-H647</f>
        <v>76.959210603883434</v>
      </c>
      <c r="J647" s="211">
        <f t="shared" ref="J647:J648" si="267">ROUNDUP((J622+J627)*3,-3)*(0.16/1000*12)+ROUNDUP((J622+J627)*3,-3)*(0.026/1000*12)+(((J622+J627)*0.545/100/12)*12)</f>
        <v>625.95921060388343</v>
      </c>
      <c r="K647" s="6">
        <f>K642</f>
        <v>0</v>
      </c>
      <c r="L647" s="5">
        <f>J647*(1-K647)</f>
        <v>625.95921060388343</v>
      </c>
      <c r="M647" s="6">
        <f>M642</f>
        <v>1</v>
      </c>
      <c r="N647" s="203">
        <f>L647*M647</f>
        <v>625.95921060388343</v>
      </c>
      <c r="P647" s="201">
        <f t="shared" si="266"/>
        <v>625.95921060388343</v>
      </c>
    </row>
    <row r="648" spans="3:19" x14ac:dyDescent="0.35">
      <c r="D648" s="184" t="s">
        <v>259</v>
      </c>
      <c r="F648" s="201">
        <f>49.67*12</f>
        <v>596.04</v>
      </c>
      <c r="G648" s="201"/>
      <c r="H648" s="201">
        <f>46.14*12</f>
        <v>553.68000000000006</v>
      </c>
      <c r="I648" s="4">
        <f>J648-H648</f>
        <v>101.39773081499993</v>
      </c>
      <c r="J648" s="211">
        <f t="shared" si="267"/>
        <v>655.077730815</v>
      </c>
      <c r="K648" s="6">
        <f>K643</f>
        <v>0</v>
      </c>
      <c r="L648" s="5">
        <f>J648*(1-K648)</f>
        <v>655.077730815</v>
      </c>
      <c r="M648" s="6">
        <f>M643</f>
        <v>1</v>
      </c>
      <c r="N648" s="203">
        <f>L648*M648</f>
        <v>655.077730815</v>
      </c>
      <c r="P648" s="201">
        <f t="shared" si="266"/>
        <v>655.077730815</v>
      </c>
    </row>
    <row r="649" spans="3:19" x14ac:dyDescent="0.35">
      <c r="F649" s="201"/>
      <c r="G649" s="201"/>
      <c r="H649" s="201"/>
    </row>
    <row r="650" spans="3:19" x14ac:dyDescent="0.35">
      <c r="C650" s="184" t="s">
        <v>162</v>
      </c>
      <c r="F650" s="201"/>
      <c r="G650" s="201"/>
      <c r="H650" s="201"/>
    </row>
    <row r="651" spans="3:19" x14ac:dyDescent="0.35">
      <c r="D651" s="184" t="s">
        <v>259</v>
      </c>
      <c r="F651" s="201">
        <f>(F621+F626)*0.0765</f>
        <v>4054.2421949999998</v>
      </c>
      <c r="G651" s="201"/>
      <c r="H651" s="201">
        <f>+(H621+H626)*0.0765</f>
        <v>3758.7877200000003</v>
      </c>
      <c r="I651" s="4">
        <f>J651-H651</f>
        <v>413.46664920000057</v>
      </c>
      <c r="J651" s="201">
        <f>(J621+J626)*0.0765</f>
        <v>4172.2543692000008</v>
      </c>
      <c r="K651" s="6">
        <f>K646</f>
        <v>0</v>
      </c>
      <c r="L651" s="5">
        <f>J651*(1-K651)</f>
        <v>4172.2543692000008</v>
      </c>
      <c r="M651" s="6">
        <f>M646</f>
        <v>1</v>
      </c>
      <c r="N651" s="203">
        <f>L651*M651</f>
        <v>4172.2543692000008</v>
      </c>
      <c r="P651" s="201">
        <f t="shared" ref="P651:P653" si="268">+N651+O651</f>
        <v>4172.2543692000008</v>
      </c>
    </row>
    <row r="652" spans="3:19" x14ac:dyDescent="0.35">
      <c r="D652" s="184" t="s">
        <v>259</v>
      </c>
      <c r="F652" s="201">
        <f>(F622+F627)*0.0765</f>
        <v>3956.4048149999999</v>
      </c>
      <c r="G652" s="201"/>
      <c r="H652" s="201">
        <f>+(H622+H627)*0.0765</f>
        <v>3540.7785124716224</v>
      </c>
      <c r="I652" s="4">
        <f>J652-H652</f>
        <v>389.48563637187817</v>
      </c>
      <c r="J652" s="201">
        <f>(J622+J627)*0.0765</f>
        <v>3930.2641488435006</v>
      </c>
      <c r="K652" s="6">
        <f>K647</f>
        <v>0</v>
      </c>
      <c r="L652" s="5">
        <f>J652*(1-K652)</f>
        <v>3930.2641488435006</v>
      </c>
      <c r="M652" s="6">
        <f>M647</f>
        <v>1</v>
      </c>
      <c r="N652" s="203">
        <f>L652*M652</f>
        <v>3930.2641488435006</v>
      </c>
      <c r="P652" s="201">
        <f t="shared" si="268"/>
        <v>3930.2641488435006</v>
      </c>
    </row>
    <row r="653" spans="3:19" x14ac:dyDescent="0.35">
      <c r="D653" s="184" t="s">
        <v>259</v>
      </c>
      <c r="F653" s="201">
        <f>(F623+F628)*0.0765</f>
        <v>3370.7292299999999</v>
      </c>
      <c r="G653" s="201"/>
      <c r="H653" s="201">
        <f>+(H623+H628)*0.0765</f>
        <v>3711.4258050000003</v>
      </c>
      <c r="I653" s="4">
        <f>J653-H653</f>
        <v>408.25683854999943</v>
      </c>
      <c r="J653" s="201">
        <f>(J623+J628)*0.0765</f>
        <v>4119.6826435499997</v>
      </c>
      <c r="K653" s="6">
        <f>K648</f>
        <v>0</v>
      </c>
      <c r="L653" s="5">
        <f>J653*(1-K653)</f>
        <v>4119.6826435499997</v>
      </c>
      <c r="M653" s="6">
        <f>M648</f>
        <v>1</v>
      </c>
      <c r="N653" s="203">
        <f>L653*M653</f>
        <v>4119.6826435499997</v>
      </c>
      <c r="P653" s="201">
        <f t="shared" si="268"/>
        <v>4119.6826435499997</v>
      </c>
    </row>
    <row r="654" spans="3:19" x14ac:dyDescent="0.35">
      <c r="F654" s="201"/>
      <c r="G654" s="201"/>
      <c r="H654" s="201"/>
    </row>
    <row r="655" spans="3:19" x14ac:dyDescent="0.35">
      <c r="C655" s="184" t="s">
        <v>244</v>
      </c>
      <c r="F655" s="201"/>
      <c r="G655" s="201"/>
      <c r="H655" s="201"/>
    </row>
    <row r="656" spans="3:19" x14ac:dyDescent="0.35">
      <c r="D656" s="184" t="s">
        <v>259</v>
      </c>
      <c r="F656" s="201">
        <f>172*12</f>
        <v>2064</v>
      </c>
      <c r="G656" s="201"/>
      <c r="H656" s="201">
        <f>172*12</f>
        <v>2064</v>
      </c>
      <c r="I656" s="4">
        <f>J656-F656</f>
        <v>636</v>
      </c>
      <c r="J656" s="201">
        <v>2700</v>
      </c>
      <c r="K656" s="6">
        <f>K651</f>
        <v>0</v>
      </c>
      <c r="L656" s="5">
        <f>J656*(1-K656)</f>
        <v>2700</v>
      </c>
      <c r="M656" s="6">
        <f>M651</f>
        <v>1</v>
      </c>
      <c r="N656" s="203">
        <f>L656*M656</f>
        <v>2700</v>
      </c>
      <c r="P656" s="201">
        <f t="shared" ref="P656:P658" si="269">+N656+O656</f>
        <v>2700</v>
      </c>
    </row>
    <row r="657" spans="2:17" x14ac:dyDescent="0.35">
      <c r="D657" s="184" t="s">
        <v>259</v>
      </c>
      <c r="F657" s="201">
        <f t="shared" ref="F657:F658" si="270">172*12</f>
        <v>2064</v>
      </c>
      <c r="G657" s="201"/>
      <c r="H657" s="201">
        <f>172*12</f>
        <v>2064</v>
      </c>
      <c r="I657" s="4">
        <f>J657-F657</f>
        <v>636</v>
      </c>
      <c r="J657" s="201">
        <v>2700</v>
      </c>
      <c r="K657" s="6">
        <f>K652</f>
        <v>0</v>
      </c>
      <c r="L657" s="5">
        <f>J657*(1-K657)</f>
        <v>2700</v>
      </c>
      <c r="M657" s="6">
        <f>M652</f>
        <v>1</v>
      </c>
      <c r="N657" s="203">
        <f>L657*M657</f>
        <v>2700</v>
      </c>
      <c r="P657" s="201">
        <f t="shared" si="269"/>
        <v>2700</v>
      </c>
    </row>
    <row r="658" spans="2:17" x14ac:dyDescent="0.35">
      <c r="D658" s="184" t="s">
        <v>259</v>
      </c>
      <c r="F658" s="201">
        <f t="shared" si="270"/>
        <v>2064</v>
      </c>
      <c r="G658" s="201"/>
      <c r="H658" s="201">
        <f>172*12</f>
        <v>2064</v>
      </c>
      <c r="I658" s="4">
        <f>J658-F658</f>
        <v>636</v>
      </c>
      <c r="J658" s="201">
        <v>2700</v>
      </c>
      <c r="K658" s="6">
        <f>K653</f>
        <v>0</v>
      </c>
      <c r="L658" s="5">
        <f>J658*(1-K658)</f>
        <v>2700</v>
      </c>
      <c r="M658" s="6">
        <f>M653</f>
        <v>1</v>
      </c>
      <c r="N658" s="203">
        <f>L658*M658</f>
        <v>2700</v>
      </c>
      <c r="P658" s="201">
        <f t="shared" si="269"/>
        <v>2700</v>
      </c>
    </row>
    <row r="660" spans="2:17" x14ac:dyDescent="0.35">
      <c r="C660" s="184" t="s">
        <v>55</v>
      </c>
      <c r="F660" s="201"/>
      <c r="G660" s="201"/>
      <c r="H660" s="201"/>
    </row>
    <row r="661" spans="2:17" x14ac:dyDescent="0.35">
      <c r="D661" s="184" t="s">
        <v>259</v>
      </c>
      <c r="F661" s="201">
        <f>(F621+F626)*0.2695/2+(F621+F626)*0.2406/2</f>
        <v>13516.7904815</v>
      </c>
      <c r="G661" s="201"/>
      <c r="H661" s="201">
        <f>+(H621+H626)*0.2695/2+(H621+H626)*0.2679/2</f>
        <v>13202.434776000002</v>
      </c>
      <c r="I661" s="4">
        <f>J661-H661</f>
        <v>2283.991735560001</v>
      </c>
      <c r="J661" s="201">
        <f>(J621+J626)*0.2679/2+(J621+J626)*0.3/2</f>
        <v>15486.426511560003</v>
      </c>
      <c r="K661" s="6">
        <f>K656</f>
        <v>0</v>
      </c>
      <c r="L661" s="5">
        <f>J661*(1-K661)</f>
        <v>15486.426511560003</v>
      </c>
      <c r="M661" s="6">
        <f>M656</f>
        <v>1</v>
      </c>
      <c r="N661" s="203">
        <f>L661*M661</f>
        <v>15486.426511560003</v>
      </c>
      <c r="P661" s="201">
        <f t="shared" ref="P661:P663" si="271">+N661+O661</f>
        <v>15486.426511560003</v>
      </c>
    </row>
    <row r="662" spans="2:17" x14ac:dyDescent="0.35">
      <c r="D662" s="184" t="s">
        <v>259</v>
      </c>
      <c r="F662" s="201">
        <f>(F622+F627)*0.2695/2+(F622+F627)*0.2406/2</f>
        <v>13190.601935500001</v>
      </c>
      <c r="G662" s="201"/>
      <c r="H662" s="201">
        <f>+(H622+H627)*0.2695/2+(H622+H627)*0.2679/2</f>
        <v>12436.695245766341</v>
      </c>
      <c r="I662" s="4">
        <f>J662-H662</f>
        <v>2151.5205067057123</v>
      </c>
      <c r="J662" s="201">
        <f>(J622+J627)*0.2679/2+(J622+J627)*0.3/2</f>
        <v>14588.215752472053</v>
      </c>
      <c r="K662" s="6">
        <f>K657</f>
        <v>0</v>
      </c>
      <c r="L662" s="5">
        <f>J662*(1-K662)</f>
        <v>14588.215752472053</v>
      </c>
      <c r="M662" s="6">
        <f>M657</f>
        <v>1</v>
      </c>
      <c r="N662" s="203">
        <f>L662*M662</f>
        <v>14588.215752472053</v>
      </c>
      <c r="P662" s="201">
        <f t="shared" si="271"/>
        <v>14588.215752472053</v>
      </c>
    </row>
    <row r="663" spans="2:17" x14ac:dyDescent="0.35">
      <c r="D663" s="184" t="s">
        <v>259</v>
      </c>
      <c r="F663" s="201">
        <f>(F623+F628)*0.2695/2+(F623+F628)*0.2406/2</f>
        <v>11237.967191</v>
      </c>
      <c r="G663" s="201"/>
      <c r="H663" s="201">
        <f>+(H623+H628)*0.2695/2+(H623+H628)*0.2679/2</f>
        <v>13036.079919000002</v>
      </c>
      <c r="I663" s="4">
        <f>J663-H663</f>
        <v>2255.2127167649996</v>
      </c>
      <c r="J663" s="201">
        <f>(J623+J628)*0.2679/2+(J623+J628)*0.3/2</f>
        <v>15291.292635765001</v>
      </c>
      <c r="K663" s="6">
        <f>K658</f>
        <v>0</v>
      </c>
      <c r="L663" s="5">
        <f>J663*(1-K663)</f>
        <v>15291.292635765001</v>
      </c>
      <c r="M663" s="6">
        <f>M658</f>
        <v>1</v>
      </c>
      <c r="N663" s="203">
        <f>L663*M663</f>
        <v>15291.292635765001</v>
      </c>
      <c r="P663" s="201">
        <f t="shared" si="271"/>
        <v>15291.292635765001</v>
      </c>
    </row>
    <row r="664" spans="2:17" x14ac:dyDescent="0.35">
      <c r="M664" s="6"/>
    </row>
    <row r="665" spans="2:17" x14ac:dyDescent="0.35">
      <c r="B665" s="183" t="s">
        <v>260</v>
      </c>
      <c r="C665" s="183"/>
      <c r="D665" s="183"/>
      <c r="F665" s="216">
        <f>SUM(F621:F664)</f>
        <v>229784.1158479999</v>
      </c>
      <c r="G665" s="216"/>
      <c r="H665" s="237">
        <f>SUM(H621:H664)</f>
        <v>226837.4884157755</v>
      </c>
      <c r="I665" s="216">
        <f>SUM(I621:I664)</f>
        <v>26475.338369460605</v>
      </c>
      <c r="J665" s="216">
        <f>SUM(J621:J664)</f>
        <v>253312.82678523619</v>
      </c>
      <c r="L665" s="216">
        <f>SUM(L621:L664)</f>
        <v>253312.82678523619</v>
      </c>
      <c r="N665" s="216">
        <f>SUM(N621:N664)</f>
        <v>253312.82678523619</v>
      </c>
      <c r="O665" s="216">
        <f t="shared" ref="O665:P665" si="272">SUM(O621:O664)</f>
        <v>0</v>
      </c>
      <c r="P665" s="216">
        <f t="shared" si="272"/>
        <v>253312.82678523619</v>
      </c>
      <c r="Q665" s="223"/>
    </row>
    <row r="666" spans="2:17" x14ac:dyDescent="0.35">
      <c r="I666" s="13">
        <f>I665*N666</f>
        <v>26475.338369460605</v>
      </c>
      <c r="J666" s="201"/>
      <c r="K666" s="201"/>
      <c r="L666" s="201"/>
      <c r="N666" s="6">
        <f>N665/L665</f>
        <v>1</v>
      </c>
      <c r="Q666" s="223"/>
    </row>
    <row r="667" spans="2:17" x14ac:dyDescent="0.35">
      <c r="I667" s="7" t="s">
        <v>70</v>
      </c>
      <c r="J667" s="201"/>
      <c r="K667" s="201"/>
      <c r="L667" s="201"/>
      <c r="N667" s="6"/>
      <c r="P667" s="183"/>
      <c r="Q667" s="217"/>
    </row>
    <row r="669" spans="2:17" ht="6" customHeight="1" x14ac:dyDescent="0.35">
      <c r="E669" s="199"/>
      <c r="F669" s="201"/>
      <c r="G669" s="201"/>
      <c r="H669" s="201"/>
      <c r="I669" s="4"/>
      <c r="J669" s="201"/>
      <c r="K669" s="201"/>
      <c r="L669" s="201"/>
    </row>
    <row r="671" spans="2:17" ht="15" customHeight="1" x14ac:dyDescent="0.35">
      <c r="B671" s="183"/>
      <c r="C671" s="183"/>
    </row>
    <row r="672" spans="2:17" ht="15" customHeight="1" x14ac:dyDescent="0.35">
      <c r="B672" s="183"/>
      <c r="C672" s="183"/>
    </row>
    <row r="673" spans="2:16" ht="15" customHeight="1" x14ac:dyDescent="0.35">
      <c r="C673" s="183"/>
      <c r="J673" s="185"/>
      <c r="K673" s="185"/>
      <c r="L673" s="185"/>
      <c r="N673" s="185"/>
    </row>
    <row r="674" spans="2:16" ht="15" customHeight="1" x14ac:dyDescent="0.35"/>
    <row r="675" spans="2:16" ht="41.65" customHeight="1" x14ac:dyDescent="0.35">
      <c r="F675" s="186">
        <v>2021</v>
      </c>
      <c r="G675" s="187"/>
      <c r="H675" s="186">
        <v>2022</v>
      </c>
      <c r="I675" s="188"/>
      <c r="J675" s="220">
        <v>2023</v>
      </c>
      <c r="K675" s="188"/>
      <c r="L675" s="188"/>
      <c r="M675" s="190" t="s">
        <v>49</v>
      </c>
      <c r="N675" s="191"/>
    </row>
    <row r="676" spans="2:16" ht="38.65" customHeight="1" x14ac:dyDescent="0.35">
      <c r="C676" s="192"/>
      <c r="D676" s="193"/>
      <c r="E676" s="194" t="s">
        <v>42</v>
      </c>
      <c r="F676" s="195" t="s">
        <v>30</v>
      </c>
      <c r="G676" s="196" t="s">
        <v>236</v>
      </c>
      <c r="H676" s="195" t="s">
        <v>0</v>
      </c>
      <c r="I676" s="195" t="s">
        <v>22</v>
      </c>
      <c r="J676" s="198" t="s">
        <v>23</v>
      </c>
      <c r="K676" s="198" t="s">
        <v>56</v>
      </c>
      <c r="L676" s="198" t="s">
        <v>57</v>
      </c>
      <c r="M676" s="196" t="s">
        <v>50</v>
      </c>
      <c r="N676" s="196" t="s">
        <v>51</v>
      </c>
      <c r="O676" s="196" t="s">
        <v>897</v>
      </c>
      <c r="P676" s="196" t="s">
        <v>949</v>
      </c>
    </row>
    <row r="677" spans="2:16" x14ac:dyDescent="0.35">
      <c r="B677" s="183" t="s">
        <v>261</v>
      </c>
      <c r="C677" s="192"/>
      <c r="D677" s="193"/>
      <c r="E677" s="224"/>
      <c r="F677" s="225"/>
      <c r="G677" s="226"/>
      <c r="H677" s="225"/>
      <c r="I677" s="225"/>
      <c r="J677" s="225"/>
      <c r="K677" s="225"/>
      <c r="L677" s="225"/>
      <c r="M677" s="226"/>
      <c r="N677" s="226"/>
      <c r="O677" s="226"/>
      <c r="P677" s="226"/>
    </row>
    <row r="678" spans="2:16" x14ac:dyDescent="0.35">
      <c r="C678" s="184" t="s">
        <v>38</v>
      </c>
      <c r="K678" s="201"/>
      <c r="L678" s="201"/>
    </row>
    <row r="679" spans="2:16" x14ac:dyDescent="0.35">
      <c r="D679" s="184" t="s">
        <v>250</v>
      </c>
      <c r="E679" s="199">
        <v>40</v>
      </c>
      <c r="F679" s="201">
        <f>68797.94-955.69</f>
        <v>67842.25</v>
      </c>
      <c r="G679" s="221">
        <v>33.380000000000003</v>
      </c>
      <c r="H679" s="201">
        <v>73020.56</v>
      </c>
      <c r="I679" s="4">
        <f t="shared" ref="I679:I684" si="273">H679*0.11</f>
        <v>8032.2615999999998</v>
      </c>
      <c r="J679" s="201">
        <f t="shared" ref="J679:J684" si="274">H679+I679</f>
        <v>81052.821599999996</v>
      </c>
      <c r="K679" s="6">
        <v>0</v>
      </c>
      <c r="L679" s="5">
        <f t="shared" ref="L679:L684" si="275">J679*(1-K679)</f>
        <v>81052.821599999996</v>
      </c>
      <c r="M679" s="6">
        <v>0.96</v>
      </c>
      <c r="N679" s="203">
        <f t="shared" ref="N679:N684" si="276">L679*M679</f>
        <v>77810.708735999986</v>
      </c>
      <c r="P679" s="201">
        <f t="shared" ref="P679:P684" si="277">+N679+O679</f>
        <v>77810.708735999986</v>
      </c>
    </row>
    <row r="680" spans="2:16" x14ac:dyDescent="0.35">
      <c r="D680" s="184" t="s">
        <v>250</v>
      </c>
      <c r="E680" s="199">
        <v>40</v>
      </c>
      <c r="F680" s="201">
        <f>56588.25-2339.96</f>
        <v>54248.29</v>
      </c>
      <c r="G680" s="221">
        <v>27.11</v>
      </c>
      <c r="H680" s="201">
        <v>56849.84</v>
      </c>
      <c r="I680" s="4">
        <f t="shared" si="273"/>
        <v>6253.4823999999999</v>
      </c>
      <c r="J680" s="201">
        <f t="shared" si="274"/>
        <v>63103.322399999997</v>
      </c>
      <c r="K680" s="6">
        <v>0</v>
      </c>
      <c r="L680" s="5">
        <f t="shared" si="275"/>
        <v>63103.322399999997</v>
      </c>
      <c r="M680" s="6">
        <v>0.98</v>
      </c>
      <c r="N680" s="203">
        <f t="shared" si="276"/>
        <v>61841.255952</v>
      </c>
      <c r="P680" s="201">
        <f t="shared" si="277"/>
        <v>61841.255952</v>
      </c>
    </row>
    <row r="681" spans="2:16" x14ac:dyDescent="0.35">
      <c r="D681" s="184" t="s">
        <v>262</v>
      </c>
      <c r="E681" s="199">
        <v>40</v>
      </c>
      <c r="F681" s="201">
        <f>65745.33-123.84</f>
        <v>65621.490000000005</v>
      </c>
      <c r="G681" s="221"/>
      <c r="H681" s="201">
        <f>G681*2080</f>
        <v>0</v>
      </c>
      <c r="I681" s="4">
        <f t="shared" si="273"/>
        <v>0</v>
      </c>
      <c r="J681" s="201">
        <f t="shared" si="274"/>
        <v>0</v>
      </c>
      <c r="K681" s="6">
        <v>0</v>
      </c>
      <c r="L681" s="5">
        <f t="shared" si="275"/>
        <v>0</v>
      </c>
      <c r="M681" s="6">
        <v>0</v>
      </c>
      <c r="N681" s="203">
        <f t="shared" si="276"/>
        <v>0</v>
      </c>
      <c r="P681" s="201">
        <f t="shared" si="277"/>
        <v>0</v>
      </c>
    </row>
    <row r="682" spans="2:16" x14ac:dyDescent="0.35">
      <c r="D682" s="184" t="s">
        <v>263</v>
      </c>
      <c r="E682" s="199">
        <v>40</v>
      </c>
      <c r="F682" s="201">
        <v>58336.17</v>
      </c>
      <c r="G682" s="221">
        <v>30.05</v>
      </c>
      <c r="H682" s="201">
        <v>62508.21</v>
      </c>
      <c r="I682" s="4">
        <f t="shared" si="273"/>
        <v>6875.9030999999995</v>
      </c>
      <c r="J682" s="201">
        <f t="shared" si="274"/>
        <v>69384.113100000002</v>
      </c>
      <c r="K682" s="6">
        <v>0.25</v>
      </c>
      <c r="L682" s="5">
        <f t="shared" si="275"/>
        <v>52038.084824999998</v>
      </c>
      <c r="M682" s="6">
        <v>1</v>
      </c>
      <c r="N682" s="203">
        <f t="shared" si="276"/>
        <v>52038.084824999998</v>
      </c>
      <c r="P682" s="201">
        <f t="shared" si="277"/>
        <v>52038.084824999998</v>
      </c>
    </row>
    <row r="683" spans="2:16" x14ac:dyDescent="0.35">
      <c r="D683" s="184" t="s">
        <v>264</v>
      </c>
      <c r="E683" s="199">
        <v>40</v>
      </c>
      <c r="F683" s="201">
        <f>43153.14-431.38</f>
        <v>42721.760000000002</v>
      </c>
      <c r="G683" s="221">
        <v>21.54</v>
      </c>
      <c r="H683" s="201">
        <v>46381.16</v>
      </c>
      <c r="I683" s="4">
        <f t="shared" si="273"/>
        <v>5101.9276</v>
      </c>
      <c r="J683" s="201">
        <f t="shared" si="274"/>
        <v>51483.087600000006</v>
      </c>
      <c r="K683" s="6">
        <v>0</v>
      </c>
      <c r="L683" s="5">
        <f t="shared" si="275"/>
        <v>51483.087600000006</v>
      </c>
      <c r="M683" s="6">
        <v>0.98</v>
      </c>
      <c r="N683" s="203">
        <f t="shared" si="276"/>
        <v>50453.425848000006</v>
      </c>
      <c r="P683" s="201">
        <f t="shared" si="277"/>
        <v>50453.425848000006</v>
      </c>
    </row>
    <row r="684" spans="2:16" x14ac:dyDescent="0.35">
      <c r="D684" s="184" t="s">
        <v>256</v>
      </c>
      <c r="E684" s="199">
        <v>40</v>
      </c>
      <c r="F684" s="201">
        <f>55468.97-1774.67</f>
        <v>53694.3</v>
      </c>
      <c r="G684" s="221">
        <v>27.25</v>
      </c>
      <c r="H684" s="201">
        <v>58332.95</v>
      </c>
      <c r="I684" s="4">
        <f t="shared" si="273"/>
        <v>6416.6244999999999</v>
      </c>
      <c r="J684" s="201">
        <f t="shared" si="274"/>
        <v>64749.574499999995</v>
      </c>
      <c r="K684" s="6">
        <v>0</v>
      </c>
      <c r="L684" s="5">
        <f t="shared" si="275"/>
        <v>64749.574499999995</v>
      </c>
      <c r="M684" s="6">
        <v>0.98</v>
      </c>
      <c r="N684" s="203">
        <f t="shared" si="276"/>
        <v>63454.583009999995</v>
      </c>
      <c r="P684" s="201">
        <f t="shared" si="277"/>
        <v>63454.583009999995</v>
      </c>
    </row>
    <row r="685" spans="2:16" x14ac:dyDescent="0.35">
      <c r="E685" s="199"/>
      <c r="F685" s="201"/>
      <c r="G685" s="201"/>
      <c r="H685" s="201"/>
      <c r="I685" s="4"/>
      <c r="J685" s="201"/>
      <c r="K685" s="6"/>
      <c r="L685" s="5"/>
      <c r="M685" s="6"/>
      <c r="N685" s="203"/>
    </row>
    <row r="686" spans="2:16" x14ac:dyDescent="0.35">
      <c r="C686" s="184" t="s">
        <v>66</v>
      </c>
      <c r="E686" s="199"/>
      <c r="F686" s="201"/>
      <c r="G686" s="201"/>
      <c r="H686" s="201"/>
      <c r="I686" s="4"/>
      <c r="J686" s="201"/>
      <c r="K686" s="201"/>
      <c r="L686" s="201"/>
    </row>
    <row r="687" spans="2:16" x14ac:dyDescent="0.35">
      <c r="D687" s="184" t="s">
        <v>250</v>
      </c>
      <c r="E687" s="199"/>
      <c r="F687" s="201">
        <v>955.69</v>
      </c>
      <c r="G687" s="201"/>
      <c r="H687" s="201">
        <v>1835.32</v>
      </c>
      <c r="I687" s="4">
        <f t="shared" ref="I687:I692" si="278">H687*0.11</f>
        <v>201.8852</v>
      </c>
      <c r="J687" s="201">
        <f>H687+I687</f>
        <v>2037.2051999999999</v>
      </c>
      <c r="K687" s="6">
        <f t="shared" ref="K687:K692" si="279">K679</f>
        <v>0</v>
      </c>
      <c r="L687" s="5">
        <f t="shared" ref="L687:L692" si="280">J687*(1-K687)</f>
        <v>2037.2051999999999</v>
      </c>
      <c r="M687" s="6">
        <f t="shared" ref="M687:M692" si="281">M679</f>
        <v>0.96</v>
      </c>
      <c r="N687" s="203">
        <f t="shared" ref="N687:N692" si="282">L687*M687</f>
        <v>1955.7169919999999</v>
      </c>
      <c r="P687" s="201">
        <f t="shared" ref="P687:P692" si="283">+N687+O687</f>
        <v>1955.7169919999999</v>
      </c>
    </row>
    <row r="688" spans="2:16" x14ac:dyDescent="0.35">
      <c r="D688" s="184" t="s">
        <v>250</v>
      </c>
      <c r="E688" s="199"/>
      <c r="F688" s="201">
        <v>2339.96</v>
      </c>
      <c r="G688" s="201"/>
      <c r="H688" s="201">
        <v>530.62</v>
      </c>
      <c r="I688" s="4">
        <f t="shared" si="278"/>
        <v>58.368200000000002</v>
      </c>
      <c r="J688" s="201">
        <f t="shared" ref="J688:J692" si="284">H688+I688</f>
        <v>588.98820000000001</v>
      </c>
      <c r="K688" s="6">
        <f t="shared" si="279"/>
        <v>0</v>
      </c>
      <c r="L688" s="5">
        <f t="shared" si="280"/>
        <v>588.98820000000001</v>
      </c>
      <c r="M688" s="6">
        <f t="shared" si="281"/>
        <v>0.98</v>
      </c>
      <c r="N688" s="203">
        <f t="shared" si="282"/>
        <v>577.20843600000001</v>
      </c>
      <c r="P688" s="201">
        <f t="shared" si="283"/>
        <v>577.20843600000001</v>
      </c>
    </row>
    <row r="689" spans="3:16" x14ac:dyDescent="0.35">
      <c r="D689" s="184" t="s">
        <v>262</v>
      </c>
      <c r="E689" s="199"/>
      <c r="F689" s="201">
        <v>123.84</v>
      </c>
      <c r="G689" s="201"/>
      <c r="H689" s="201">
        <f>G689*2080</f>
        <v>0</v>
      </c>
      <c r="I689" s="4">
        <f t="shared" si="278"/>
        <v>0</v>
      </c>
      <c r="J689" s="201">
        <f t="shared" si="284"/>
        <v>0</v>
      </c>
      <c r="K689" s="6">
        <f t="shared" si="279"/>
        <v>0</v>
      </c>
      <c r="L689" s="5">
        <f t="shared" si="280"/>
        <v>0</v>
      </c>
      <c r="M689" s="6">
        <f t="shared" si="281"/>
        <v>0</v>
      </c>
      <c r="N689" s="203">
        <f t="shared" si="282"/>
        <v>0</v>
      </c>
      <c r="P689" s="201">
        <f t="shared" si="283"/>
        <v>0</v>
      </c>
    </row>
    <row r="690" spans="3:16" x14ac:dyDescent="0.35">
      <c r="D690" s="184" t="s">
        <v>263</v>
      </c>
      <c r="E690" s="199"/>
      <c r="F690" s="201">
        <v>0</v>
      </c>
      <c r="G690" s="201"/>
      <c r="H690" s="201">
        <v>0</v>
      </c>
      <c r="I690" s="4">
        <f t="shared" si="278"/>
        <v>0</v>
      </c>
      <c r="J690" s="201">
        <f t="shared" si="284"/>
        <v>0</v>
      </c>
      <c r="K690" s="6">
        <f t="shared" si="279"/>
        <v>0.25</v>
      </c>
      <c r="L690" s="5">
        <f t="shared" si="280"/>
        <v>0</v>
      </c>
      <c r="M690" s="6">
        <f t="shared" si="281"/>
        <v>1</v>
      </c>
      <c r="N690" s="203">
        <f t="shared" si="282"/>
        <v>0</v>
      </c>
      <c r="P690" s="201">
        <f t="shared" si="283"/>
        <v>0</v>
      </c>
    </row>
    <row r="691" spans="3:16" x14ac:dyDescent="0.35">
      <c r="D691" s="184" t="s">
        <v>264</v>
      </c>
      <c r="E691" s="199"/>
      <c r="F691" s="201">
        <v>431.38</v>
      </c>
      <c r="G691" s="201"/>
      <c r="H691" s="201">
        <v>960.69</v>
      </c>
      <c r="I691" s="4">
        <f t="shared" si="278"/>
        <v>105.67590000000001</v>
      </c>
      <c r="J691" s="201">
        <f t="shared" si="284"/>
        <v>1066.3659</v>
      </c>
      <c r="K691" s="6">
        <f t="shared" si="279"/>
        <v>0</v>
      </c>
      <c r="L691" s="5">
        <f t="shared" si="280"/>
        <v>1066.3659</v>
      </c>
      <c r="M691" s="6">
        <f t="shared" si="281"/>
        <v>0.98</v>
      </c>
      <c r="N691" s="203">
        <f t="shared" si="282"/>
        <v>1045.0385819999999</v>
      </c>
      <c r="P691" s="201">
        <f t="shared" si="283"/>
        <v>1045.0385819999999</v>
      </c>
    </row>
    <row r="692" spans="3:16" x14ac:dyDescent="0.35">
      <c r="D692" s="184" t="s">
        <v>256</v>
      </c>
      <c r="E692" s="199"/>
      <c r="F692" s="201">
        <v>1774.67</v>
      </c>
      <c r="G692" s="201"/>
      <c r="H692" s="201">
        <v>2195.7199999999998</v>
      </c>
      <c r="I692" s="4">
        <f t="shared" si="278"/>
        <v>241.52919999999997</v>
      </c>
      <c r="J692" s="201">
        <f t="shared" si="284"/>
        <v>2437.2491999999997</v>
      </c>
      <c r="K692" s="6">
        <f t="shared" si="279"/>
        <v>0</v>
      </c>
      <c r="L692" s="5">
        <f t="shared" si="280"/>
        <v>2437.2491999999997</v>
      </c>
      <c r="M692" s="6">
        <f t="shared" si="281"/>
        <v>0.98</v>
      </c>
      <c r="N692" s="203">
        <f t="shared" si="282"/>
        <v>2388.5042159999998</v>
      </c>
      <c r="P692" s="201">
        <f t="shared" si="283"/>
        <v>2388.5042159999998</v>
      </c>
    </row>
    <row r="693" spans="3:16" x14ac:dyDescent="0.35">
      <c r="E693" s="199"/>
      <c r="F693" s="201"/>
      <c r="G693" s="201"/>
      <c r="H693" s="201"/>
      <c r="I693" s="4"/>
      <c r="J693" s="201"/>
      <c r="K693" s="201"/>
      <c r="L693" s="201"/>
    </row>
    <row r="694" spans="3:16" x14ac:dyDescent="0.35">
      <c r="C694" s="184" t="s">
        <v>67</v>
      </c>
      <c r="E694" s="199"/>
      <c r="F694" s="201"/>
      <c r="G694" s="201"/>
      <c r="H694" s="201"/>
      <c r="I694" s="4"/>
      <c r="J694" s="201"/>
      <c r="K694" s="201"/>
      <c r="L694" s="201"/>
    </row>
    <row r="695" spans="3:16" x14ac:dyDescent="0.35">
      <c r="D695" s="184" t="s">
        <v>250</v>
      </c>
      <c r="E695" s="199"/>
      <c r="F695" s="201">
        <f t="shared" ref="F695:F700" si="285">552.37*12</f>
        <v>6628.4400000000005</v>
      </c>
      <c r="G695" s="201"/>
      <c r="H695" s="201">
        <f t="shared" ref="H695:H700" si="286">591.04*12</f>
        <v>7092.48</v>
      </c>
      <c r="I695" s="4">
        <f t="shared" ref="I695:I700" si="287">J695-H695</f>
        <v>141.84000000000015</v>
      </c>
      <c r="J695" s="201">
        <f t="shared" ref="J695:J700" si="288">602.86*12</f>
        <v>7234.32</v>
      </c>
      <c r="K695" s="6">
        <f t="shared" ref="K695:K700" si="289">K687</f>
        <v>0</v>
      </c>
      <c r="L695" s="5">
        <f t="shared" ref="L695:L700" si="290">J695*(1-K695)</f>
        <v>7234.32</v>
      </c>
      <c r="M695" s="6">
        <f t="shared" ref="M695:M700" si="291">M687</f>
        <v>0.96</v>
      </c>
      <c r="N695" s="203">
        <f t="shared" ref="N695:N700" si="292">L695*M695</f>
        <v>6944.9471999999996</v>
      </c>
      <c r="O695" s="205">
        <f t="shared" ref="O695:O700" si="293">-N695*$T$26</f>
        <v>0</v>
      </c>
      <c r="P695" s="201">
        <f t="shared" ref="P695:P700" si="294">+N695+O695</f>
        <v>6944.9471999999996</v>
      </c>
    </row>
    <row r="696" spans="3:16" x14ac:dyDescent="0.35">
      <c r="D696" s="184" t="s">
        <v>250</v>
      </c>
      <c r="E696" s="199"/>
      <c r="F696" s="201">
        <f t="shared" si="285"/>
        <v>6628.4400000000005</v>
      </c>
      <c r="G696" s="201"/>
      <c r="H696" s="201">
        <f t="shared" si="286"/>
        <v>7092.48</v>
      </c>
      <c r="I696" s="4">
        <f t="shared" si="287"/>
        <v>141.84000000000015</v>
      </c>
      <c r="J696" s="201">
        <f t="shared" si="288"/>
        <v>7234.32</v>
      </c>
      <c r="K696" s="6">
        <f t="shared" si="289"/>
        <v>0</v>
      </c>
      <c r="L696" s="5">
        <f t="shared" si="290"/>
        <v>7234.32</v>
      </c>
      <c r="M696" s="6">
        <f t="shared" si="291"/>
        <v>0.98</v>
      </c>
      <c r="N696" s="203">
        <f t="shared" si="292"/>
        <v>7089.6335999999992</v>
      </c>
      <c r="O696" s="205">
        <f t="shared" si="293"/>
        <v>0</v>
      </c>
      <c r="P696" s="201">
        <f t="shared" si="294"/>
        <v>7089.6335999999992</v>
      </c>
    </row>
    <row r="697" spans="3:16" x14ac:dyDescent="0.35">
      <c r="D697" s="184" t="s">
        <v>262</v>
      </c>
      <c r="E697" s="199"/>
      <c r="F697" s="201">
        <f t="shared" si="285"/>
        <v>6628.4400000000005</v>
      </c>
      <c r="G697" s="201"/>
      <c r="H697" s="201">
        <f t="shared" si="286"/>
        <v>7092.48</v>
      </c>
      <c r="I697" s="4">
        <f t="shared" si="287"/>
        <v>141.84000000000015</v>
      </c>
      <c r="J697" s="201">
        <f t="shared" si="288"/>
        <v>7234.32</v>
      </c>
      <c r="K697" s="6">
        <f t="shared" si="289"/>
        <v>0</v>
      </c>
      <c r="L697" s="5">
        <f t="shared" si="290"/>
        <v>7234.32</v>
      </c>
      <c r="M697" s="6">
        <f t="shared" si="291"/>
        <v>0</v>
      </c>
      <c r="N697" s="203">
        <f t="shared" si="292"/>
        <v>0</v>
      </c>
      <c r="O697" s="205">
        <f t="shared" si="293"/>
        <v>0</v>
      </c>
      <c r="P697" s="201">
        <f t="shared" si="294"/>
        <v>0</v>
      </c>
    </row>
    <row r="698" spans="3:16" x14ac:dyDescent="0.35">
      <c r="D698" s="184" t="s">
        <v>263</v>
      </c>
      <c r="E698" s="199"/>
      <c r="F698" s="201">
        <f t="shared" si="285"/>
        <v>6628.4400000000005</v>
      </c>
      <c r="G698" s="201"/>
      <c r="H698" s="201">
        <f t="shared" si="286"/>
        <v>7092.48</v>
      </c>
      <c r="I698" s="4">
        <f t="shared" si="287"/>
        <v>141.84000000000015</v>
      </c>
      <c r="J698" s="201">
        <f t="shared" si="288"/>
        <v>7234.32</v>
      </c>
      <c r="K698" s="6">
        <f t="shared" si="289"/>
        <v>0.25</v>
      </c>
      <c r="L698" s="5">
        <f t="shared" si="290"/>
        <v>5425.74</v>
      </c>
      <c r="M698" s="6">
        <f t="shared" si="291"/>
        <v>1</v>
      </c>
      <c r="N698" s="203">
        <f t="shared" si="292"/>
        <v>5425.74</v>
      </c>
      <c r="O698" s="205">
        <f t="shared" si="293"/>
        <v>0</v>
      </c>
      <c r="P698" s="201">
        <f t="shared" si="294"/>
        <v>5425.74</v>
      </c>
    </row>
    <row r="699" spans="3:16" x14ac:dyDescent="0.35">
      <c r="D699" s="184" t="s">
        <v>264</v>
      </c>
      <c r="E699" s="199"/>
      <c r="F699" s="201">
        <f t="shared" si="285"/>
        <v>6628.4400000000005</v>
      </c>
      <c r="G699" s="201"/>
      <c r="H699" s="201">
        <f t="shared" si="286"/>
        <v>7092.48</v>
      </c>
      <c r="I699" s="4">
        <f t="shared" si="287"/>
        <v>141.84000000000015</v>
      </c>
      <c r="J699" s="201">
        <f t="shared" si="288"/>
        <v>7234.32</v>
      </c>
      <c r="K699" s="6">
        <f t="shared" si="289"/>
        <v>0</v>
      </c>
      <c r="L699" s="5">
        <f t="shared" si="290"/>
        <v>7234.32</v>
      </c>
      <c r="M699" s="6">
        <f t="shared" si="291"/>
        <v>0.98</v>
      </c>
      <c r="N699" s="203">
        <f t="shared" si="292"/>
        <v>7089.6335999999992</v>
      </c>
      <c r="O699" s="205">
        <f t="shared" si="293"/>
        <v>0</v>
      </c>
      <c r="P699" s="201">
        <f t="shared" si="294"/>
        <v>7089.6335999999992</v>
      </c>
    </row>
    <row r="700" spans="3:16" x14ac:dyDescent="0.35">
      <c r="D700" s="184" t="s">
        <v>256</v>
      </c>
      <c r="E700" s="199"/>
      <c r="F700" s="201">
        <f t="shared" si="285"/>
        <v>6628.4400000000005</v>
      </c>
      <c r="G700" s="201"/>
      <c r="H700" s="201">
        <f t="shared" si="286"/>
        <v>7092.48</v>
      </c>
      <c r="I700" s="4">
        <f t="shared" si="287"/>
        <v>141.84000000000015</v>
      </c>
      <c r="J700" s="201">
        <f t="shared" si="288"/>
        <v>7234.32</v>
      </c>
      <c r="K700" s="6">
        <f t="shared" si="289"/>
        <v>0</v>
      </c>
      <c r="L700" s="5">
        <f t="shared" si="290"/>
        <v>7234.32</v>
      </c>
      <c r="M700" s="6">
        <f t="shared" si="291"/>
        <v>0.98</v>
      </c>
      <c r="N700" s="203">
        <f t="shared" si="292"/>
        <v>7089.6335999999992</v>
      </c>
      <c r="O700" s="205">
        <f t="shared" si="293"/>
        <v>0</v>
      </c>
      <c r="P700" s="201">
        <f t="shared" si="294"/>
        <v>7089.6335999999992</v>
      </c>
    </row>
    <row r="701" spans="3:16" x14ac:dyDescent="0.35">
      <c r="E701" s="199"/>
      <c r="F701" s="201"/>
      <c r="G701" s="201"/>
      <c r="H701" s="201"/>
      <c r="I701" s="4"/>
      <c r="J701" s="201"/>
      <c r="K701" s="201"/>
      <c r="L701" s="201"/>
    </row>
    <row r="702" spans="3:16" x14ac:dyDescent="0.35">
      <c r="C702" s="184" t="s">
        <v>68</v>
      </c>
      <c r="E702" s="199"/>
      <c r="F702" s="201"/>
      <c r="G702" s="201"/>
      <c r="H702" s="201"/>
      <c r="I702" s="4"/>
      <c r="J702" s="201"/>
      <c r="K702" s="201"/>
      <c r="L702" s="201"/>
    </row>
    <row r="703" spans="3:16" x14ac:dyDescent="0.35">
      <c r="D703" s="184" t="s">
        <v>250</v>
      </c>
      <c r="E703" s="199"/>
      <c r="F703" s="201">
        <v>1287.18</v>
      </c>
      <c r="G703" s="201"/>
      <c r="H703" s="201">
        <v>1592.26</v>
      </c>
      <c r="I703" s="4">
        <f t="shared" ref="I703:I708" si="295">H703*(1-1.01)</f>
        <v>-15.922600000000013</v>
      </c>
      <c r="J703" s="201">
        <f t="shared" ref="J703:J708" si="296">H703+I703</f>
        <v>1576.3373999999999</v>
      </c>
      <c r="K703" s="6">
        <f t="shared" ref="K703:K708" si="297">K695</f>
        <v>0</v>
      </c>
      <c r="L703" s="5">
        <f t="shared" ref="L703:L708" si="298">J703*(1-K703)</f>
        <v>1576.3373999999999</v>
      </c>
      <c r="M703" s="6">
        <f t="shared" ref="M703:M708" si="299">M695</f>
        <v>0.96</v>
      </c>
      <c r="N703" s="203">
        <f t="shared" ref="N703:N708" si="300">L703*M703</f>
        <v>1513.2839039999999</v>
      </c>
      <c r="P703" s="201">
        <f t="shared" ref="P703:P708" si="301">+N703+O703</f>
        <v>1513.2839039999999</v>
      </c>
    </row>
    <row r="704" spans="3:16" x14ac:dyDescent="0.35">
      <c r="D704" s="184" t="s">
        <v>250</v>
      </c>
      <c r="E704" s="199"/>
      <c r="F704" s="201">
        <v>1088.99</v>
      </c>
      <c r="G704" s="201"/>
      <c r="H704" s="201">
        <v>1293.25</v>
      </c>
      <c r="I704" s="4">
        <f t="shared" si="295"/>
        <v>-12.932500000000012</v>
      </c>
      <c r="J704" s="201">
        <f t="shared" si="296"/>
        <v>1280.3174999999999</v>
      </c>
      <c r="K704" s="6">
        <f t="shared" si="297"/>
        <v>0</v>
      </c>
      <c r="L704" s="5">
        <f t="shared" si="298"/>
        <v>1280.3174999999999</v>
      </c>
      <c r="M704" s="6">
        <f t="shared" si="299"/>
        <v>0.98</v>
      </c>
      <c r="N704" s="203">
        <f t="shared" si="300"/>
        <v>1254.7111499999999</v>
      </c>
      <c r="P704" s="201">
        <f t="shared" si="301"/>
        <v>1254.7111499999999</v>
      </c>
    </row>
    <row r="705" spans="3:16" x14ac:dyDescent="0.35">
      <c r="D705" s="184" t="s">
        <v>262</v>
      </c>
      <c r="E705" s="199"/>
      <c r="F705" s="201">
        <v>1320.72</v>
      </c>
      <c r="G705" s="201"/>
      <c r="H705" s="201">
        <f>G705*2080</f>
        <v>0</v>
      </c>
      <c r="I705" s="4">
        <f t="shared" si="295"/>
        <v>0</v>
      </c>
      <c r="J705" s="201">
        <f t="shared" si="296"/>
        <v>0</v>
      </c>
      <c r="K705" s="6">
        <f t="shared" si="297"/>
        <v>0</v>
      </c>
      <c r="L705" s="5">
        <f t="shared" si="298"/>
        <v>0</v>
      </c>
      <c r="M705" s="6">
        <f t="shared" si="299"/>
        <v>0</v>
      </c>
      <c r="N705" s="203">
        <f t="shared" si="300"/>
        <v>0</v>
      </c>
      <c r="P705" s="201">
        <f t="shared" si="301"/>
        <v>0</v>
      </c>
    </row>
    <row r="706" spans="3:16" x14ac:dyDescent="0.35">
      <c r="D706" s="184" t="s">
        <v>263</v>
      </c>
      <c r="E706" s="199"/>
      <c r="F706" s="201">
        <v>1130.8</v>
      </c>
      <c r="G706" s="201"/>
      <c r="H706" s="201">
        <v>1433.71</v>
      </c>
      <c r="I706" s="4">
        <f t="shared" si="295"/>
        <v>-14.337100000000014</v>
      </c>
      <c r="J706" s="201">
        <f t="shared" si="296"/>
        <v>1419.3729000000001</v>
      </c>
      <c r="K706" s="6">
        <f t="shared" si="297"/>
        <v>0.25</v>
      </c>
      <c r="L706" s="5">
        <f t="shared" si="298"/>
        <v>1064.529675</v>
      </c>
      <c r="M706" s="6">
        <f t="shared" si="299"/>
        <v>1</v>
      </c>
      <c r="N706" s="203">
        <f t="shared" si="300"/>
        <v>1064.529675</v>
      </c>
      <c r="P706" s="201">
        <f t="shared" si="301"/>
        <v>1064.529675</v>
      </c>
    </row>
    <row r="707" spans="3:16" x14ac:dyDescent="0.35">
      <c r="D707" s="184" t="s">
        <v>264</v>
      </c>
      <c r="E707" s="199"/>
      <c r="F707" s="201">
        <v>832.86</v>
      </c>
      <c r="G707" s="201"/>
      <c r="H707" s="201">
        <v>1027.53</v>
      </c>
      <c r="I707" s="4">
        <f t="shared" si="295"/>
        <v>-10.275300000000009</v>
      </c>
      <c r="J707" s="201">
        <f t="shared" si="296"/>
        <v>1017.2547</v>
      </c>
      <c r="K707" s="6">
        <f t="shared" si="297"/>
        <v>0</v>
      </c>
      <c r="L707" s="5">
        <f t="shared" si="298"/>
        <v>1017.2547</v>
      </c>
      <c r="M707" s="6">
        <f t="shared" si="299"/>
        <v>0.98</v>
      </c>
      <c r="N707" s="203">
        <f t="shared" si="300"/>
        <v>996.90960599999994</v>
      </c>
      <c r="P707" s="201">
        <f t="shared" si="301"/>
        <v>996.90960599999994</v>
      </c>
    </row>
    <row r="708" spans="3:16" x14ac:dyDescent="0.35">
      <c r="D708" s="184" t="s">
        <v>256</v>
      </c>
      <c r="E708" s="199"/>
      <c r="F708" s="201">
        <v>1028.8699999999999</v>
      </c>
      <c r="G708" s="201"/>
      <c r="H708" s="201">
        <v>1280.25</v>
      </c>
      <c r="I708" s="4">
        <f t="shared" si="295"/>
        <v>-12.802500000000011</v>
      </c>
      <c r="J708" s="201">
        <f t="shared" si="296"/>
        <v>1267.4475</v>
      </c>
      <c r="K708" s="6">
        <f t="shared" si="297"/>
        <v>0</v>
      </c>
      <c r="L708" s="5">
        <f t="shared" si="298"/>
        <v>1267.4475</v>
      </c>
      <c r="M708" s="6">
        <f t="shared" si="299"/>
        <v>0.98</v>
      </c>
      <c r="N708" s="203">
        <f t="shared" si="300"/>
        <v>1242.0985499999999</v>
      </c>
      <c r="P708" s="201">
        <f t="shared" si="301"/>
        <v>1242.0985499999999</v>
      </c>
    </row>
    <row r="709" spans="3:16" x14ac:dyDescent="0.35">
      <c r="E709" s="199"/>
      <c r="F709" s="201"/>
      <c r="G709" s="201"/>
      <c r="H709" s="201"/>
      <c r="I709" s="4"/>
      <c r="J709" s="201"/>
      <c r="K709" s="201"/>
      <c r="L709" s="201"/>
    </row>
    <row r="710" spans="3:16" x14ac:dyDescent="0.35">
      <c r="C710" s="184" t="s">
        <v>53</v>
      </c>
      <c r="E710" s="199"/>
      <c r="F710" s="201"/>
      <c r="G710" s="201"/>
      <c r="H710" s="201"/>
      <c r="I710" s="4"/>
      <c r="J710" s="201"/>
      <c r="K710" s="201"/>
      <c r="L710" s="201"/>
    </row>
    <row r="711" spans="3:16" x14ac:dyDescent="0.35">
      <c r="D711" s="184" t="s">
        <v>250</v>
      </c>
      <c r="E711" s="199"/>
      <c r="F711" s="201">
        <f t="shared" ref="F711:F716" si="302">27.28*12</f>
        <v>327.36</v>
      </c>
      <c r="G711" s="201"/>
      <c r="H711" s="201">
        <f t="shared" ref="H711:H716" si="303">27.28*12</f>
        <v>327.36</v>
      </c>
      <c r="I711" s="4">
        <f t="shared" ref="I711:I716" si="304">J711-H711</f>
        <v>13.439999999999941</v>
      </c>
      <c r="J711" s="201">
        <f t="shared" ref="J711:J716" si="305">(22.11+6.29)*12</f>
        <v>340.79999999999995</v>
      </c>
      <c r="K711" s="6">
        <f t="shared" ref="K711:K716" si="306">K703</f>
        <v>0</v>
      </c>
      <c r="L711" s="5">
        <f t="shared" ref="L711:L716" si="307">J711*(1-K711)</f>
        <v>340.79999999999995</v>
      </c>
      <c r="M711" s="6">
        <f t="shared" ref="M711:M716" si="308">M703</f>
        <v>0.96</v>
      </c>
      <c r="N711" s="203">
        <f t="shared" ref="N711:N716" si="309">L711*M711</f>
        <v>327.16799999999995</v>
      </c>
      <c r="O711" s="205">
        <f t="shared" ref="O711:O716" si="310">-N711*$T$27</f>
        <v>0</v>
      </c>
      <c r="P711" s="201">
        <f t="shared" ref="P711:P716" si="311">+N711+O711</f>
        <v>327.16799999999995</v>
      </c>
    </row>
    <row r="712" spans="3:16" x14ac:dyDescent="0.35">
      <c r="D712" s="184" t="s">
        <v>250</v>
      </c>
      <c r="E712" s="199"/>
      <c r="F712" s="201">
        <f t="shared" si="302"/>
        <v>327.36</v>
      </c>
      <c r="G712" s="201"/>
      <c r="H712" s="201">
        <f t="shared" si="303"/>
        <v>327.36</v>
      </c>
      <c r="I712" s="4">
        <f t="shared" si="304"/>
        <v>13.439999999999941</v>
      </c>
      <c r="J712" s="201">
        <f t="shared" si="305"/>
        <v>340.79999999999995</v>
      </c>
      <c r="K712" s="6">
        <f t="shared" si="306"/>
        <v>0</v>
      </c>
      <c r="L712" s="5">
        <f t="shared" si="307"/>
        <v>340.79999999999995</v>
      </c>
      <c r="M712" s="6">
        <f t="shared" si="308"/>
        <v>0.98</v>
      </c>
      <c r="N712" s="203">
        <f t="shared" si="309"/>
        <v>333.98399999999992</v>
      </c>
      <c r="O712" s="205">
        <f t="shared" si="310"/>
        <v>0</v>
      </c>
      <c r="P712" s="201">
        <f t="shared" si="311"/>
        <v>333.98399999999992</v>
      </c>
    </row>
    <row r="713" spans="3:16" x14ac:dyDescent="0.35">
      <c r="D713" s="184" t="s">
        <v>262</v>
      </c>
      <c r="E713" s="199"/>
      <c r="F713" s="201">
        <f t="shared" si="302"/>
        <v>327.36</v>
      </c>
      <c r="G713" s="201"/>
      <c r="H713" s="201">
        <f t="shared" si="303"/>
        <v>327.36</v>
      </c>
      <c r="I713" s="4">
        <f t="shared" si="304"/>
        <v>13.439999999999941</v>
      </c>
      <c r="J713" s="201">
        <f t="shared" si="305"/>
        <v>340.79999999999995</v>
      </c>
      <c r="K713" s="6">
        <f t="shared" si="306"/>
        <v>0</v>
      </c>
      <c r="L713" s="5">
        <f t="shared" si="307"/>
        <v>340.79999999999995</v>
      </c>
      <c r="M713" s="6">
        <f t="shared" si="308"/>
        <v>0</v>
      </c>
      <c r="N713" s="203">
        <f t="shared" si="309"/>
        <v>0</v>
      </c>
      <c r="O713" s="205">
        <f t="shared" si="310"/>
        <v>0</v>
      </c>
      <c r="P713" s="201">
        <f t="shared" si="311"/>
        <v>0</v>
      </c>
    </row>
    <row r="714" spans="3:16" x14ac:dyDescent="0.35">
      <c r="D714" s="184" t="s">
        <v>263</v>
      </c>
      <c r="E714" s="199"/>
      <c r="F714" s="201">
        <f t="shared" si="302"/>
        <v>327.36</v>
      </c>
      <c r="G714" s="201"/>
      <c r="H714" s="201">
        <f t="shared" si="303"/>
        <v>327.36</v>
      </c>
      <c r="I714" s="4">
        <f t="shared" si="304"/>
        <v>13.439999999999941</v>
      </c>
      <c r="J714" s="201">
        <f t="shared" si="305"/>
        <v>340.79999999999995</v>
      </c>
      <c r="K714" s="6">
        <f t="shared" si="306"/>
        <v>0.25</v>
      </c>
      <c r="L714" s="5">
        <f t="shared" si="307"/>
        <v>255.59999999999997</v>
      </c>
      <c r="M714" s="6">
        <f t="shared" si="308"/>
        <v>1</v>
      </c>
      <c r="N714" s="203">
        <f t="shared" si="309"/>
        <v>255.59999999999997</v>
      </c>
      <c r="O714" s="205">
        <f t="shared" si="310"/>
        <v>0</v>
      </c>
      <c r="P714" s="201">
        <f t="shared" si="311"/>
        <v>255.59999999999997</v>
      </c>
    </row>
    <row r="715" spans="3:16" x14ac:dyDescent="0.35">
      <c r="D715" s="184" t="s">
        <v>264</v>
      </c>
      <c r="E715" s="199"/>
      <c r="F715" s="201">
        <f t="shared" si="302"/>
        <v>327.36</v>
      </c>
      <c r="G715" s="201"/>
      <c r="H715" s="201">
        <f t="shared" si="303"/>
        <v>327.36</v>
      </c>
      <c r="I715" s="4">
        <f t="shared" si="304"/>
        <v>13.439999999999941</v>
      </c>
      <c r="J715" s="201">
        <f t="shared" si="305"/>
        <v>340.79999999999995</v>
      </c>
      <c r="K715" s="6">
        <f t="shared" si="306"/>
        <v>0</v>
      </c>
      <c r="L715" s="5">
        <f t="shared" si="307"/>
        <v>340.79999999999995</v>
      </c>
      <c r="M715" s="6">
        <f t="shared" si="308"/>
        <v>0.98</v>
      </c>
      <c r="N715" s="203">
        <f t="shared" si="309"/>
        <v>333.98399999999992</v>
      </c>
      <c r="O715" s="205">
        <f t="shared" si="310"/>
        <v>0</v>
      </c>
      <c r="P715" s="201">
        <f t="shared" si="311"/>
        <v>333.98399999999992</v>
      </c>
    </row>
    <row r="716" spans="3:16" x14ac:dyDescent="0.35">
      <c r="D716" s="184" t="s">
        <v>256</v>
      </c>
      <c r="E716" s="199"/>
      <c r="F716" s="201">
        <f t="shared" si="302"/>
        <v>327.36</v>
      </c>
      <c r="G716" s="201"/>
      <c r="H716" s="201">
        <f t="shared" si="303"/>
        <v>327.36</v>
      </c>
      <c r="I716" s="4">
        <f t="shared" si="304"/>
        <v>13.439999999999941</v>
      </c>
      <c r="J716" s="201">
        <f t="shared" si="305"/>
        <v>340.79999999999995</v>
      </c>
      <c r="K716" s="6">
        <f t="shared" si="306"/>
        <v>0</v>
      </c>
      <c r="L716" s="5">
        <f t="shared" si="307"/>
        <v>340.79999999999995</v>
      </c>
      <c r="M716" s="6">
        <f t="shared" si="308"/>
        <v>0.98</v>
      </c>
      <c r="N716" s="203">
        <f t="shared" si="309"/>
        <v>333.98399999999992</v>
      </c>
      <c r="O716" s="205">
        <f t="shared" si="310"/>
        <v>0</v>
      </c>
      <c r="P716" s="201">
        <f t="shared" si="311"/>
        <v>333.98399999999992</v>
      </c>
    </row>
    <row r="717" spans="3:16" x14ac:dyDescent="0.35">
      <c r="E717" s="199"/>
      <c r="F717" s="201"/>
      <c r="G717" s="201"/>
      <c r="H717" s="201"/>
      <c r="I717" s="4"/>
      <c r="J717" s="201"/>
      <c r="K717" s="201"/>
      <c r="L717" s="201"/>
    </row>
    <row r="718" spans="3:16" x14ac:dyDescent="0.35">
      <c r="C718" s="184" t="s">
        <v>54</v>
      </c>
    </row>
    <row r="719" spans="3:16" x14ac:dyDescent="0.35">
      <c r="D719" s="184" t="s">
        <v>250</v>
      </c>
      <c r="F719" s="201">
        <f>62.72*12</f>
        <v>752.64</v>
      </c>
      <c r="G719" s="201"/>
      <c r="H719" s="201">
        <f>68.32*12</f>
        <v>819.83999999999992</v>
      </c>
      <c r="I719" s="4">
        <f t="shared" ref="I719:I724" si="312">J719-H719</f>
        <v>191.00064606000012</v>
      </c>
      <c r="J719" s="211">
        <f>ROUNDUP((J679+J687)*3,-3)*(0.16/1000*12)+ROUNDUP((J679+J687)*3,-3)*(0.026/1000*12)+(((J679+J687)*0.545/100/12)*12)</f>
        <v>1010.84064606</v>
      </c>
      <c r="K719" s="6">
        <f t="shared" ref="K719:K724" si="313">K711</f>
        <v>0</v>
      </c>
      <c r="L719" s="5">
        <f t="shared" ref="L719:L724" si="314">J719*(1-K719)</f>
        <v>1010.84064606</v>
      </c>
      <c r="M719" s="6">
        <f t="shared" ref="M719:M724" si="315">M711</f>
        <v>0.96</v>
      </c>
      <c r="N719" s="203">
        <f t="shared" ref="N719:N724" si="316">L719*M719</f>
        <v>970.40702021760001</v>
      </c>
      <c r="P719" s="201">
        <f t="shared" ref="P719:P724" si="317">+N719+O719</f>
        <v>970.40702021760001</v>
      </c>
    </row>
    <row r="720" spans="3:16" x14ac:dyDescent="0.35">
      <c r="D720" s="184" t="s">
        <v>250</v>
      </c>
      <c r="F720" s="201">
        <f>51.08*12</f>
        <v>612.96</v>
      </c>
      <c r="G720" s="201"/>
      <c r="H720" s="201">
        <f>55.53*12</f>
        <v>666.36</v>
      </c>
      <c r="I720" s="4">
        <f t="shared" si="312"/>
        <v>109.30709277000005</v>
      </c>
      <c r="J720" s="211">
        <f t="shared" ref="J720:J724" si="318">ROUNDUP((J680+J688)*3,-3)*(0.16/1000*12)+ROUNDUP((J680+J688)*3,-3)*(0.026/1000*12)+(((J680+J688)*0.545/100/12)*12)</f>
        <v>775.66709277000007</v>
      </c>
      <c r="K720" s="6">
        <f t="shared" si="313"/>
        <v>0</v>
      </c>
      <c r="L720" s="5">
        <f t="shared" si="314"/>
        <v>775.66709277000007</v>
      </c>
      <c r="M720" s="6">
        <f t="shared" si="315"/>
        <v>0.98</v>
      </c>
      <c r="N720" s="203">
        <f t="shared" si="316"/>
        <v>760.1537509146001</v>
      </c>
      <c r="P720" s="201">
        <f t="shared" si="317"/>
        <v>760.1537509146001</v>
      </c>
    </row>
    <row r="721" spans="3:16" x14ac:dyDescent="0.35">
      <c r="D721" s="184" t="s">
        <v>262</v>
      </c>
      <c r="F721" s="201">
        <f>64.16*12</f>
        <v>769.92</v>
      </c>
      <c r="G721" s="201"/>
      <c r="H721" s="201">
        <v>0</v>
      </c>
      <c r="I721" s="4">
        <f t="shared" si="312"/>
        <v>0</v>
      </c>
      <c r="J721" s="211">
        <f t="shared" si="318"/>
        <v>0</v>
      </c>
      <c r="K721" s="6">
        <f t="shared" si="313"/>
        <v>0</v>
      </c>
      <c r="L721" s="5">
        <f t="shared" si="314"/>
        <v>0</v>
      </c>
      <c r="M721" s="6">
        <f t="shared" si="315"/>
        <v>0</v>
      </c>
      <c r="N721" s="203">
        <f t="shared" si="316"/>
        <v>0</v>
      </c>
      <c r="P721" s="201">
        <f t="shared" si="317"/>
        <v>0</v>
      </c>
    </row>
    <row r="722" spans="3:16" x14ac:dyDescent="0.35">
      <c r="D722" s="184" t="s">
        <v>263</v>
      </c>
      <c r="F722" s="201">
        <f>56.49*12</f>
        <v>677.88</v>
      </c>
      <c r="G722" s="201"/>
      <c r="H722" s="201">
        <f>61.48*12</f>
        <v>737.76</v>
      </c>
      <c r="I722" s="4">
        <f t="shared" si="312"/>
        <v>106.8714163950001</v>
      </c>
      <c r="J722" s="211">
        <f t="shared" si="318"/>
        <v>844.63141639500009</v>
      </c>
      <c r="K722" s="6">
        <f t="shared" si="313"/>
        <v>0.25</v>
      </c>
      <c r="L722" s="5">
        <f t="shared" si="314"/>
        <v>633.47356229625007</v>
      </c>
      <c r="M722" s="6">
        <f t="shared" si="315"/>
        <v>1</v>
      </c>
      <c r="N722" s="203">
        <f t="shared" si="316"/>
        <v>633.47356229625007</v>
      </c>
      <c r="P722" s="201">
        <f t="shared" si="317"/>
        <v>633.47356229625007</v>
      </c>
    </row>
    <row r="723" spans="3:16" x14ac:dyDescent="0.35">
      <c r="D723" s="184" t="s">
        <v>264</v>
      </c>
      <c r="F723" s="201">
        <f>40.49*12</f>
        <v>485.88</v>
      </c>
      <c r="G723" s="201"/>
      <c r="H723" s="201">
        <f>44.11*12</f>
        <v>529.31999999999994</v>
      </c>
      <c r="I723" s="4">
        <f t="shared" si="312"/>
        <v>109.73052157500013</v>
      </c>
      <c r="J723" s="211">
        <f t="shared" si="318"/>
        <v>639.05052157500006</v>
      </c>
      <c r="K723" s="6">
        <f t="shared" si="313"/>
        <v>0</v>
      </c>
      <c r="L723" s="5">
        <f t="shared" si="314"/>
        <v>639.05052157500006</v>
      </c>
      <c r="M723" s="6">
        <f t="shared" si="315"/>
        <v>0.98</v>
      </c>
      <c r="N723" s="203">
        <f t="shared" si="316"/>
        <v>626.26951114350004</v>
      </c>
      <c r="P723" s="201">
        <f t="shared" si="317"/>
        <v>626.26951114350004</v>
      </c>
    </row>
    <row r="724" spans="3:16" x14ac:dyDescent="0.35">
      <c r="D724" s="184" t="s">
        <v>256</v>
      </c>
      <c r="F724" s="201">
        <f>50.36*12</f>
        <v>604.31999999999994</v>
      </c>
      <c r="G724" s="201"/>
      <c r="H724" s="201">
        <f>54.92*12</f>
        <v>659.04</v>
      </c>
      <c r="I724" s="4">
        <f t="shared" si="312"/>
        <v>157.99218916500013</v>
      </c>
      <c r="J724" s="211">
        <f t="shared" si="318"/>
        <v>817.03218916500009</v>
      </c>
      <c r="K724" s="6">
        <f t="shared" si="313"/>
        <v>0</v>
      </c>
      <c r="L724" s="5">
        <f t="shared" si="314"/>
        <v>817.03218916500009</v>
      </c>
      <c r="M724" s="6">
        <f t="shared" si="315"/>
        <v>0.98</v>
      </c>
      <c r="N724" s="203">
        <f t="shared" si="316"/>
        <v>800.69154538170005</v>
      </c>
      <c r="P724" s="201">
        <f t="shared" si="317"/>
        <v>800.69154538170005</v>
      </c>
    </row>
    <row r="725" spans="3:16" x14ac:dyDescent="0.35">
      <c r="F725" s="201"/>
      <c r="G725" s="201"/>
      <c r="H725" s="201"/>
    </row>
    <row r="726" spans="3:16" x14ac:dyDescent="0.35">
      <c r="C726" s="184" t="s">
        <v>162</v>
      </c>
      <c r="F726" s="201"/>
      <c r="G726" s="201"/>
      <c r="H726" s="201"/>
    </row>
    <row r="727" spans="3:16" x14ac:dyDescent="0.35">
      <c r="D727" s="184" t="s">
        <v>250</v>
      </c>
      <c r="F727" s="201">
        <f t="shared" ref="F727:F732" si="319">+(F679+F687)*0.0765</f>
        <v>5263.04241</v>
      </c>
      <c r="G727" s="201"/>
      <c r="H727" s="201">
        <f t="shared" ref="H727:H732" si="320">+(H679+H687)*0.0765</f>
        <v>5726.4748200000004</v>
      </c>
      <c r="I727" s="4">
        <f t="shared" ref="I727:I732" si="321">J727-H727</f>
        <v>629.9122301999987</v>
      </c>
      <c r="J727" s="201">
        <f t="shared" ref="J727:J732" si="322">(J679+J687)*0.0765</f>
        <v>6356.3870501999991</v>
      </c>
      <c r="K727" s="6">
        <f t="shared" ref="K727:K732" si="323">K719</f>
        <v>0</v>
      </c>
      <c r="L727" s="5">
        <f t="shared" ref="L727:L732" si="324">J727*(1-K727)</f>
        <v>6356.3870501999991</v>
      </c>
      <c r="M727" s="6">
        <f t="shared" ref="M727:M732" si="325">M719</f>
        <v>0.96</v>
      </c>
      <c r="N727" s="203">
        <f t="shared" ref="N727:N732" si="326">L727*M727</f>
        <v>6102.1315681919987</v>
      </c>
      <c r="P727" s="201">
        <f t="shared" ref="P727:P732" si="327">+N727+O727</f>
        <v>6102.1315681919987</v>
      </c>
    </row>
    <row r="728" spans="3:16" x14ac:dyDescent="0.35">
      <c r="D728" s="184" t="s">
        <v>250</v>
      </c>
      <c r="F728" s="201">
        <f t="shared" si="319"/>
        <v>4329.0011249999998</v>
      </c>
      <c r="G728" s="201"/>
      <c r="H728" s="201">
        <f t="shared" si="320"/>
        <v>4389.6051900000002</v>
      </c>
      <c r="I728" s="4">
        <f t="shared" si="321"/>
        <v>482.8565708999995</v>
      </c>
      <c r="J728" s="201">
        <f t="shared" si="322"/>
        <v>4872.4617608999997</v>
      </c>
      <c r="K728" s="6">
        <f t="shared" si="323"/>
        <v>0</v>
      </c>
      <c r="L728" s="5">
        <f t="shared" si="324"/>
        <v>4872.4617608999997</v>
      </c>
      <c r="M728" s="6">
        <f t="shared" si="325"/>
        <v>0.98</v>
      </c>
      <c r="N728" s="203">
        <f t="shared" si="326"/>
        <v>4775.0125256819993</v>
      </c>
      <c r="P728" s="201">
        <f t="shared" si="327"/>
        <v>4775.0125256819993</v>
      </c>
    </row>
    <row r="729" spans="3:16" x14ac:dyDescent="0.35">
      <c r="D729" s="184" t="s">
        <v>262</v>
      </c>
      <c r="F729" s="201">
        <f t="shared" si="319"/>
        <v>5029.5177450000001</v>
      </c>
      <c r="G729" s="201"/>
      <c r="H729" s="201">
        <f t="shared" si="320"/>
        <v>0</v>
      </c>
      <c r="I729" s="4">
        <f t="shared" si="321"/>
        <v>0</v>
      </c>
      <c r="J729" s="201">
        <f t="shared" si="322"/>
        <v>0</v>
      </c>
      <c r="K729" s="6">
        <f t="shared" si="323"/>
        <v>0</v>
      </c>
      <c r="L729" s="5">
        <f t="shared" si="324"/>
        <v>0</v>
      </c>
      <c r="M729" s="6">
        <f t="shared" si="325"/>
        <v>0</v>
      </c>
      <c r="N729" s="203">
        <f t="shared" si="326"/>
        <v>0</v>
      </c>
      <c r="P729" s="201">
        <f t="shared" si="327"/>
        <v>0</v>
      </c>
    </row>
    <row r="730" spans="3:16" x14ac:dyDescent="0.35">
      <c r="D730" s="184" t="s">
        <v>263</v>
      </c>
      <c r="F730" s="201">
        <f t="shared" si="319"/>
        <v>4462.7170049999995</v>
      </c>
      <c r="G730" s="201"/>
      <c r="H730" s="201">
        <f t="shared" si="320"/>
        <v>4781.8780649999999</v>
      </c>
      <c r="I730" s="4">
        <f t="shared" si="321"/>
        <v>526.00658715000009</v>
      </c>
      <c r="J730" s="201">
        <f t="shared" si="322"/>
        <v>5307.88465215</v>
      </c>
      <c r="K730" s="6">
        <f t="shared" si="323"/>
        <v>0.25</v>
      </c>
      <c r="L730" s="5">
        <f t="shared" si="324"/>
        <v>3980.9134891125</v>
      </c>
      <c r="M730" s="6">
        <f t="shared" si="325"/>
        <v>1</v>
      </c>
      <c r="N730" s="203">
        <f t="shared" si="326"/>
        <v>3980.9134891125</v>
      </c>
      <c r="P730" s="201">
        <f t="shared" si="327"/>
        <v>3980.9134891125</v>
      </c>
    </row>
    <row r="731" spans="3:16" x14ac:dyDescent="0.35">
      <c r="D731" s="184" t="s">
        <v>264</v>
      </c>
      <c r="F731" s="201">
        <f t="shared" si="319"/>
        <v>3301.2152099999998</v>
      </c>
      <c r="G731" s="201"/>
      <c r="H731" s="201">
        <f t="shared" si="320"/>
        <v>3621.6515250000002</v>
      </c>
      <c r="I731" s="4">
        <f t="shared" si="321"/>
        <v>398.38166774999991</v>
      </c>
      <c r="J731" s="201">
        <f t="shared" si="322"/>
        <v>4020.0331927500001</v>
      </c>
      <c r="K731" s="6">
        <f t="shared" si="323"/>
        <v>0</v>
      </c>
      <c r="L731" s="5">
        <f t="shared" si="324"/>
        <v>4020.0331927500001</v>
      </c>
      <c r="M731" s="6">
        <f t="shared" si="325"/>
        <v>0.98</v>
      </c>
      <c r="N731" s="203">
        <f t="shared" si="326"/>
        <v>3939.6325288950002</v>
      </c>
      <c r="P731" s="201">
        <f t="shared" si="327"/>
        <v>3939.6325288950002</v>
      </c>
    </row>
    <row r="732" spans="3:16" x14ac:dyDescent="0.35">
      <c r="D732" s="184" t="s">
        <v>256</v>
      </c>
      <c r="F732" s="201">
        <f t="shared" si="319"/>
        <v>4243.3762049999996</v>
      </c>
      <c r="G732" s="201"/>
      <c r="H732" s="201">
        <f t="shared" si="320"/>
        <v>4630.4432550000001</v>
      </c>
      <c r="I732" s="4">
        <f t="shared" si="321"/>
        <v>509.34875804999956</v>
      </c>
      <c r="J732" s="201">
        <f t="shared" si="322"/>
        <v>5139.7920130499997</v>
      </c>
      <c r="K732" s="6">
        <f t="shared" si="323"/>
        <v>0</v>
      </c>
      <c r="L732" s="5">
        <f t="shared" si="324"/>
        <v>5139.7920130499997</v>
      </c>
      <c r="M732" s="6">
        <f t="shared" si="325"/>
        <v>0.98</v>
      </c>
      <c r="N732" s="203">
        <f t="shared" si="326"/>
        <v>5036.9961727889995</v>
      </c>
      <c r="P732" s="201">
        <f t="shared" si="327"/>
        <v>5036.9961727889995</v>
      </c>
    </row>
    <row r="733" spans="3:16" x14ac:dyDescent="0.35">
      <c r="F733" s="201"/>
      <c r="G733" s="201"/>
      <c r="H733" s="201"/>
    </row>
    <row r="734" spans="3:16" x14ac:dyDescent="0.35">
      <c r="C734" s="184" t="s">
        <v>244</v>
      </c>
      <c r="F734" s="201"/>
      <c r="G734" s="201"/>
      <c r="H734" s="201"/>
    </row>
    <row r="735" spans="3:16" x14ac:dyDescent="0.35">
      <c r="D735" s="184" t="s">
        <v>250</v>
      </c>
      <c r="F735" s="201">
        <f>172*12</f>
        <v>2064</v>
      </c>
      <c r="G735" s="201"/>
      <c r="H735" s="201">
        <f>172*12</f>
        <v>2064</v>
      </c>
      <c r="I735" s="4">
        <f t="shared" ref="I735:I740" si="328">J735-F735</f>
        <v>636</v>
      </c>
      <c r="J735" s="201">
        <v>2700</v>
      </c>
      <c r="K735" s="6">
        <f t="shared" ref="K735:K740" si="329">K727</f>
        <v>0</v>
      </c>
      <c r="L735" s="5">
        <f t="shared" ref="L735:L740" si="330">J735*(1-K735)</f>
        <v>2700</v>
      </c>
      <c r="M735" s="6">
        <f t="shared" ref="M735:M740" si="331">M727</f>
        <v>0.96</v>
      </c>
      <c r="N735" s="203">
        <f t="shared" ref="N735:N740" si="332">L735*M735</f>
        <v>2592</v>
      </c>
      <c r="P735" s="201">
        <f t="shared" ref="P735:P740" si="333">+N735+O735</f>
        <v>2592</v>
      </c>
    </row>
    <row r="736" spans="3:16" x14ac:dyDescent="0.35">
      <c r="D736" s="184" t="s">
        <v>250</v>
      </c>
      <c r="F736" s="201">
        <f t="shared" ref="F736:F740" si="334">172*12</f>
        <v>2064</v>
      </c>
      <c r="G736" s="201"/>
      <c r="H736" s="201">
        <f t="shared" ref="H736:H740" si="335">172*12</f>
        <v>2064</v>
      </c>
      <c r="I736" s="4">
        <f t="shared" si="328"/>
        <v>636</v>
      </c>
      <c r="J736" s="201">
        <v>2700</v>
      </c>
      <c r="K736" s="6">
        <f t="shared" si="329"/>
        <v>0</v>
      </c>
      <c r="L736" s="5">
        <f t="shared" si="330"/>
        <v>2700</v>
      </c>
      <c r="M736" s="6">
        <f t="shared" si="331"/>
        <v>0.98</v>
      </c>
      <c r="N736" s="203">
        <f t="shared" si="332"/>
        <v>2646</v>
      </c>
      <c r="P736" s="201">
        <f t="shared" si="333"/>
        <v>2646</v>
      </c>
    </row>
    <row r="737" spans="2:17" x14ac:dyDescent="0.35">
      <c r="D737" s="184" t="s">
        <v>262</v>
      </c>
      <c r="F737" s="201">
        <f t="shared" si="334"/>
        <v>2064</v>
      </c>
      <c r="G737" s="201"/>
      <c r="H737" s="201">
        <f t="shared" si="335"/>
        <v>2064</v>
      </c>
      <c r="I737" s="4">
        <f t="shared" si="328"/>
        <v>636</v>
      </c>
      <c r="J737" s="201">
        <v>2700</v>
      </c>
      <c r="K737" s="6">
        <f t="shared" si="329"/>
        <v>0</v>
      </c>
      <c r="L737" s="5">
        <f t="shared" si="330"/>
        <v>2700</v>
      </c>
      <c r="M737" s="6">
        <f t="shared" si="331"/>
        <v>0</v>
      </c>
      <c r="N737" s="203">
        <f t="shared" si="332"/>
        <v>0</v>
      </c>
      <c r="P737" s="201">
        <f t="shared" si="333"/>
        <v>0</v>
      </c>
    </row>
    <row r="738" spans="2:17" x14ac:dyDescent="0.35">
      <c r="D738" s="184" t="s">
        <v>263</v>
      </c>
      <c r="F738" s="201">
        <f t="shared" si="334"/>
        <v>2064</v>
      </c>
      <c r="G738" s="201"/>
      <c r="H738" s="201">
        <f t="shared" si="335"/>
        <v>2064</v>
      </c>
      <c r="I738" s="4">
        <f t="shared" si="328"/>
        <v>636</v>
      </c>
      <c r="J738" s="201">
        <v>2700</v>
      </c>
      <c r="K738" s="6">
        <f t="shared" si="329"/>
        <v>0.25</v>
      </c>
      <c r="L738" s="5">
        <f t="shared" si="330"/>
        <v>2025</v>
      </c>
      <c r="M738" s="6">
        <f t="shared" si="331"/>
        <v>1</v>
      </c>
      <c r="N738" s="203">
        <f t="shared" si="332"/>
        <v>2025</v>
      </c>
      <c r="P738" s="201">
        <f t="shared" si="333"/>
        <v>2025</v>
      </c>
    </row>
    <row r="739" spans="2:17" x14ac:dyDescent="0.35">
      <c r="D739" s="184" t="s">
        <v>264</v>
      </c>
      <c r="F739" s="201">
        <f t="shared" si="334"/>
        <v>2064</v>
      </c>
      <c r="G739" s="201"/>
      <c r="H739" s="201">
        <f t="shared" si="335"/>
        <v>2064</v>
      </c>
      <c r="I739" s="4">
        <f t="shared" si="328"/>
        <v>636</v>
      </c>
      <c r="J739" s="201">
        <v>2700</v>
      </c>
      <c r="K739" s="6">
        <f t="shared" si="329"/>
        <v>0</v>
      </c>
      <c r="L739" s="5">
        <f t="shared" si="330"/>
        <v>2700</v>
      </c>
      <c r="M739" s="6">
        <f t="shared" si="331"/>
        <v>0.98</v>
      </c>
      <c r="N739" s="203">
        <f t="shared" si="332"/>
        <v>2646</v>
      </c>
      <c r="P739" s="201">
        <f t="shared" si="333"/>
        <v>2646</v>
      </c>
    </row>
    <row r="740" spans="2:17" x14ac:dyDescent="0.35">
      <c r="D740" s="184" t="s">
        <v>256</v>
      </c>
      <c r="F740" s="201">
        <f t="shared" si="334"/>
        <v>2064</v>
      </c>
      <c r="G740" s="201"/>
      <c r="H740" s="201">
        <f t="shared" si="335"/>
        <v>2064</v>
      </c>
      <c r="I740" s="4">
        <f t="shared" si="328"/>
        <v>636</v>
      </c>
      <c r="J740" s="201">
        <v>2700</v>
      </c>
      <c r="K740" s="6">
        <f t="shared" si="329"/>
        <v>0</v>
      </c>
      <c r="L740" s="5">
        <f t="shared" si="330"/>
        <v>2700</v>
      </c>
      <c r="M740" s="6">
        <f t="shared" si="331"/>
        <v>0.98</v>
      </c>
      <c r="N740" s="203">
        <f t="shared" si="332"/>
        <v>2646</v>
      </c>
      <c r="P740" s="201">
        <f t="shared" si="333"/>
        <v>2646</v>
      </c>
    </row>
    <row r="742" spans="2:17" x14ac:dyDescent="0.35">
      <c r="C742" s="184" t="s">
        <v>55</v>
      </c>
      <c r="F742" s="201"/>
      <c r="G742" s="201"/>
      <c r="H742" s="201"/>
    </row>
    <row r="743" spans="2:17" x14ac:dyDescent="0.35">
      <c r="D743" s="184" t="s">
        <v>250</v>
      </c>
      <c r="F743" s="201">
        <f t="shared" ref="F743:F748" si="336">+(F679+F687)*0.2695/2+(F679+F687)*0.2406/2</f>
        <v>17546.914597000003</v>
      </c>
      <c r="G743" s="201"/>
      <c r="H743" s="201">
        <f t="shared" ref="H743:H748" si="337">(H679+H687)*0.2695/2+(H679+H687)*0.2679/2</f>
        <v>20113.774956000001</v>
      </c>
      <c r="I743" s="4">
        <f t="shared" ref="I743:I748" si="338">J743-H743</f>
        <v>3479.6381538599962</v>
      </c>
      <c r="J743" s="201">
        <f t="shared" ref="J743:J748" si="339">(J679+J687)*0.2679/2+(J679+J687)*0.3/2</f>
        <v>23593.413109859997</v>
      </c>
      <c r="K743" s="6">
        <f t="shared" ref="K743:K748" si="340">K735</f>
        <v>0</v>
      </c>
      <c r="L743" s="5">
        <f t="shared" ref="L743:L748" si="341">J743*(1-K743)</f>
        <v>23593.413109859997</v>
      </c>
      <c r="M743" s="6">
        <f t="shared" ref="M743:M748" si="342">M735</f>
        <v>0.96</v>
      </c>
      <c r="N743" s="203">
        <f t="shared" ref="N743:N748" si="343">L743*M743</f>
        <v>22649.676585465597</v>
      </c>
      <c r="P743" s="201">
        <f t="shared" ref="P743:P748" si="344">+N743+O743</f>
        <v>22649.676585465597</v>
      </c>
    </row>
    <row r="744" spans="2:17" x14ac:dyDescent="0.35">
      <c r="D744" s="184" t="s">
        <v>250</v>
      </c>
      <c r="F744" s="201">
        <f t="shared" si="336"/>
        <v>14432.833162500001</v>
      </c>
      <c r="G744" s="201"/>
      <c r="H744" s="201">
        <f t="shared" si="337"/>
        <v>15418.129602000001</v>
      </c>
      <c r="I744" s="4">
        <f t="shared" si="338"/>
        <v>2667.3019928700014</v>
      </c>
      <c r="J744" s="201">
        <f t="shared" si="339"/>
        <v>18085.431594870002</v>
      </c>
      <c r="K744" s="6">
        <f t="shared" si="340"/>
        <v>0</v>
      </c>
      <c r="L744" s="5">
        <f t="shared" si="341"/>
        <v>18085.431594870002</v>
      </c>
      <c r="M744" s="6">
        <f t="shared" si="342"/>
        <v>0.98</v>
      </c>
      <c r="N744" s="203">
        <f t="shared" si="343"/>
        <v>17723.722962972603</v>
      </c>
      <c r="P744" s="201">
        <f t="shared" si="344"/>
        <v>17723.722962972603</v>
      </c>
    </row>
    <row r="745" spans="2:17" x14ac:dyDescent="0.35">
      <c r="D745" s="184" t="s">
        <v>262</v>
      </c>
      <c r="F745" s="201">
        <f t="shared" si="336"/>
        <v>16768.3464165</v>
      </c>
      <c r="G745" s="201"/>
      <c r="H745" s="201">
        <f t="shared" si="337"/>
        <v>0</v>
      </c>
      <c r="I745" s="4">
        <f t="shared" si="338"/>
        <v>0</v>
      </c>
      <c r="J745" s="201">
        <f t="shared" si="339"/>
        <v>0</v>
      </c>
      <c r="K745" s="6">
        <f t="shared" si="340"/>
        <v>0</v>
      </c>
      <c r="L745" s="5">
        <f t="shared" si="341"/>
        <v>0</v>
      </c>
      <c r="M745" s="6">
        <f t="shared" si="342"/>
        <v>0</v>
      </c>
      <c r="N745" s="203">
        <f t="shared" si="343"/>
        <v>0</v>
      </c>
      <c r="P745" s="201">
        <f t="shared" si="344"/>
        <v>0</v>
      </c>
    </row>
    <row r="746" spans="2:17" x14ac:dyDescent="0.35">
      <c r="D746" s="184" t="s">
        <v>263</v>
      </c>
      <c r="F746" s="201">
        <f t="shared" si="336"/>
        <v>14878.6401585</v>
      </c>
      <c r="G746" s="201"/>
      <c r="H746" s="201">
        <f t="shared" si="337"/>
        <v>16795.956027</v>
      </c>
      <c r="I746" s="4">
        <f t="shared" si="338"/>
        <v>2905.6628877449984</v>
      </c>
      <c r="J746" s="201">
        <f t="shared" si="339"/>
        <v>19701.618914744999</v>
      </c>
      <c r="K746" s="6">
        <f t="shared" si="340"/>
        <v>0.25</v>
      </c>
      <c r="L746" s="5">
        <f t="shared" si="341"/>
        <v>14776.214186058749</v>
      </c>
      <c r="M746" s="6">
        <f t="shared" si="342"/>
        <v>1</v>
      </c>
      <c r="N746" s="203">
        <f t="shared" si="343"/>
        <v>14776.214186058749</v>
      </c>
      <c r="P746" s="201">
        <f t="shared" si="344"/>
        <v>14776.214186058749</v>
      </c>
    </row>
    <row r="747" spans="2:17" x14ac:dyDescent="0.35">
      <c r="D747" s="184" t="s">
        <v>264</v>
      </c>
      <c r="F747" s="201">
        <f t="shared" si="336"/>
        <v>11006.208357</v>
      </c>
      <c r="G747" s="201"/>
      <c r="H747" s="201">
        <f t="shared" si="337"/>
        <v>12720.755095000002</v>
      </c>
      <c r="I747" s="4">
        <f t="shared" si="338"/>
        <v>2200.6622263249992</v>
      </c>
      <c r="J747" s="201">
        <f t="shared" si="339"/>
        <v>14921.417321325001</v>
      </c>
      <c r="K747" s="6">
        <f t="shared" si="340"/>
        <v>0</v>
      </c>
      <c r="L747" s="5">
        <f t="shared" si="341"/>
        <v>14921.417321325001</v>
      </c>
      <c r="M747" s="6">
        <f t="shared" si="342"/>
        <v>0.98</v>
      </c>
      <c r="N747" s="203">
        <f t="shared" si="343"/>
        <v>14622.988974898501</v>
      </c>
      <c r="P747" s="201">
        <f t="shared" si="344"/>
        <v>14622.988974898501</v>
      </c>
    </row>
    <row r="748" spans="2:17" x14ac:dyDescent="0.35">
      <c r="D748" s="184" t="s">
        <v>256</v>
      </c>
      <c r="F748" s="201">
        <f t="shared" si="336"/>
        <v>14147.360798500002</v>
      </c>
      <c r="G748" s="201"/>
      <c r="H748" s="201">
        <f t="shared" si="337"/>
        <v>16264.053629000002</v>
      </c>
      <c r="I748" s="4">
        <f t="shared" si="338"/>
        <v>2813.6449606149981</v>
      </c>
      <c r="J748" s="201">
        <f t="shared" si="339"/>
        <v>19077.698589615</v>
      </c>
      <c r="K748" s="6">
        <f t="shared" si="340"/>
        <v>0</v>
      </c>
      <c r="L748" s="5">
        <f t="shared" si="341"/>
        <v>19077.698589615</v>
      </c>
      <c r="M748" s="6">
        <f t="shared" si="342"/>
        <v>0.98</v>
      </c>
      <c r="N748" s="203">
        <f t="shared" si="343"/>
        <v>18696.144617822698</v>
      </c>
      <c r="P748" s="201">
        <f t="shared" si="344"/>
        <v>18696.144617822698</v>
      </c>
    </row>
    <row r="749" spans="2:17" x14ac:dyDescent="0.35">
      <c r="Q749" s="183"/>
    </row>
    <row r="750" spans="2:17" x14ac:dyDescent="0.35">
      <c r="B750" s="183" t="s">
        <v>265</v>
      </c>
      <c r="C750" s="183"/>
      <c r="D750" s="183"/>
      <c r="F750" s="216">
        <f>SUM(F679:F749)</f>
        <v>528210.79318999988</v>
      </c>
      <c r="G750" s="216"/>
      <c r="H750" s="237">
        <f>SUM(H679:H749)</f>
        <v>474020.15216399974</v>
      </c>
      <c r="I750" s="216">
        <f>SUM(I679:I749)</f>
        <v>55257.385601429982</v>
      </c>
      <c r="J750" s="216">
        <f>SUM(J679:J749)</f>
        <v>529277.53776543005</v>
      </c>
      <c r="L750" s="216">
        <f>SUM(L679:L749)</f>
        <v>502544.35251960746</v>
      </c>
      <c r="N750" s="216">
        <f>SUM(N679:N749)</f>
        <v>481509.79648384219</v>
      </c>
      <c r="O750" s="216">
        <f t="shared" ref="O750:P750" si="345">SUM(O679:O749)</f>
        <v>0</v>
      </c>
      <c r="P750" s="216">
        <f t="shared" si="345"/>
        <v>481509.79648384219</v>
      </c>
      <c r="Q750" s="217"/>
    </row>
    <row r="751" spans="2:17" x14ac:dyDescent="0.35">
      <c r="I751" s="13">
        <f>I750*N751</f>
        <v>52944.525914527389</v>
      </c>
      <c r="J751" s="201"/>
      <c r="K751" s="201"/>
      <c r="L751" s="201"/>
      <c r="N751" s="6">
        <f>N750/L750</f>
        <v>0.95814388137026263</v>
      </c>
      <c r="Q751" s="218"/>
    </row>
    <row r="752" spans="2:17" x14ac:dyDescent="0.35">
      <c r="I752" s="7" t="s">
        <v>70</v>
      </c>
      <c r="J752" s="201"/>
      <c r="K752" s="201"/>
      <c r="L752" s="201"/>
      <c r="N752" s="6"/>
    </row>
  </sheetData>
  <pageMargins left="0.25" right="0.25" top="0.23478893263342099" bottom="0.38812445319335098" header="0.3" footer="0.3"/>
  <pageSetup scale="18" fitToHeight="4" orientation="landscape" blackAndWhite="1" r:id="rId1"/>
  <headerFooter alignWithMargins="0">
    <oddHeader>&amp;CAdjustment A - Personnel
Hardin County Water District No. 1 - Radcliff Sewer Utility
Alternative Rate Filing Application</oddHeader>
    <oddFooter>&amp;C7/27/2023</oddFooter>
  </headerFooter>
  <rowBreaks count="4" manualBreakCount="4">
    <brk id="553" max="16383" man="1"/>
    <brk id="611" max="16383" man="1"/>
    <brk id="669" max="16383" man="1"/>
    <brk id="753"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8"/>
    <pageSetUpPr fitToPage="1"/>
  </sheetPr>
  <dimension ref="A1:AE183"/>
  <sheetViews>
    <sheetView showGridLines="0" tabSelected="1" defaultGridColor="0" topLeftCell="D1" colorId="24" zoomScale="130" zoomScaleNormal="130" workbookViewId="0">
      <pane ySplit="5" topLeftCell="A6" activePane="bottomLeft" state="frozen"/>
      <selection activeCell="U529" sqref="U529"/>
      <selection pane="bottomLeft" activeCell="P20" sqref="P20"/>
    </sheetView>
  </sheetViews>
  <sheetFormatPr defaultColWidth="9.1796875" defaultRowHeight="12.5" x14ac:dyDescent="0.25"/>
  <cols>
    <col min="1" max="1" width="11.26953125" style="229" hidden="1" customWidth="1"/>
    <col min="2" max="2" width="15" style="227" hidden="1" customWidth="1"/>
    <col min="3" max="3" width="15.1796875" style="228" hidden="1" customWidth="1"/>
    <col min="4" max="4" width="43.54296875" style="229" customWidth="1"/>
    <col min="5" max="11" width="12.7265625" style="18" hidden="1" customWidth="1"/>
    <col min="12" max="16" width="12.7265625" style="18" customWidth="1"/>
    <col min="17" max="17" width="38.54296875" style="18" bestFit="1" customWidth="1"/>
    <col min="18" max="18" width="59" style="227" customWidth="1"/>
    <col min="19" max="20" width="130.453125" style="229" customWidth="1"/>
    <col min="21" max="21" width="2.26953125" style="229" customWidth="1"/>
    <col min="22" max="23" width="13.453125" style="229" customWidth="1"/>
    <col min="24" max="24" width="13.453125" style="229" bestFit="1" customWidth="1"/>
    <col min="25" max="28" width="13.453125" style="229" customWidth="1"/>
    <col min="29" max="29" width="10.26953125" style="229" bestFit="1" customWidth="1"/>
    <col min="30" max="30" width="13.54296875" style="229" customWidth="1"/>
    <col min="31" max="16384" width="9.1796875" style="229"/>
  </cols>
  <sheetData>
    <row r="1" spans="1:31" ht="13" x14ac:dyDescent="0.3">
      <c r="A1" s="15" t="s">
        <v>620</v>
      </c>
      <c r="E1" s="16"/>
      <c r="F1" s="16"/>
      <c r="G1" s="16"/>
      <c r="H1" s="16"/>
      <c r="I1" s="16"/>
      <c r="J1" s="16"/>
      <c r="K1" s="16"/>
      <c r="L1" s="16"/>
      <c r="M1" s="16"/>
      <c r="N1" s="16"/>
      <c r="O1" s="16"/>
      <c r="P1" s="16"/>
      <c r="Q1" s="16"/>
    </row>
    <row r="2" spans="1:31" ht="13" x14ac:dyDescent="0.3">
      <c r="A2" s="15" t="s">
        <v>621</v>
      </c>
      <c r="E2" s="17"/>
      <c r="F2" s="17"/>
      <c r="G2" s="17"/>
      <c r="H2" s="17"/>
      <c r="I2" s="17"/>
      <c r="J2" s="17"/>
      <c r="K2" s="17"/>
      <c r="L2" s="17"/>
      <c r="M2" s="17"/>
      <c r="N2" s="17"/>
      <c r="O2" s="17">
        <v>1.03</v>
      </c>
      <c r="P2" s="17">
        <v>1.03</v>
      </c>
      <c r="Q2" s="17"/>
      <c r="R2" s="230"/>
    </row>
    <row r="3" spans="1:31" ht="13" x14ac:dyDescent="0.3">
      <c r="A3" s="231"/>
      <c r="C3" s="232"/>
      <c r="V3" s="228"/>
      <c r="W3" s="228"/>
      <c r="AC3" s="228"/>
      <c r="AD3" s="228"/>
    </row>
    <row r="4" spans="1:31" ht="13" x14ac:dyDescent="0.3">
      <c r="B4" s="15"/>
      <c r="C4" s="19"/>
      <c r="D4" s="20"/>
      <c r="E4" s="21">
        <v>2018</v>
      </c>
      <c r="F4" s="21">
        <v>2019</v>
      </c>
      <c r="G4" s="21">
        <v>2019</v>
      </c>
      <c r="H4" s="21">
        <v>2020</v>
      </c>
      <c r="I4" s="21">
        <v>2020</v>
      </c>
      <c r="J4" s="21">
        <v>2021</v>
      </c>
      <c r="K4" s="21">
        <v>2021</v>
      </c>
      <c r="L4" s="21">
        <v>2022</v>
      </c>
      <c r="M4" s="21">
        <v>2022</v>
      </c>
      <c r="N4" s="21">
        <v>2022</v>
      </c>
      <c r="O4" s="21">
        <v>2023</v>
      </c>
      <c r="P4" s="21">
        <v>2023</v>
      </c>
      <c r="Q4" s="15" t="s">
        <v>215</v>
      </c>
      <c r="R4" s="22"/>
      <c r="V4" s="228"/>
      <c r="W4" s="228"/>
      <c r="X4" s="228"/>
      <c r="Y4" s="228"/>
      <c r="Z4" s="228"/>
      <c r="AA4" s="228"/>
      <c r="AB4" s="228"/>
      <c r="AC4" s="228"/>
      <c r="AD4" s="228"/>
    </row>
    <row r="5" spans="1:31" ht="13" x14ac:dyDescent="0.3">
      <c r="A5" s="20" t="s">
        <v>622</v>
      </c>
      <c r="B5" s="15" t="s">
        <v>623</v>
      </c>
      <c r="C5" s="19"/>
      <c r="D5" s="20" t="s">
        <v>624</v>
      </c>
      <c r="E5" s="20" t="s">
        <v>1771</v>
      </c>
      <c r="F5" s="20" t="s">
        <v>617</v>
      </c>
      <c r="G5" s="20" t="s">
        <v>1771</v>
      </c>
      <c r="H5" s="20" t="s">
        <v>617</v>
      </c>
      <c r="I5" s="20" t="s">
        <v>1771</v>
      </c>
      <c r="J5" s="20" t="s">
        <v>617</v>
      </c>
      <c r="K5" s="20" t="s">
        <v>1771</v>
      </c>
      <c r="L5" s="20" t="s">
        <v>617</v>
      </c>
      <c r="M5" s="20" t="s">
        <v>625</v>
      </c>
      <c r="N5" s="20" t="s">
        <v>1771</v>
      </c>
      <c r="O5" s="20" t="s">
        <v>617</v>
      </c>
      <c r="P5" s="20" t="s">
        <v>1699</v>
      </c>
      <c r="Q5" s="15" t="s">
        <v>956</v>
      </c>
      <c r="R5" s="22"/>
      <c r="V5" s="23"/>
      <c r="W5" s="23"/>
      <c r="X5" s="228"/>
      <c r="Y5" s="23"/>
      <c r="Z5" s="228"/>
      <c r="AA5" s="228"/>
      <c r="AB5" s="228"/>
      <c r="AC5" s="23"/>
      <c r="AD5" s="23"/>
    </row>
    <row r="6" spans="1:31" x14ac:dyDescent="0.25">
      <c r="A6" s="24" t="str">
        <f>IF(D6&gt;1,(MAX(#REF!))+1,"")</f>
        <v/>
      </c>
      <c r="B6" s="22"/>
      <c r="C6" s="25"/>
      <c r="D6" s="16"/>
      <c r="Q6" s="22"/>
    </row>
    <row r="7" spans="1:31" x14ac:dyDescent="0.25">
      <c r="A7" s="24">
        <f>IF(D7&gt;1,(MAX(A$6:A6))+1,"")</f>
        <v>1</v>
      </c>
      <c r="B7" s="22"/>
      <c r="C7" s="25"/>
      <c r="D7" s="16" t="s">
        <v>659</v>
      </c>
      <c r="Q7" s="22"/>
    </row>
    <row r="8" spans="1:31" x14ac:dyDescent="0.25">
      <c r="A8" s="24">
        <f>IF(D8&gt;1,(MAX(A$6:A7))+1,"")</f>
        <v>2</v>
      </c>
      <c r="B8" s="22"/>
      <c r="C8" s="25"/>
      <c r="D8" s="16" t="s">
        <v>258</v>
      </c>
      <c r="Q8" s="22"/>
      <c r="AE8"/>
    </row>
    <row r="9" spans="1:31" x14ac:dyDescent="0.25">
      <c r="A9" s="24">
        <f>IF(D9&gt;1,(MAX(A$6:A8))+1,"")</f>
        <v>3</v>
      </c>
      <c r="B9" s="22"/>
      <c r="C9" s="228" t="s">
        <v>660</v>
      </c>
      <c r="D9" s="16" t="s">
        <v>627</v>
      </c>
      <c r="E9" s="18">
        <v>180931.12</v>
      </c>
      <c r="F9" s="18">
        <v>167480.84256088376</v>
      </c>
      <c r="G9" s="18">
        <v>177080.36</v>
      </c>
      <c r="H9" s="18">
        <v>177422.08549691306</v>
      </c>
      <c r="I9" s="18">
        <v>185912.37</v>
      </c>
      <c r="J9" s="18">
        <v>183119.14790419029</v>
      </c>
      <c r="K9" s="18">
        <v>188880.81</v>
      </c>
      <c r="L9" s="18">
        <v>187471.24642141239</v>
      </c>
      <c r="M9" s="18">
        <v>133025.47</v>
      </c>
      <c r="N9" s="18">
        <v>174940.14</v>
      </c>
      <c r="O9" s="18">
        <v>172132.5845321099</v>
      </c>
      <c r="P9" s="18">
        <v>172132.58453210999</v>
      </c>
      <c r="Q9" s="22" t="s">
        <v>222</v>
      </c>
      <c r="R9" s="22" t="s">
        <v>1792</v>
      </c>
      <c r="AE9"/>
    </row>
    <row r="10" spans="1:31" x14ac:dyDescent="0.25">
      <c r="A10" s="24">
        <f>IF(D10&gt;1,(MAX(A$6:A9))+1,"")</f>
        <v>4</v>
      </c>
      <c r="B10" s="22"/>
      <c r="C10" s="228" t="s">
        <v>661</v>
      </c>
      <c r="D10" s="16" t="s">
        <v>628</v>
      </c>
      <c r="E10" s="18">
        <v>-15438.74</v>
      </c>
      <c r="F10" s="18">
        <v>-72431.182313022757</v>
      </c>
      <c r="G10" s="18">
        <v>-25688.68</v>
      </c>
      <c r="H10" s="18">
        <v>-15777.384486899411</v>
      </c>
      <c r="I10" s="18">
        <v>-17493.43</v>
      </c>
      <c r="J10" s="18">
        <v>-26451.395139873872</v>
      </c>
      <c r="K10" s="18">
        <v>-30013.13</v>
      </c>
      <c r="L10" s="18">
        <v>-23864.310942000076</v>
      </c>
      <c r="M10" s="18">
        <v>-19371.52</v>
      </c>
      <c r="N10" s="18">
        <v>-24696.16</v>
      </c>
      <c r="O10" s="18">
        <v>-6973.5383960527251</v>
      </c>
      <c r="P10" s="18">
        <v>-6973.5383960527251</v>
      </c>
      <c r="Q10" s="22" t="s">
        <v>222</v>
      </c>
      <c r="R10" s="22" t="s">
        <v>1792</v>
      </c>
      <c r="AE10"/>
    </row>
    <row r="11" spans="1:31" x14ac:dyDescent="0.25">
      <c r="A11" s="24">
        <f>IF(D11&gt;1,(MAX(A$6:A10))+1,"")</f>
        <v>5</v>
      </c>
      <c r="B11" s="22"/>
      <c r="C11" s="228" t="s">
        <v>662</v>
      </c>
      <c r="D11" s="16" t="s">
        <v>162</v>
      </c>
      <c r="E11" s="18">
        <v>13633.27</v>
      </c>
      <c r="F11" s="18">
        <v>13139.689010797438</v>
      </c>
      <c r="G11" s="18">
        <v>13109.57</v>
      </c>
      <c r="H11" s="18">
        <v>13736.724427768944</v>
      </c>
      <c r="I11" s="18">
        <v>13830.72</v>
      </c>
      <c r="J11" s="18">
        <v>14116.877524876481</v>
      </c>
      <c r="K11" s="18">
        <v>14487.51</v>
      </c>
      <c r="L11" s="18">
        <v>14432.178518646779</v>
      </c>
      <c r="M11" s="18">
        <v>9889.2900000000009</v>
      </c>
      <c r="N11" s="18">
        <v>13358.07</v>
      </c>
      <c r="O11" s="18">
        <v>13385.217946231731</v>
      </c>
      <c r="P11" s="18">
        <v>13385.217946231731</v>
      </c>
      <c r="Q11" s="22" t="s">
        <v>222</v>
      </c>
      <c r="R11" s="22" t="s">
        <v>1792</v>
      </c>
      <c r="AE11"/>
    </row>
    <row r="12" spans="1:31" x14ac:dyDescent="0.25">
      <c r="A12" s="24">
        <f>IF(D12&gt;1,(MAX(A$6:A11))+1,"")</f>
        <v>6</v>
      </c>
      <c r="B12" s="22"/>
      <c r="C12" s="228" t="s">
        <v>663</v>
      </c>
      <c r="D12" s="16" t="s">
        <v>55</v>
      </c>
      <c r="E12" s="18">
        <v>100526.51</v>
      </c>
      <c r="F12" s="18">
        <v>39055.449824216092</v>
      </c>
      <c r="G12" s="18">
        <v>124614.74</v>
      </c>
      <c r="H12" s="18">
        <v>45676.169475556431</v>
      </c>
      <c r="I12" s="18">
        <v>123814.04</v>
      </c>
      <c r="J12" s="18">
        <v>46910.370933087448</v>
      </c>
      <c r="K12" s="18">
        <v>52293.57</v>
      </c>
      <c r="L12" s="18">
        <v>53719.406173319032</v>
      </c>
      <c r="M12" s="18">
        <v>35392.46</v>
      </c>
      <c r="N12" s="18">
        <v>46773.54</v>
      </c>
      <c r="O12" s="18">
        <v>49648.66988819711</v>
      </c>
      <c r="P12" s="18">
        <v>49648.66988819711</v>
      </c>
      <c r="Q12" s="22" t="s">
        <v>222</v>
      </c>
      <c r="R12" s="22" t="s">
        <v>1792</v>
      </c>
      <c r="AE12"/>
    </row>
    <row r="13" spans="1:31" x14ac:dyDescent="0.25">
      <c r="A13" s="24">
        <f>IF(D13&gt;1,(MAX(A$6:A12))+1,"")</f>
        <v>7</v>
      </c>
      <c r="B13" s="22"/>
      <c r="C13" s="228" t="s">
        <v>664</v>
      </c>
      <c r="D13" s="16" t="s">
        <v>629</v>
      </c>
      <c r="E13" s="18">
        <v>28255.4</v>
      </c>
      <c r="F13" s="18">
        <v>27989.628648027905</v>
      </c>
      <c r="G13" s="18">
        <v>26821.77</v>
      </c>
      <c r="H13" s="18">
        <v>27995.523617395535</v>
      </c>
      <c r="I13" s="18">
        <v>27731.200000000001</v>
      </c>
      <c r="J13" s="18">
        <v>28174.039657975809</v>
      </c>
      <c r="K13" s="18">
        <v>28118.21</v>
      </c>
      <c r="L13" s="18">
        <v>28265.496806210027</v>
      </c>
      <c r="M13" s="18">
        <v>20868.12</v>
      </c>
      <c r="N13" s="18">
        <v>27883.77</v>
      </c>
      <c r="O13" s="18">
        <v>27771.44871556931</v>
      </c>
      <c r="P13" s="18">
        <v>27771.44871556931</v>
      </c>
      <c r="Q13" s="22" t="s">
        <v>222</v>
      </c>
      <c r="R13" s="22" t="s">
        <v>1792</v>
      </c>
      <c r="AE13"/>
    </row>
    <row r="14" spans="1:31" x14ac:dyDescent="0.25">
      <c r="A14" s="24">
        <f>IF(D14&gt;1,(MAX(A$6:A13))+1,"")</f>
        <v>8</v>
      </c>
      <c r="B14" s="22"/>
      <c r="C14" s="228" t="s">
        <v>665</v>
      </c>
      <c r="D14" s="16" t="s">
        <v>66</v>
      </c>
      <c r="E14" s="18">
        <v>4620.83</v>
      </c>
      <c r="F14" s="18">
        <v>3876.5130806758643</v>
      </c>
      <c r="G14" s="18">
        <v>1378.56</v>
      </c>
      <c r="H14" s="18">
        <v>1637.1471493905667</v>
      </c>
      <c r="I14" s="18">
        <v>1068.3699999999999</v>
      </c>
      <c r="J14" s="18">
        <v>887.01265149258882</v>
      </c>
      <c r="K14" s="18">
        <v>770.08</v>
      </c>
      <c r="L14" s="18">
        <v>657.18049384680398</v>
      </c>
      <c r="M14" s="18">
        <v>1841.58</v>
      </c>
      <c r="N14" s="18">
        <v>2356.1999999999998</v>
      </c>
      <c r="O14" s="18">
        <v>2658.7479481709806</v>
      </c>
      <c r="P14" s="18">
        <v>2658.7479481709806</v>
      </c>
      <c r="Q14" s="22" t="s">
        <v>222</v>
      </c>
      <c r="R14" s="22" t="s">
        <v>1792</v>
      </c>
      <c r="AE14"/>
    </row>
    <row r="15" spans="1:31" x14ac:dyDescent="0.25">
      <c r="A15" s="24">
        <f>IF(D15&gt;1,(MAX(A$6:A14))+1,"")</f>
        <v>9</v>
      </c>
      <c r="B15" s="22"/>
      <c r="C15" s="228" t="s">
        <v>666</v>
      </c>
      <c r="D15" s="16" t="s">
        <v>630</v>
      </c>
      <c r="E15" s="18">
        <v>0</v>
      </c>
      <c r="F15" s="18">
        <v>0</v>
      </c>
      <c r="G15" s="18">
        <v>0</v>
      </c>
      <c r="H15" s="18">
        <v>0</v>
      </c>
      <c r="I15" s="18">
        <v>0</v>
      </c>
      <c r="J15" s="18">
        <v>0</v>
      </c>
      <c r="K15" s="18">
        <v>0</v>
      </c>
      <c r="L15" s="18">
        <v>0</v>
      </c>
      <c r="M15" s="18">
        <v>0</v>
      </c>
      <c r="N15" s="18">
        <v>0</v>
      </c>
      <c r="O15" s="18">
        <v>0</v>
      </c>
      <c r="P15" s="18">
        <v>0</v>
      </c>
      <c r="Q15" s="22" t="s">
        <v>222</v>
      </c>
      <c r="R15" s="227" t="s">
        <v>1793</v>
      </c>
      <c r="AE15"/>
    </row>
    <row r="16" spans="1:31" x14ac:dyDescent="0.25">
      <c r="A16" s="24">
        <f>IF(D16&gt;1,(MAX(A$6:A15))+1,"")</f>
        <v>10</v>
      </c>
      <c r="B16" s="22"/>
      <c r="C16" s="228" t="s">
        <v>667</v>
      </c>
      <c r="D16" s="16" t="s">
        <v>632</v>
      </c>
      <c r="E16" s="18">
        <v>8284.09</v>
      </c>
      <c r="F16" s="18">
        <v>7927.4599837890773</v>
      </c>
      <c r="G16" s="18">
        <v>7461.13</v>
      </c>
      <c r="H16" s="18">
        <v>7719.3508947005821</v>
      </c>
      <c r="I16" s="18">
        <v>7709.04</v>
      </c>
      <c r="J16" s="18">
        <v>7745.9712523387343</v>
      </c>
      <c r="K16" s="18">
        <v>7693.38</v>
      </c>
      <c r="L16" s="18">
        <v>7282.0467901829652</v>
      </c>
      <c r="M16" s="18">
        <v>5403.27</v>
      </c>
      <c r="N16" s="18">
        <v>7222.43</v>
      </c>
      <c r="O16" s="18">
        <v>9226.0176909651345</v>
      </c>
      <c r="P16" s="18">
        <v>9226.0176909651345</v>
      </c>
      <c r="Q16" s="22" t="s">
        <v>222</v>
      </c>
      <c r="R16" s="22" t="s">
        <v>1792</v>
      </c>
      <c r="AE16"/>
    </row>
    <row r="17" spans="1:31" x14ac:dyDescent="0.25">
      <c r="A17" s="24">
        <f>IF(D17&gt;1,(MAX(A$6:A16))+1,"")</f>
        <v>11</v>
      </c>
      <c r="B17" s="22"/>
      <c r="C17" s="228" t="s">
        <v>668</v>
      </c>
      <c r="D17" s="16" t="s">
        <v>633</v>
      </c>
      <c r="E17" s="18">
        <v>3898.36</v>
      </c>
      <c r="F17" s="18">
        <v>5879.6579294948779</v>
      </c>
      <c r="G17" s="18">
        <v>3925.72</v>
      </c>
      <c r="H17" s="18">
        <v>4233.5926107102623</v>
      </c>
      <c r="I17" s="18">
        <v>5170.75</v>
      </c>
      <c r="J17" s="18">
        <v>3680.9274027125184</v>
      </c>
      <c r="K17" s="18">
        <v>3704.12</v>
      </c>
      <c r="L17" s="18">
        <v>3761.9229281421258</v>
      </c>
      <c r="M17" s="18">
        <v>3098.6</v>
      </c>
      <c r="N17" s="18">
        <v>4180.8100000000004</v>
      </c>
      <c r="O17" s="18">
        <v>3494.8556236085328</v>
      </c>
      <c r="P17" s="18">
        <v>3494.8556236085328</v>
      </c>
      <c r="Q17" s="22" t="s">
        <v>226</v>
      </c>
      <c r="R17" s="22" t="s">
        <v>1792</v>
      </c>
      <c r="AE17"/>
    </row>
    <row r="18" spans="1:31" ht="14.25" customHeight="1" x14ac:dyDescent="0.25">
      <c r="A18" s="24">
        <f>IF(D18&gt;1,(MAX(A$6:A17))+1,"")</f>
        <v>12</v>
      </c>
      <c r="B18" s="22"/>
      <c r="C18" s="228" t="s">
        <v>669</v>
      </c>
      <c r="D18" s="16" t="s">
        <v>224</v>
      </c>
      <c r="E18" s="16">
        <v>92808.84</v>
      </c>
      <c r="F18" s="16">
        <v>97200</v>
      </c>
      <c r="G18" s="16">
        <v>96929.7</v>
      </c>
      <c r="H18" s="16">
        <v>100700</v>
      </c>
      <c r="I18" s="16">
        <v>100824.4</v>
      </c>
      <c r="J18" s="16">
        <v>96900</v>
      </c>
      <c r="K18" s="16">
        <v>82671.600000000006</v>
      </c>
      <c r="L18" s="16">
        <v>90800</v>
      </c>
      <c r="M18" s="16">
        <v>71177.8</v>
      </c>
      <c r="N18" s="16">
        <v>90678.6</v>
      </c>
      <c r="O18" s="16">
        <v>97800</v>
      </c>
      <c r="P18" s="16">
        <v>184498</v>
      </c>
      <c r="Q18" s="22" t="s">
        <v>224</v>
      </c>
      <c r="R18" s="227" t="s">
        <v>1883</v>
      </c>
      <c r="AE18"/>
    </row>
    <row r="19" spans="1:31" ht="13" x14ac:dyDescent="0.3">
      <c r="A19" s="24">
        <f>IF(D19&gt;1,(MAX(A$6:A18))+1,"")</f>
        <v>13</v>
      </c>
      <c r="B19" s="22"/>
      <c r="C19" s="26" t="s">
        <v>670</v>
      </c>
      <c r="D19" s="27" t="s">
        <v>19</v>
      </c>
      <c r="E19" s="16">
        <v>146974.72</v>
      </c>
      <c r="F19" s="16">
        <v>156400</v>
      </c>
      <c r="G19" s="16">
        <v>154144.98000000001</v>
      </c>
      <c r="H19" s="16">
        <v>166100</v>
      </c>
      <c r="I19" s="16">
        <v>166136.76</v>
      </c>
      <c r="J19" s="16">
        <v>172400</v>
      </c>
      <c r="K19" s="16">
        <v>183563.73</v>
      </c>
      <c r="L19" s="16">
        <v>191400</v>
      </c>
      <c r="M19" s="16">
        <v>155194.19</v>
      </c>
      <c r="N19" s="16">
        <v>218810.17</v>
      </c>
      <c r="O19" s="16">
        <v>213100</v>
      </c>
      <c r="P19" s="16">
        <f>+N19*P2</f>
        <v>225374.47510000001</v>
      </c>
      <c r="Q19" s="22" t="s">
        <v>19</v>
      </c>
      <c r="R19" s="227" t="s">
        <v>1794</v>
      </c>
      <c r="AE19"/>
    </row>
    <row r="20" spans="1:31" x14ac:dyDescent="0.25">
      <c r="A20" s="24">
        <f>IF(D20&gt;1,(MAX(A$6:A19))+1,"")</f>
        <v>14</v>
      </c>
      <c r="B20" s="22"/>
      <c r="C20" s="228" t="s">
        <v>671</v>
      </c>
      <c r="D20" s="16" t="s">
        <v>160</v>
      </c>
      <c r="E20" s="16">
        <v>13144.04</v>
      </c>
      <c r="F20" s="16">
        <v>14000</v>
      </c>
      <c r="G20" s="16">
        <v>16539.61</v>
      </c>
      <c r="H20" s="16">
        <v>19000</v>
      </c>
      <c r="I20" s="16">
        <v>8599</v>
      </c>
      <c r="J20" s="16">
        <v>12000</v>
      </c>
      <c r="K20" s="16">
        <v>10241.4</v>
      </c>
      <c r="L20" s="16">
        <v>9200</v>
      </c>
      <c r="M20" s="16">
        <v>12610.2</v>
      </c>
      <c r="N20" s="16">
        <v>15919.1</v>
      </c>
      <c r="O20" s="16">
        <v>17300</v>
      </c>
      <c r="P20" s="16">
        <f>+O20</f>
        <v>17300</v>
      </c>
      <c r="Q20" s="22" t="s">
        <v>160</v>
      </c>
      <c r="R20" s="227" t="s">
        <v>1795</v>
      </c>
      <c r="AE20"/>
    </row>
    <row r="21" spans="1:31" x14ac:dyDescent="0.25">
      <c r="A21" s="24">
        <f>IF(D21&gt;1,(MAX(A$6:A20))+1,"")</f>
        <v>15</v>
      </c>
      <c r="B21" s="22"/>
      <c r="C21" s="228" t="s">
        <v>672</v>
      </c>
      <c r="D21" s="16" t="s">
        <v>634</v>
      </c>
      <c r="E21" s="16">
        <v>8373.34</v>
      </c>
      <c r="F21" s="16">
        <v>10000</v>
      </c>
      <c r="G21" s="16">
        <v>6291.41</v>
      </c>
      <c r="H21" s="16">
        <v>9900</v>
      </c>
      <c r="I21" s="16">
        <v>4636.91</v>
      </c>
      <c r="J21" s="16">
        <v>6900</v>
      </c>
      <c r="K21" s="16">
        <v>5409.97</v>
      </c>
      <c r="L21" s="16">
        <v>6700</v>
      </c>
      <c r="M21" s="16">
        <v>4332.42</v>
      </c>
      <c r="N21" s="16">
        <v>5979</v>
      </c>
      <c r="O21" s="16">
        <v>8000</v>
      </c>
      <c r="P21" s="16">
        <f>ROUND(IF((N21/1)&gt;L21,(N21/1)*$P$2,AVERAGE(K21,(N21/1)))+450+2000,-2)</f>
        <v>8100</v>
      </c>
      <c r="Q21" s="22" t="s">
        <v>228</v>
      </c>
      <c r="R21" s="227" t="s">
        <v>1796</v>
      </c>
      <c r="AE21"/>
    </row>
    <row r="22" spans="1:31" x14ac:dyDescent="0.25">
      <c r="A22" s="24">
        <f>IF(D22&gt;1,(MAX(A$6:A21))+1,"")</f>
        <v>16</v>
      </c>
      <c r="B22" s="22"/>
      <c r="C22" s="228" t="s">
        <v>673</v>
      </c>
      <c r="D22" s="16" t="s">
        <v>25</v>
      </c>
      <c r="E22" s="16">
        <v>29374.81</v>
      </c>
      <c r="F22" s="16">
        <v>23600</v>
      </c>
      <c r="G22" s="16">
        <v>20993.279999999999</v>
      </c>
      <c r="H22" s="16">
        <v>27000</v>
      </c>
      <c r="I22" s="16">
        <v>15652.76</v>
      </c>
      <c r="J22" s="16">
        <v>25800</v>
      </c>
      <c r="K22" s="16">
        <v>17266.509999999998</v>
      </c>
      <c r="L22" s="16">
        <v>31900</v>
      </c>
      <c r="M22" s="16">
        <v>23637.599999999999</v>
      </c>
      <c r="N22" s="16">
        <v>27382.84</v>
      </c>
      <c r="O22" s="16">
        <v>40400</v>
      </c>
      <c r="P22" s="16">
        <f>ROUND((((N22-9000)/1)*1.03)+1250+3250+1800+14000,-2)</f>
        <v>39200</v>
      </c>
      <c r="Q22" s="22" t="s">
        <v>25</v>
      </c>
      <c r="R22" s="227" t="s">
        <v>1797</v>
      </c>
      <c r="AE22"/>
    </row>
    <row r="23" spans="1:31" x14ac:dyDescent="0.25">
      <c r="A23" s="24">
        <f>IF(D23&gt;1,(MAX(A$6:A22))+1,"")</f>
        <v>17</v>
      </c>
      <c r="B23" s="22"/>
      <c r="C23" s="228" t="s">
        <v>674</v>
      </c>
      <c r="D23" s="16" t="s">
        <v>225</v>
      </c>
      <c r="E23" s="16">
        <v>1333.03</v>
      </c>
      <c r="F23" s="16">
        <v>4000</v>
      </c>
      <c r="G23" s="16">
        <v>1076.0899999999999</v>
      </c>
      <c r="H23" s="16">
        <v>1200</v>
      </c>
      <c r="I23" s="16">
        <v>252.02</v>
      </c>
      <c r="J23" s="16">
        <v>600</v>
      </c>
      <c r="K23" s="16">
        <v>994.74</v>
      </c>
      <c r="L23" s="16">
        <v>1500</v>
      </c>
      <c r="M23" s="16">
        <v>44.97</v>
      </c>
      <c r="N23" s="16">
        <v>331.36</v>
      </c>
      <c r="O23" s="16">
        <v>1800</v>
      </c>
      <c r="P23" s="16">
        <f>ROUND(IF((N23/1)&gt;L23,(N23/1)*$P$2,AVERAGE(K23,(N23/1)))+1250,-2)</f>
        <v>1900</v>
      </c>
      <c r="Q23" s="22" t="s">
        <v>225</v>
      </c>
      <c r="R23" s="227" t="s">
        <v>1798</v>
      </c>
      <c r="AE23"/>
    </row>
    <row r="24" spans="1:31" x14ac:dyDescent="0.25">
      <c r="A24" s="24">
        <f>IF(D24&gt;1,(MAX(A$6:A23))+1,"")</f>
        <v>18</v>
      </c>
      <c r="B24" s="22"/>
      <c r="C24" s="228" t="s">
        <v>675</v>
      </c>
      <c r="D24" s="16" t="s">
        <v>13</v>
      </c>
      <c r="E24" s="16">
        <v>2245.86</v>
      </c>
      <c r="F24" s="16">
        <v>9600</v>
      </c>
      <c r="G24" s="16">
        <v>4344.09</v>
      </c>
      <c r="H24" s="16">
        <v>7900</v>
      </c>
      <c r="I24" s="16">
        <v>2135.75</v>
      </c>
      <c r="J24" s="16">
        <v>5400</v>
      </c>
      <c r="K24" s="16">
        <v>904.5</v>
      </c>
      <c r="L24" s="16">
        <v>3400</v>
      </c>
      <c r="M24" s="16">
        <v>600.5</v>
      </c>
      <c r="N24" s="16">
        <v>632</v>
      </c>
      <c r="O24" s="16">
        <v>2700</v>
      </c>
      <c r="P24" s="16">
        <f>ROUND(IF((N24/1)&gt;L24,(N24/1)*$P$2,AVERAGE(K24,(N24/1)))+1400+400,-2)</f>
        <v>2600</v>
      </c>
      <c r="Q24" s="22" t="s">
        <v>13</v>
      </c>
      <c r="R24" s="227" t="s">
        <v>1799</v>
      </c>
      <c r="AE24"/>
    </row>
    <row r="25" spans="1:31" x14ac:dyDescent="0.25">
      <c r="A25" s="24">
        <f>IF(D25&gt;1,(MAX(A$6:A24))+1,"")</f>
        <v>19</v>
      </c>
      <c r="B25" s="22"/>
      <c r="C25" s="228" t="s">
        <v>676</v>
      </c>
      <c r="D25" s="16" t="s">
        <v>635</v>
      </c>
      <c r="E25" s="16">
        <v>20034</v>
      </c>
      <c r="F25" s="16">
        <v>23600</v>
      </c>
      <c r="G25" s="16">
        <v>20762</v>
      </c>
      <c r="H25" s="16">
        <v>19100</v>
      </c>
      <c r="I25" s="16">
        <v>19659.21</v>
      </c>
      <c r="J25" s="16">
        <v>20500</v>
      </c>
      <c r="K25" s="16">
        <v>25199.73</v>
      </c>
      <c r="L25" s="16">
        <v>24400</v>
      </c>
      <c r="M25" s="16">
        <v>17414.03</v>
      </c>
      <c r="N25" s="16">
        <v>25543.1</v>
      </c>
      <c r="O25" s="16">
        <v>24900</v>
      </c>
      <c r="P25" s="16">
        <f>ROUND(((N25/1)*1.072),-2)</f>
        <v>27400</v>
      </c>
      <c r="Q25" s="22" t="s">
        <v>13</v>
      </c>
      <c r="R25" s="227" t="s">
        <v>1800</v>
      </c>
      <c r="AE25"/>
    </row>
    <row r="26" spans="1:31" x14ac:dyDescent="0.25">
      <c r="A26" s="24">
        <f>IF(D26&gt;1,(MAX(A$6:A25))+1,"")</f>
        <v>20</v>
      </c>
      <c r="B26" s="22"/>
      <c r="C26" s="228" t="s">
        <v>677</v>
      </c>
      <c r="D26" s="16" t="s">
        <v>14</v>
      </c>
      <c r="E26" s="16">
        <v>4284.24</v>
      </c>
      <c r="F26" s="16">
        <v>7300</v>
      </c>
      <c r="G26" s="16">
        <v>3595.7</v>
      </c>
      <c r="H26" s="16">
        <v>4500</v>
      </c>
      <c r="I26" s="16">
        <v>1429.01</v>
      </c>
      <c r="J26" s="16">
        <v>2600</v>
      </c>
      <c r="K26" s="16">
        <v>4928</v>
      </c>
      <c r="L26" s="16">
        <v>4200</v>
      </c>
      <c r="M26" s="16">
        <v>2971.63</v>
      </c>
      <c r="N26" s="16">
        <v>5339.67</v>
      </c>
      <c r="O26" s="16">
        <v>3800</v>
      </c>
      <c r="P26" s="16">
        <f>ROUND(IF(((N26-1000)/1)&gt;L26,((N26-1000)/1)*$P$2,AVERAGE(K26,((N26-1000)/1))),-2)</f>
        <v>4500</v>
      </c>
      <c r="Q26" s="22" t="s">
        <v>14</v>
      </c>
      <c r="R26" s="227" t="s">
        <v>1801</v>
      </c>
      <c r="AE26"/>
    </row>
    <row r="27" spans="1:31" x14ac:dyDescent="0.25">
      <c r="A27" s="24">
        <f>IF(D27&gt;1,(MAX(A$6:A26))+1,"")</f>
        <v>21</v>
      </c>
      <c r="B27" s="22"/>
      <c r="C27" s="228" t="s">
        <v>678</v>
      </c>
      <c r="D27" s="16" t="s">
        <v>229</v>
      </c>
      <c r="E27" s="16">
        <v>2880.18</v>
      </c>
      <c r="F27" s="16">
        <v>3200</v>
      </c>
      <c r="G27" s="16">
        <v>2829.74</v>
      </c>
      <c r="H27" s="16">
        <v>2900</v>
      </c>
      <c r="I27" s="16">
        <v>3311.91</v>
      </c>
      <c r="J27" s="16">
        <v>3500</v>
      </c>
      <c r="K27" s="16">
        <v>2096.56</v>
      </c>
      <c r="L27" s="16">
        <v>2700</v>
      </c>
      <c r="M27" s="16">
        <v>1552.46</v>
      </c>
      <c r="N27" s="16">
        <v>2066.63</v>
      </c>
      <c r="O27" s="16">
        <v>2100</v>
      </c>
      <c r="P27" s="16">
        <f>ROUND(IF((N27/1)&gt;L27,(N27/1)*$P$2,AVERAGE(K27,(N27/1))),-2)</f>
        <v>2100</v>
      </c>
      <c r="Q27" s="22" t="s">
        <v>229</v>
      </c>
      <c r="R27" s="227" t="s">
        <v>1794</v>
      </c>
      <c r="AE27"/>
    </row>
    <row r="28" spans="1:31" x14ac:dyDescent="0.25">
      <c r="A28" s="24" t="str">
        <f>IF(D28&gt;1,(MAX(A$6:A27))+1,"")</f>
        <v/>
      </c>
      <c r="B28" s="22"/>
      <c r="D28" s="16"/>
      <c r="E28" s="235"/>
      <c r="F28" s="235"/>
      <c r="G28" s="235"/>
      <c r="H28" s="235"/>
      <c r="I28" s="235"/>
      <c r="J28" s="235"/>
      <c r="K28" s="235"/>
      <c r="L28" s="235"/>
      <c r="M28" s="235"/>
      <c r="N28" s="235"/>
      <c r="O28" s="235"/>
      <c r="P28" s="235"/>
      <c r="Q28" s="22"/>
      <c r="AE28"/>
    </row>
    <row r="29" spans="1:31" x14ac:dyDescent="0.25">
      <c r="A29" s="24">
        <f>IF(D29&gt;1,(MAX(A$6:A28))+1,"")</f>
        <v>22</v>
      </c>
      <c r="B29" s="22"/>
      <c r="D29" s="16" t="s">
        <v>626</v>
      </c>
      <c r="E29" s="18">
        <f>SUM(E9:E28)</f>
        <v>646163.90000000014</v>
      </c>
      <c r="F29" s="18">
        <f>SUM(F9:F28)</f>
        <v>541818.05872486229</v>
      </c>
      <c r="G29" s="18">
        <f>SUM(G9:G28)</f>
        <v>656209.7699999999</v>
      </c>
      <c r="H29" s="18">
        <v>620943.20918553602</v>
      </c>
      <c r="I29" s="18">
        <f>SUM(I9:I28)</f>
        <v>670380.79</v>
      </c>
      <c r="J29" s="18">
        <v>604782.95218679996</v>
      </c>
      <c r="K29" s="18">
        <f>SUM(K9:K28)</f>
        <v>599211.29</v>
      </c>
      <c r="L29" s="18">
        <v>637925.16718976002</v>
      </c>
      <c r="M29" s="18">
        <f t="shared" ref="M29:P29" si="0">SUM(M9:M28)</f>
        <v>479683.06999999989</v>
      </c>
      <c r="N29" s="18">
        <f t="shared" si="0"/>
        <v>644701.27</v>
      </c>
      <c r="O29" s="18">
        <f t="shared" si="0"/>
        <v>683244.00394880003</v>
      </c>
      <c r="P29" s="18">
        <f t="shared" si="0"/>
        <v>784316.47904880007</v>
      </c>
      <c r="Q29" s="22"/>
      <c r="AE29"/>
    </row>
    <row r="30" spans="1:31" x14ac:dyDescent="0.25">
      <c r="A30" s="24" t="str">
        <f>IF(D30&gt;1,(MAX(A$6:A29))+1,"")</f>
        <v/>
      </c>
      <c r="B30" s="22"/>
      <c r="D30" s="16"/>
      <c r="Q30" s="22"/>
      <c r="AE30"/>
    </row>
    <row r="31" spans="1:31" x14ac:dyDescent="0.25">
      <c r="A31" s="24" t="str">
        <f>IF(D31&gt;1,(MAX(A$6:A30))+1,"")</f>
        <v/>
      </c>
      <c r="B31" s="22"/>
      <c r="D31" s="16"/>
      <c r="Q31" s="22"/>
      <c r="AE31"/>
    </row>
    <row r="32" spans="1:31" x14ac:dyDescent="0.25">
      <c r="A32" s="24">
        <f>IF(D32&gt;1,(MAX(A$6:A31))+1,"")</f>
        <v>23</v>
      </c>
      <c r="B32" s="22"/>
      <c r="C32" s="25"/>
      <c r="D32" s="16" t="s">
        <v>261</v>
      </c>
      <c r="Q32" s="22"/>
      <c r="AE32"/>
    </row>
    <row r="33" spans="1:31" x14ac:dyDescent="0.25">
      <c r="A33" s="24">
        <f>IF(D33&gt;1,(MAX(A$6:A32))+1,"")</f>
        <v>24</v>
      </c>
      <c r="B33" s="22"/>
      <c r="C33" s="228" t="s">
        <v>679</v>
      </c>
      <c r="D33" s="16" t="s">
        <v>627</v>
      </c>
      <c r="E33" s="18">
        <v>462054.75</v>
      </c>
      <c r="F33" s="18">
        <v>481692.3368943198</v>
      </c>
      <c r="G33" s="18">
        <v>463207.83</v>
      </c>
      <c r="H33" s="18">
        <v>440739.40197455941</v>
      </c>
      <c r="I33" s="18">
        <v>447799.98</v>
      </c>
      <c r="J33" s="18">
        <v>443166.45710580098</v>
      </c>
      <c r="K33" s="18">
        <v>451558.58</v>
      </c>
      <c r="L33" s="18">
        <v>410194.0839426457</v>
      </c>
      <c r="M33" s="18">
        <v>303337.46000000002</v>
      </c>
      <c r="N33" s="18">
        <v>419566.98</v>
      </c>
      <c r="O33" s="18">
        <v>445773.99007259833</v>
      </c>
      <c r="P33" s="18">
        <v>445773.99007259833</v>
      </c>
      <c r="Q33" s="22" t="s">
        <v>2</v>
      </c>
      <c r="R33" s="22" t="s">
        <v>1792</v>
      </c>
      <c r="AE33"/>
    </row>
    <row r="34" spans="1:31" x14ac:dyDescent="0.25">
      <c r="A34" s="24">
        <f>IF(D34&gt;1,(MAX(A$6:A33))+1,"")</f>
        <v>25</v>
      </c>
      <c r="B34" s="22"/>
      <c r="C34" s="228" t="s">
        <v>680</v>
      </c>
      <c r="D34" s="16" t="s">
        <v>628</v>
      </c>
      <c r="E34" s="18">
        <v>-139827.25</v>
      </c>
      <c r="F34" s="18">
        <v>-143629.14659416224</v>
      </c>
      <c r="G34" s="18">
        <v>-157561.32</v>
      </c>
      <c r="H34" s="18">
        <v>-100588.24168857624</v>
      </c>
      <c r="I34" s="18">
        <v>-114452.74</v>
      </c>
      <c r="J34" s="18">
        <v>-97075.375286839597</v>
      </c>
      <c r="K34" s="18">
        <v>-124518.58</v>
      </c>
      <c r="L34" s="18">
        <v>-85298.792288014025</v>
      </c>
      <c r="M34" s="18">
        <v>-76729.210000000006</v>
      </c>
      <c r="N34" s="18">
        <v>-103183.71</v>
      </c>
      <c r="O34" s="18">
        <v>-85294.217340478892</v>
      </c>
      <c r="P34" s="18">
        <v>-85294.217340478892</v>
      </c>
      <c r="Q34" s="22" t="s">
        <v>2</v>
      </c>
      <c r="R34" s="22" t="s">
        <v>1792</v>
      </c>
      <c r="AE34"/>
    </row>
    <row r="35" spans="1:31" x14ac:dyDescent="0.25">
      <c r="A35" s="24">
        <f>IF(D35&gt;1,(MAX(A$6:A34))+1,"")</f>
        <v>26</v>
      </c>
      <c r="B35" s="22"/>
      <c r="C35" s="228" t="s">
        <v>681</v>
      </c>
      <c r="D35" s="16" t="s">
        <v>162</v>
      </c>
      <c r="E35" s="18">
        <v>33893.61</v>
      </c>
      <c r="F35" s="18">
        <v>38033.949620171734</v>
      </c>
      <c r="G35" s="18">
        <v>39953.339999999997</v>
      </c>
      <c r="H35" s="18">
        <v>34564.861683231131</v>
      </c>
      <c r="I35" s="18">
        <v>32863.519999999997</v>
      </c>
      <c r="J35" s="18">
        <v>34207.808559962468</v>
      </c>
      <c r="K35" s="18">
        <v>33943.47</v>
      </c>
      <c r="L35" s="18">
        <v>31978.049553353569</v>
      </c>
      <c r="M35" s="18">
        <v>23184.65</v>
      </c>
      <c r="N35" s="18">
        <v>31183.85</v>
      </c>
      <c r="O35" s="18">
        <v>34963.740253352196</v>
      </c>
      <c r="P35" s="18">
        <v>34963.740253352196</v>
      </c>
      <c r="Q35" s="22" t="s">
        <v>2</v>
      </c>
      <c r="R35" s="22" t="s">
        <v>1792</v>
      </c>
      <c r="AE35"/>
    </row>
    <row r="36" spans="1:31" x14ac:dyDescent="0.25">
      <c r="A36" s="24">
        <f>IF(D36&gt;1,(MAX(A$6:A35))+1,"")</f>
        <v>27</v>
      </c>
      <c r="B36" s="22"/>
      <c r="C36" s="228" t="s">
        <v>682</v>
      </c>
      <c r="D36" s="16" t="s">
        <v>55</v>
      </c>
      <c r="E36" s="18">
        <v>237988.87</v>
      </c>
      <c r="F36" s="18">
        <v>113111.31445149377</v>
      </c>
      <c r="G36" s="18">
        <v>325532.38</v>
      </c>
      <c r="H36" s="18">
        <v>114604.55012043031</v>
      </c>
      <c r="I36" s="18">
        <v>290072.05</v>
      </c>
      <c r="J36" s="18">
        <v>113942.33796276254</v>
      </c>
      <c r="K36" s="18">
        <v>123723.76</v>
      </c>
      <c r="L36" s="18">
        <v>119193.41493145286</v>
      </c>
      <c r="M36" s="18">
        <v>84655.09</v>
      </c>
      <c r="N36" s="18">
        <v>111137.89</v>
      </c>
      <c r="O36" s="18">
        <v>129555.1783305064</v>
      </c>
      <c r="P36" s="18">
        <v>129555.1783305064</v>
      </c>
      <c r="Q36" s="22" t="s">
        <v>2</v>
      </c>
      <c r="R36" s="22" t="s">
        <v>1792</v>
      </c>
      <c r="AE36"/>
    </row>
    <row r="37" spans="1:31" x14ac:dyDescent="0.25">
      <c r="A37" s="24">
        <f>IF(D37&gt;1,(MAX(A$6:A36))+1,"")</f>
        <v>28</v>
      </c>
      <c r="B37" s="22"/>
      <c r="C37" s="228" t="s">
        <v>683</v>
      </c>
      <c r="D37" s="16" t="s">
        <v>629</v>
      </c>
      <c r="E37" s="18">
        <v>60161.58</v>
      </c>
      <c r="F37" s="18">
        <v>68885.843457638752</v>
      </c>
      <c r="G37" s="18">
        <v>62413.86</v>
      </c>
      <c r="H37" s="18">
        <v>62393.383474723414</v>
      </c>
      <c r="I37" s="18">
        <v>60553.73</v>
      </c>
      <c r="J37" s="18">
        <v>63213.217354914603</v>
      </c>
      <c r="K37" s="18">
        <v>62139.66</v>
      </c>
      <c r="L37" s="18">
        <v>58816.560358178554</v>
      </c>
      <c r="M37" s="18">
        <v>40805.69</v>
      </c>
      <c r="N37" s="18">
        <v>55037.919999999998</v>
      </c>
      <c r="O37" s="18">
        <v>60207.55855584082</v>
      </c>
      <c r="P37" s="18">
        <v>60207.55855584082</v>
      </c>
      <c r="Q37" s="22" t="s">
        <v>2</v>
      </c>
      <c r="R37" s="22" t="s">
        <v>1792</v>
      </c>
      <c r="AE37"/>
    </row>
    <row r="38" spans="1:31" x14ac:dyDescent="0.25">
      <c r="A38" s="24">
        <f>IF(D38&gt;1,(MAX(A$6:A37))+1,"")</f>
        <v>29</v>
      </c>
      <c r="B38" s="22"/>
      <c r="C38" s="228" t="s">
        <v>684</v>
      </c>
      <c r="D38" s="16" t="s">
        <v>66</v>
      </c>
      <c r="E38" s="18">
        <v>11587.84</v>
      </c>
      <c r="F38" s="18">
        <v>14903.171203662368</v>
      </c>
      <c r="G38" s="18">
        <v>7749.24</v>
      </c>
      <c r="H38" s="18">
        <v>8442.8253860855621</v>
      </c>
      <c r="I38" s="18">
        <v>4703.49</v>
      </c>
      <c r="J38" s="18">
        <v>3547.931554791905</v>
      </c>
      <c r="K38" s="18">
        <v>6548.23</v>
      </c>
      <c r="L38" s="18">
        <v>7126.6902833056574</v>
      </c>
      <c r="M38" s="18">
        <v>7501.16</v>
      </c>
      <c r="N38" s="18">
        <v>9490.02</v>
      </c>
      <c r="O38" s="18">
        <v>10532.092171862805</v>
      </c>
      <c r="P38" s="18">
        <v>10532.092171862805</v>
      </c>
      <c r="Q38" s="22" t="s">
        <v>2</v>
      </c>
      <c r="R38" s="22" t="s">
        <v>1792</v>
      </c>
      <c r="AE38"/>
    </row>
    <row r="39" spans="1:31" x14ac:dyDescent="0.25">
      <c r="A39" s="24">
        <f>IF(D39&gt;1,(MAX(A$6:A38))+1,"")</f>
        <v>30</v>
      </c>
      <c r="B39" s="22"/>
      <c r="C39" s="228" t="s">
        <v>685</v>
      </c>
      <c r="D39" s="16" t="s">
        <v>630</v>
      </c>
      <c r="E39" s="18">
        <v>0</v>
      </c>
      <c r="F39" s="18">
        <v>0</v>
      </c>
      <c r="G39" s="18">
        <v>0</v>
      </c>
      <c r="H39" s="18">
        <v>0</v>
      </c>
      <c r="I39" s="18">
        <v>0</v>
      </c>
      <c r="J39" s="18">
        <v>0</v>
      </c>
      <c r="K39" s="18">
        <v>0</v>
      </c>
      <c r="L39" s="18">
        <v>0</v>
      </c>
      <c r="M39" s="18">
        <v>0</v>
      </c>
      <c r="N39" s="18">
        <v>0</v>
      </c>
      <c r="O39" s="18">
        <v>0</v>
      </c>
      <c r="P39" s="18">
        <v>0</v>
      </c>
      <c r="Q39" s="22" t="s">
        <v>2</v>
      </c>
      <c r="R39" s="227" t="s">
        <v>1793</v>
      </c>
      <c r="AE39"/>
    </row>
    <row r="40" spans="1:31" x14ac:dyDescent="0.25">
      <c r="A40" s="24">
        <f>IF(D40&gt;1,(MAX(A$6:A39))+1,"")</f>
        <v>31</v>
      </c>
      <c r="B40" s="22"/>
      <c r="C40" s="228" t="s">
        <v>686</v>
      </c>
      <c r="D40" s="16" t="s">
        <v>632</v>
      </c>
      <c r="E40" s="18">
        <v>16954.099999999999</v>
      </c>
      <c r="F40" s="18">
        <v>19030.723114115921</v>
      </c>
      <c r="G40" s="18">
        <v>16749.22</v>
      </c>
      <c r="H40" s="18">
        <v>17051.23615686519</v>
      </c>
      <c r="I40" s="18">
        <v>16721.12</v>
      </c>
      <c r="J40" s="18">
        <v>17262.97963875849</v>
      </c>
      <c r="K40" s="18">
        <v>16684.75</v>
      </c>
      <c r="L40" s="18">
        <v>15058.12926195074</v>
      </c>
      <c r="M40" s="18">
        <v>10296.629999999999</v>
      </c>
      <c r="N40" s="18">
        <v>13931.8</v>
      </c>
      <c r="O40" s="18">
        <v>19717.29344641346</v>
      </c>
      <c r="P40" s="18">
        <v>19717.29344641346</v>
      </c>
      <c r="Q40" s="22" t="s">
        <v>2</v>
      </c>
      <c r="R40" s="22" t="s">
        <v>1792</v>
      </c>
      <c r="AE40"/>
    </row>
    <row r="41" spans="1:31" x14ac:dyDescent="0.25">
      <c r="A41" s="24">
        <f>IF(D41&gt;1,(MAX(A$6:A40))+1,"")</f>
        <v>32</v>
      </c>
      <c r="B41" s="22"/>
      <c r="C41" s="228" t="s">
        <v>687</v>
      </c>
      <c r="D41" s="16" t="s">
        <v>633</v>
      </c>
      <c r="E41" s="18">
        <v>10700.33</v>
      </c>
      <c r="F41" s="18">
        <v>16756.472926125545</v>
      </c>
      <c r="G41" s="18">
        <v>10635.25</v>
      </c>
      <c r="H41" s="18">
        <v>10877.726005729273</v>
      </c>
      <c r="I41" s="18">
        <v>13393.62</v>
      </c>
      <c r="J41" s="18">
        <v>9096.8957404898501</v>
      </c>
      <c r="K41" s="18">
        <v>9078.5300000000007</v>
      </c>
      <c r="L41" s="18">
        <v>8520.662519012094</v>
      </c>
      <c r="M41" s="18">
        <v>6386.52</v>
      </c>
      <c r="N41" s="18">
        <v>8621.06</v>
      </c>
      <c r="O41" s="18">
        <v>9324.2123675416406</v>
      </c>
      <c r="P41" s="18">
        <v>9324.2123675416406</v>
      </c>
      <c r="Q41" s="22" t="s">
        <v>226</v>
      </c>
      <c r="R41" s="22" t="s">
        <v>1792</v>
      </c>
      <c r="AE41"/>
    </row>
    <row r="42" spans="1:31" x14ac:dyDescent="0.25">
      <c r="A42" s="24">
        <f>IF(D42&gt;1,(MAX(A$6:A41))+1,"")</f>
        <v>33</v>
      </c>
      <c r="B42" s="22"/>
      <c r="C42" s="228" t="s">
        <v>688</v>
      </c>
      <c r="D42" s="16" t="s">
        <v>631</v>
      </c>
      <c r="E42" s="18">
        <v>1942.31</v>
      </c>
      <c r="F42" s="18">
        <v>1009.5986944261484</v>
      </c>
      <c r="G42" s="18">
        <v>1818.97</v>
      </c>
      <c r="H42" s="18">
        <v>3002.773491939904</v>
      </c>
      <c r="I42" s="18">
        <v>1945.22</v>
      </c>
      <c r="J42" s="18">
        <v>879.5747387615221</v>
      </c>
      <c r="K42" s="18">
        <v>0</v>
      </c>
      <c r="L42" s="18">
        <v>936.58372542687994</v>
      </c>
      <c r="M42" s="18">
        <v>0</v>
      </c>
      <c r="N42" s="18">
        <v>0</v>
      </c>
      <c r="O42" s="18">
        <v>1101.3514635632966</v>
      </c>
      <c r="P42" s="18">
        <v>1101.3514635632966</v>
      </c>
      <c r="Q42" s="22" t="s">
        <v>2</v>
      </c>
      <c r="R42" s="22" t="s">
        <v>1792</v>
      </c>
      <c r="AE42"/>
    </row>
    <row r="43" spans="1:31" x14ac:dyDescent="0.25">
      <c r="A43" s="24">
        <f>IF(D43&gt;1,(MAX(A$6:A42))+1,"")</f>
        <v>34</v>
      </c>
      <c r="B43" s="22" t="s">
        <v>689</v>
      </c>
      <c r="C43" s="25" t="s">
        <v>690</v>
      </c>
      <c r="D43" s="16" t="s">
        <v>691</v>
      </c>
      <c r="E43" s="16">
        <v>445.85</v>
      </c>
      <c r="F43" s="16">
        <v>800</v>
      </c>
      <c r="G43" s="16">
        <v>306.95</v>
      </c>
      <c r="H43" s="16">
        <v>500</v>
      </c>
      <c r="I43" s="16">
        <v>144.25</v>
      </c>
      <c r="J43" s="16">
        <v>500</v>
      </c>
      <c r="K43" s="16">
        <v>178.11</v>
      </c>
      <c r="L43" s="16">
        <v>500</v>
      </c>
      <c r="M43" s="16">
        <v>415.61</v>
      </c>
      <c r="N43" s="16">
        <v>601.24</v>
      </c>
      <c r="O43" s="16">
        <v>600</v>
      </c>
      <c r="P43" s="16">
        <f>+O43</f>
        <v>600</v>
      </c>
      <c r="Q43" s="22" t="s">
        <v>231</v>
      </c>
      <c r="R43" s="227" t="s">
        <v>1802</v>
      </c>
      <c r="AE43"/>
    </row>
    <row r="44" spans="1:31" ht="13" x14ac:dyDescent="0.3">
      <c r="A44" s="24">
        <f>IF(D44&gt;1,(MAX(A$6:A43))+1,"")</f>
        <v>35</v>
      </c>
      <c r="B44" s="22"/>
      <c r="C44" s="228" t="s">
        <v>692</v>
      </c>
      <c r="D44" s="27" t="s">
        <v>19</v>
      </c>
      <c r="E44" s="16">
        <v>209282.51</v>
      </c>
      <c r="F44" s="16">
        <v>216500</v>
      </c>
      <c r="G44" s="16">
        <v>181900.72</v>
      </c>
      <c r="H44" s="16">
        <v>201600</v>
      </c>
      <c r="I44" s="16">
        <v>201219.98</v>
      </c>
      <c r="J44" s="16">
        <v>218600</v>
      </c>
      <c r="K44" s="16">
        <v>182201.77</v>
      </c>
      <c r="L44" s="16">
        <v>190500</v>
      </c>
      <c r="M44" s="16">
        <v>150017.45000000001</v>
      </c>
      <c r="N44" s="16">
        <v>174276.9</v>
      </c>
      <c r="O44" s="16">
        <v>206000</v>
      </c>
      <c r="P44" s="16">
        <f>+N44*P2</f>
        <v>179505.20699999999</v>
      </c>
      <c r="Q44" s="22" t="s">
        <v>19</v>
      </c>
      <c r="R44" s="227" t="s">
        <v>1794</v>
      </c>
      <c r="AE44"/>
    </row>
    <row r="45" spans="1:31" x14ac:dyDescent="0.25">
      <c r="A45" s="24">
        <f>IF(D45&gt;1,(MAX(A$6:A44))+1,"")</f>
        <v>36</v>
      </c>
      <c r="B45" s="22"/>
      <c r="C45" s="228" t="s">
        <v>693</v>
      </c>
      <c r="D45" s="16" t="s">
        <v>634</v>
      </c>
      <c r="E45" s="16">
        <v>5743.11</v>
      </c>
      <c r="F45" s="16">
        <v>7700</v>
      </c>
      <c r="G45" s="16">
        <v>10167.25</v>
      </c>
      <c r="H45" s="16">
        <v>5800</v>
      </c>
      <c r="I45" s="16">
        <v>4571.12</v>
      </c>
      <c r="J45" s="16">
        <v>7600</v>
      </c>
      <c r="K45" s="16">
        <v>4351.18</v>
      </c>
      <c r="L45" s="16">
        <v>4400</v>
      </c>
      <c r="M45" s="16">
        <v>3514.22</v>
      </c>
      <c r="N45" s="16">
        <v>3784.51</v>
      </c>
      <c r="O45" s="16">
        <v>9000</v>
      </c>
      <c r="P45" s="16">
        <f>ROUND(IF((N45/1)&gt;L45,(N45/1)*$P$2,AVERAGE(K45,(N45/1)))+4200,-2)</f>
        <v>8300</v>
      </c>
      <c r="Q45" s="22" t="s">
        <v>228</v>
      </c>
      <c r="R45" s="227" t="s">
        <v>1803</v>
      </c>
      <c r="AE45"/>
    </row>
    <row r="46" spans="1:31" x14ac:dyDescent="0.25">
      <c r="A46" s="24">
        <f>IF(D46&gt;1,(MAX(A$6:A45))+1,"")</f>
        <v>37</v>
      </c>
      <c r="B46" s="22"/>
      <c r="C46" s="228" t="s">
        <v>694</v>
      </c>
      <c r="D46" s="16" t="s">
        <v>655</v>
      </c>
      <c r="E46" s="16">
        <v>1081.3399999999999</v>
      </c>
      <c r="F46" s="16">
        <v>2900</v>
      </c>
      <c r="G46" s="16">
        <v>102.42</v>
      </c>
      <c r="H46" s="16">
        <v>500</v>
      </c>
      <c r="I46" s="16">
        <v>3997.62</v>
      </c>
      <c r="J46" s="16">
        <v>4800</v>
      </c>
      <c r="K46" s="16">
        <v>937.66</v>
      </c>
      <c r="L46" s="16">
        <v>2600</v>
      </c>
      <c r="M46" s="16">
        <v>2339.14</v>
      </c>
      <c r="N46" s="16">
        <v>2339.14</v>
      </c>
      <c r="O46" s="16">
        <v>3200</v>
      </c>
      <c r="P46" s="16">
        <f>ROUND(IF((N46/1)&gt;L46,(N46/1)*$P$2,AVERAGE(K46,(N46/1))),-2)</f>
        <v>1600</v>
      </c>
      <c r="Q46" s="22" t="s">
        <v>25</v>
      </c>
      <c r="R46" s="227" t="s">
        <v>1794</v>
      </c>
      <c r="AE46"/>
    </row>
    <row r="47" spans="1:31" x14ac:dyDescent="0.25">
      <c r="A47" s="24">
        <f>IF(D47&gt;1,(MAX(A$6:A46))+1,"")</f>
        <v>38</v>
      </c>
      <c r="B47" s="22"/>
      <c r="C47" s="228" t="s">
        <v>695</v>
      </c>
      <c r="D47" s="16" t="s">
        <v>656</v>
      </c>
      <c r="E47" s="16">
        <v>11717.54</v>
      </c>
      <c r="F47" s="16">
        <v>15000</v>
      </c>
      <c r="G47" s="16">
        <v>24667.01</v>
      </c>
      <c r="H47" s="16">
        <v>28100</v>
      </c>
      <c r="I47" s="16">
        <v>15421.49</v>
      </c>
      <c r="J47" s="16">
        <v>21500</v>
      </c>
      <c r="K47" s="16">
        <v>15349.04</v>
      </c>
      <c r="L47" s="16">
        <v>14900</v>
      </c>
      <c r="M47" s="16">
        <v>14106.3</v>
      </c>
      <c r="N47" s="16">
        <v>23588.35</v>
      </c>
      <c r="O47" s="16">
        <v>17300</v>
      </c>
      <c r="P47" s="16">
        <f>ROUND(IF(((N47-1500)/1)&gt;L47,((N47-1500)/1)*$P$2,AVERAGE(K47,((N47-1500)/1))),-2)</f>
        <v>22800</v>
      </c>
      <c r="Q47" s="22" t="s">
        <v>25</v>
      </c>
      <c r="R47" s="227" t="s">
        <v>1804</v>
      </c>
      <c r="AE47"/>
    </row>
    <row r="48" spans="1:31" x14ac:dyDescent="0.25">
      <c r="A48" s="24">
        <f>IF(D48&gt;1,(MAX(A$6:A47))+1,"")</f>
        <v>39</v>
      </c>
      <c r="B48" s="22"/>
      <c r="C48" s="228" t="s">
        <v>618</v>
      </c>
      <c r="D48" s="16" t="s">
        <v>657</v>
      </c>
      <c r="E48" s="16">
        <v>26859.06</v>
      </c>
      <c r="F48" s="16">
        <v>30600</v>
      </c>
      <c r="G48" s="16">
        <v>10962.71</v>
      </c>
      <c r="H48" s="16">
        <v>22300</v>
      </c>
      <c r="I48" s="16">
        <v>14238.72</v>
      </c>
      <c r="J48" s="16">
        <v>16600</v>
      </c>
      <c r="K48" s="16">
        <v>8530.19</v>
      </c>
      <c r="L48" s="16">
        <v>12500</v>
      </c>
      <c r="M48" s="16">
        <v>9236.51</v>
      </c>
      <c r="N48" s="16">
        <v>10140.77</v>
      </c>
      <c r="O48" s="16">
        <v>25700</v>
      </c>
      <c r="P48" s="16">
        <f>ROUND(IF((N48/1)&gt;L48,(N48/1)*$P$2,AVERAGE(K48,(N48/1)))+3250+12000,-2)</f>
        <v>24600</v>
      </c>
      <c r="Q48" s="22" t="s">
        <v>25</v>
      </c>
      <c r="R48" s="227" t="s">
        <v>1805</v>
      </c>
      <c r="AE48"/>
    </row>
    <row r="49" spans="1:31" x14ac:dyDescent="0.25">
      <c r="A49" s="24">
        <f>IF(D49&gt;1,(MAX(A$6:A48))+1,"")</f>
        <v>40</v>
      </c>
      <c r="B49" s="22"/>
      <c r="C49" s="228" t="s">
        <v>696</v>
      </c>
      <c r="D49" s="16" t="s">
        <v>225</v>
      </c>
      <c r="E49" s="16">
        <v>6871.83</v>
      </c>
      <c r="F49" s="16">
        <v>11600</v>
      </c>
      <c r="G49" s="16">
        <v>3205.74</v>
      </c>
      <c r="H49" s="16">
        <v>5600</v>
      </c>
      <c r="I49" s="16">
        <v>3616.39</v>
      </c>
      <c r="J49" s="16">
        <v>2000</v>
      </c>
      <c r="K49" s="16">
        <v>2583.41</v>
      </c>
      <c r="L49" s="16">
        <v>4500</v>
      </c>
      <c r="M49" s="16">
        <v>665.45</v>
      </c>
      <c r="N49" s="16">
        <v>989.11</v>
      </c>
      <c r="O49" s="16">
        <v>3000</v>
      </c>
      <c r="P49" s="16">
        <f>ROUND(IF((N49/1)&gt;L49,(N49/1)*$P$2,AVERAGE(K49,(N49/1)))+1250,-2)</f>
        <v>3000</v>
      </c>
      <c r="Q49" s="22" t="s">
        <v>225</v>
      </c>
      <c r="R49" s="227" t="s">
        <v>1798</v>
      </c>
      <c r="AE49"/>
    </row>
    <row r="50" spans="1:31" x14ac:dyDescent="0.25">
      <c r="A50" s="24">
        <f>IF(D50&gt;1,(MAX(A$6:A49))+1,"")</f>
        <v>41</v>
      </c>
      <c r="B50" s="22"/>
      <c r="C50" s="228" t="s">
        <v>697</v>
      </c>
      <c r="D50" s="16" t="s">
        <v>13</v>
      </c>
      <c r="E50" s="16">
        <v>29783.25</v>
      </c>
      <c r="F50" s="16">
        <v>46300</v>
      </c>
      <c r="G50" s="16">
        <v>29459.35</v>
      </c>
      <c r="H50" s="16">
        <v>36400</v>
      </c>
      <c r="I50" s="16">
        <v>24758.85</v>
      </c>
      <c r="J50" s="16">
        <v>28700</v>
      </c>
      <c r="K50" s="16">
        <v>16458.060000000001</v>
      </c>
      <c r="L50" s="16">
        <v>21300</v>
      </c>
      <c r="M50" s="16">
        <v>15419.71</v>
      </c>
      <c r="N50" s="16">
        <v>17924.93</v>
      </c>
      <c r="O50" s="16">
        <v>18600</v>
      </c>
      <c r="P50" s="16">
        <f>ROUND(IF((N50/1)&gt;L50,(N50/1)*$P$2,AVERAGE(K50,(N50/1)))+100,-2)</f>
        <v>17300</v>
      </c>
      <c r="Q50" s="22" t="s">
        <v>13</v>
      </c>
      <c r="R50" s="227" t="s">
        <v>1806</v>
      </c>
      <c r="AE50"/>
    </row>
    <row r="51" spans="1:31" ht="13" x14ac:dyDescent="0.3">
      <c r="A51" s="24">
        <f>IF(D51&gt;1,(MAX(A$6:A50))+1,"")</f>
        <v>42</v>
      </c>
      <c r="B51" s="22"/>
      <c r="C51" s="233" t="s">
        <v>698</v>
      </c>
      <c r="D51" s="16" t="s">
        <v>658</v>
      </c>
      <c r="E51" s="18">
        <v>89502.71</v>
      </c>
      <c r="F51" s="18">
        <v>108100</v>
      </c>
      <c r="G51" s="18">
        <v>87049.73</v>
      </c>
      <c r="H51" s="18">
        <v>91100</v>
      </c>
      <c r="I51" s="18">
        <v>89500.5</v>
      </c>
      <c r="J51" s="18">
        <v>110200</v>
      </c>
      <c r="K51" s="18">
        <v>94587.23</v>
      </c>
      <c r="L51" s="18">
        <v>94700</v>
      </c>
      <c r="M51" s="18">
        <v>71150.89</v>
      </c>
      <c r="N51" s="18">
        <v>92953.97</v>
      </c>
      <c r="O51" s="18">
        <v>92900</v>
      </c>
      <c r="P51" s="18">
        <f>ROUND(67305*1.38, -2)</f>
        <v>92900</v>
      </c>
      <c r="Q51" s="22" t="s">
        <v>13</v>
      </c>
      <c r="R51" s="227" t="s">
        <v>1807</v>
      </c>
      <c r="AE51"/>
    </row>
    <row r="52" spans="1:31" x14ac:dyDescent="0.25">
      <c r="A52" s="24">
        <f>IF(D52&gt;1,(MAX(A$6:A51))+1,"")</f>
        <v>43</v>
      </c>
      <c r="B52" s="22"/>
      <c r="C52" s="228" t="s">
        <v>699</v>
      </c>
      <c r="D52" s="16" t="s">
        <v>14</v>
      </c>
      <c r="E52" s="16">
        <v>33019.699999999997</v>
      </c>
      <c r="F52" s="16">
        <v>46300</v>
      </c>
      <c r="G52" s="16">
        <v>35477.839999999997</v>
      </c>
      <c r="H52" s="16">
        <v>34600</v>
      </c>
      <c r="I52" s="16">
        <v>13748.57</v>
      </c>
      <c r="J52" s="16">
        <v>34500</v>
      </c>
      <c r="K52" s="16">
        <v>28651.119999999999</v>
      </c>
      <c r="L52" s="16">
        <v>34400</v>
      </c>
      <c r="M52" s="16">
        <v>26556.45</v>
      </c>
      <c r="N52" s="16">
        <v>35093.550000000003</v>
      </c>
      <c r="O52" s="16">
        <v>35900</v>
      </c>
      <c r="P52" s="16">
        <f>ROUND((((AVERAGE(G52,I52,K52,((N52-3400)/1))*1.03))*1.05)+2500+4015,-2)</f>
        <v>36100</v>
      </c>
      <c r="Q52" s="22" t="s">
        <v>14</v>
      </c>
      <c r="R52" s="227" t="s">
        <v>1808</v>
      </c>
      <c r="AE52"/>
    </row>
    <row r="53" spans="1:31" x14ac:dyDescent="0.25">
      <c r="A53" s="24">
        <f>IF(D53&gt;1,(MAX(A$6:A52))+1,"")</f>
        <v>44</v>
      </c>
      <c r="B53" s="22"/>
      <c r="C53" s="228" t="s">
        <v>700</v>
      </c>
      <c r="D53" s="16" t="s">
        <v>229</v>
      </c>
      <c r="E53" s="16">
        <v>2716.73</v>
      </c>
      <c r="F53" s="16">
        <v>3000</v>
      </c>
      <c r="G53" s="16">
        <v>3000.21</v>
      </c>
      <c r="H53" s="16">
        <v>3200</v>
      </c>
      <c r="I53" s="16">
        <v>2931.03</v>
      </c>
      <c r="J53" s="16">
        <v>3000</v>
      </c>
      <c r="K53" s="16">
        <v>3074.31</v>
      </c>
      <c r="L53" s="16">
        <v>3200</v>
      </c>
      <c r="M53" s="16">
        <v>1792.01</v>
      </c>
      <c r="N53" s="16">
        <v>2587.65</v>
      </c>
      <c r="O53" s="16">
        <v>2700</v>
      </c>
      <c r="P53" s="16">
        <f>ROUND(IF((N53/1)&gt;L53,(N53/1)*$P$2,AVERAGE(K53,(N53/1))),-2)</f>
        <v>2800</v>
      </c>
      <c r="Q53" s="22" t="s">
        <v>229</v>
      </c>
      <c r="R53" s="227" t="s">
        <v>1809</v>
      </c>
      <c r="AE53"/>
    </row>
    <row r="54" spans="1:31" x14ac:dyDescent="0.25">
      <c r="A54" s="24" t="str">
        <f>IF(D54&gt;1,(MAX(A$6:A53))+1,"")</f>
        <v/>
      </c>
      <c r="B54" s="22"/>
      <c r="D54" s="16"/>
      <c r="E54" s="235"/>
      <c r="F54" s="235"/>
      <c r="G54" s="235"/>
      <c r="H54" s="235"/>
      <c r="I54" s="235"/>
      <c r="J54" s="235"/>
      <c r="K54" s="235"/>
      <c r="L54" s="235"/>
      <c r="M54" s="235"/>
      <c r="N54" s="235"/>
      <c r="O54" s="235"/>
      <c r="P54" s="235"/>
      <c r="Q54" s="22"/>
      <c r="AE54"/>
    </row>
    <row r="55" spans="1:31" x14ac:dyDescent="0.25">
      <c r="A55" s="24">
        <f>IF(D55&gt;1,(MAX(A$6:A54))+1,"")</f>
        <v>45</v>
      </c>
      <c r="B55" s="22"/>
      <c r="D55" s="16" t="s">
        <v>626</v>
      </c>
      <c r="E55" s="18">
        <f>SUM(E33:E54)</f>
        <v>1112479.7699999998</v>
      </c>
      <c r="F55" s="18">
        <f t="shared" ref="F55" si="1">SUM(F33:F54)</f>
        <v>1098594.2637677917</v>
      </c>
      <c r="G55" s="18">
        <f>SUM(G33:G54)</f>
        <v>1156798.7</v>
      </c>
      <c r="H55" s="18">
        <v>1020788.5166049879</v>
      </c>
      <c r="I55" s="18">
        <f>SUM(I33:I54)</f>
        <v>1127748.51</v>
      </c>
      <c r="J55" s="18">
        <v>1036241.8273694027</v>
      </c>
      <c r="K55" s="18">
        <f>SUM(K33:K54)</f>
        <v>936060.48000000021</v>
      </c>
      <c r="L55" s="18">
        <v>950025.38228731218</v>
      </c>
      <c r="M55" s="18">
        <f t="shared" ref="M55:P55" si="2">SUM(M33:M54)</f>
        <v>694651.73</v>
      </c>
      <c r="N55" s="18">
        <f t="shared" si="2"/>
        <v>910065.93000000017</v>
      </c>
      <c r="O55" s="18">
        <f t="shared" si="2"/>
        <v>1040781.1993212001</v>
      </c>
      <c r="P55" s="18">
        <f t="shared" si="2"/>
        <v>1015386.4063212001</v>
      </c>
      <c r="Q55" s="22"/>
    </row>
    <row r="56" spans="1:31" x14ac:dyDescent="0.25">
      <c r="A56" s="24" t="str">
        <f>IF(D56&gt;1,(MAX(A$6:A55))+1,"")</f>
        <v/>
      </c>
      <c r="B56" s="22"/>
      <c r="C56" s="25"/>
      <c r="D56" s="16"/>
      <c r="Q56" s="22"/>
    </row>
    <row r="57" spans="1:31" x14ac:dyDescent="0.25">
      <c r="A57" s="24">
        <f>IF(D57&gt;1,(MAX(A$6:A56))+1,"")</f>
        <v>46</v>
      </c>
      <c r="B57" s="22"/>
      <c r="C57" s="25"/>
      <c r="D57" s="16" t="s">
        <v>701</v>
      </c>
      <c r="Q57" s="22"/>
    </row>
    <row r="58" spans="1:31" x14ac:dyDescent="0.25">
      <c r="A58" s="24">
        <f>IF(D58&gt;1,(MAX(A$6:A57))+1,"")</f>
        <v>47</v>
      </c>
      <c r="B58" s="22"/>
      <c r="C58" s="25" t="s">
        <v>702</v>
      </c>
      <c r="D58" s="16" t="s">
        <v>703</v>
      </c>
      <c r="E58" s="16">
        <v>11706.24</v>
      </c>
      <c r="F58" s="16">
        <v>11995.858019280009</v>
      </c>
      <c r="G58" s="16">
        <v>11494.77</v>
      </c>
      <c r="H58" s="16">
        <v>11783.7269193714</v>
      </c>
      <c r="I58" s="16">
        <v>10669.43</v>
      </c>
      <c r="J58" s="16">
        <v>11638.671536759062</v>
      </c>
      <c r="K58" s="16">
        <v>9236.3700000000008</v>
      </c>
      <c r="L58" s="16">
        <v>11847.405927448017</v>
      </c>
      <c r="M58" s="16">
        <v>7097.56</v>
      </c>
      <c r="N58" s="16">
        <v>9368.24</v>
      </c>
      <c r="O58" s="16">
        <v>11444.872630730008</v>
      </c>
      <c r="P58" s="16">
        <v>11444.872630730008</v>
      </c>
      <c r="Q58" s="22" t="s">
        <v>3</v>
      </c>
      <c r="R58" s="22" t="s">
        <v>1792</v>
      </c>
    </row>
    <row r="59" spans="1:31" x14ac:dyDescent="0.25">
      <c r="A59" s="24">
        <f>IF(D59&gt;1,(MAX(A$6:A58))+1,"")</f>
        <v>48</v>
      </c>
      <c r="B59" s="22" t="s">
        <v>704</v>
      </c>
      <c r="C59" s="25" t="s">
        <v>705</v>
      </c>
      <c r="D59" s="16" t="s">
        <v>3</v>
      </c>
      <c r="E59" s="16">
        <v>152371.76999999999</v>
      </c>
      <c r="F59" s="16">
        <v>152185.54796681818</v>
      </c>
      <c r="G59" s="16">
        <v>151757.85</v>
      </c>
      <c r="H59" s="16">
        <v>150046.12277332915</v>
      </c>
      <c r="I59" s="16">
        <v>140963.26999999999</v>
      </c>
      <c r="J59" s="16">
        <v>148901.09934329847</v>
      </c>
      <c r="K59" s="16">
        <v>111164.3</v>
      </c>
      <c r="L59" s="16">
        <v>150221.40484568852</v>
      </c>
      <c r="M59" s="16">
        <v>94126.81</v>
      </c>
      <c r="N59" s="16">
        <v>126162.06</v>
      </c>
      <c r="O59" s="16">
        <v>144629.9630028542</v>
      </c>
      <c r="P59" s="16">
        <v>144629.9630028542</v>
      </c>
      <c r="Q59" s="22" t="s">
        <v>3</v>
      </c>
      <c r="R59" s="22" t="s">
        <v>1792</v>
      </c>
    </row>
    <row r="60" spans="1:31" x14ac:dyDescent="0.25">
      <c r="A60" s="24">
        <f>IF(D60&gt;1,(MAX(A$6:A59))+1,"")</f>
        <v>49</v>
      </c>
      <c r="B60" s="22"/>
      <c r="C60" s="25" t="s">
        <v>706</v>
      </c>
      <c r="D60" s="16" t="s">
        <v>707</v>
      </c>
      <c r="E60" s="16">
        <v>-238.23</v>
      </c>
      <c r="F60" s="16">
        <v>0</v>
      </c>
      <c r="G60" s="16">
        <v>0</v>
      </c>
      <c r="H60" s="16">
        <v>0</v>
      </c>
      <c r="I60" s="16">
        <v>0</v>
      </c>
      <c r="J60" s="16">
        <v>0</v>
      </c>
      <c r="K60" s="16">
        <v>-300.79000000000002</v>
      </c>
      <c r="L60" s="16">
        <v>0</v>
      </c>
      <c r="M60" s="16">
        <v>0</v>
      </c>
      <c r="N60" s="16">
        <v>0</v>
      </c>
      <c r="O60" s="16">
        <v>0</v>
      </c>
      <c r="P60" s="16">
        <v>0</v>
      </c>
      <c r="Q60" s="22" t="s">
        <v>3</v>
      </c>
      <c r="R60" s="22" t="s">
        <v>1792</v>
      </c>
    </row>
    <row r="61" spans="1:31" x14ac:dyDescent="0.25">
      <c r="A61" s="24">
        <f>IF(D61&gt;1,(MAX(A$6:A60))+1,"")</f>
        <v>50</v>
      </c>
      <c r="B61" s="22"/>
      <c r="C61" s="25" t="s">
        <v>708</v>
      </c>
      <c r="D61" s="16" t="s">
        <v>709</v>
      </c>
      <c r="E61" s="16">
        <v>2553.7800000000002</v>
      </c>
      <c r="F61" s="16">
        <v>2570.5410041314308</v>
      </c>
      <c r="G61" s="16">
        <v>1643.71</v>
      </c>
      <c r="H61" s="16">
        <v>1478.7422016466069</v>
      </c>
      <c r="I61" s="16">
        <v>1107.18</v>
      </c>
      <c r="J61" s="16">
        <v>1154.6301127737165</v>
      </c>
      <c r="K61" s="16">
        <v>3220.22</v>
      </c>
      <c r="L61" s="16">
        <v>2406.5043290128783</v>
      </c>
      <c r="M61" s="16">
        <v>1236.17</v>
      </c>
      <c r="N61" s="16">
        <v>1382.72</v>
      </c>
      <c r="O61" s="16">
        <v>2122.8392782805658</v>
      </c>
      <c r="P61" s="16">
        <v>2122.8392782805658</v>
      </c>
      <c r="Q61" s="22" t="s">
        <v>3</v>
      </c>
      <c r="R61" s="22" t="s">
        <v>1792</v>
      </c>
    </row>
    <row r="62" spans="1:31" x14ac:dyDescent="0.25">
      <c r="A62" s="24">
        <f>IF(D62&gt;1,(MAX(A$6:A61))+1,"")</f>
        <v>51</v>
      </c>
      <c r="B62" s="22"/>
      <c r="C62" s="25" t="s">
        <v>710</v>
      </c>
      <c r="D62" s="16" t="s">
        <v>711</v>
      </c>
      <c r="E62" s="16">
        <v>1745.88</v>
      </c>
      <c r="F62" s="16">
        <v>2284.9253370057158</v>
      </c>
      <c r="G62" s="16">
        <v>1341.1</v>
      </c>
      <c r="H62" s="16">
        <v>2218.1133024699102</v>
      </c>
      <c r="I62" s="16">
        <v>0</v>
      </c>
      <c r="J62" s="16">
        <v>2216.8898165255359</v>
      </c>
      <c r="K62" s="16">
        <v>0</v>
      </c>
      <c r="L62" s="16">
        <v>2406.5043290128783</v>
      </c>
      <c r="M62" s="16">
        <v>0</v>
      </c>
      <c r="N62" s="16">
        <v>0</v>
      </c>
      <c r="O62" s="16">
        <v>2538.177397944155</v>
      </c>
      <c r="P62" s="16">
        <v>2538.177397944155</v>
      </c>
      <c r="Q62" s="22" t="s">
        <v>3</v>
      </c>
      <c r="R62" s="22" t="s">
        <v>1792</v>
      </c>
    </row>
    <row r="63" spans="1:31" x14ac:dyDescent="0.25">
      <c r="A63" s="24">
        <f>IF(D63&gt;1,(MAX(A$6:A62))+1,"")</f>
        <v>52</v>
      </c>
      <c r="B63" s="22"/>
      <c r="C63" s="25" t="s">
        <v>712</v>
      </c>
      <c r="D63" s="16" t="s">
        <v>713</v>
      </c>
      <c r="E63" s="16">
        <v>87110.98</v>
      </c>
      <c r="F63" s="16">
        <v>35225.932278838118</v>
      </c>
      <c r="G63" s="16">
        <v>113113.84</v>
      </c>
      <c r="H63" s="16">
        <v>38632.140018017606</v>
      </c>
      <c r="I63" s="16">
        <v>97942.16</v>
      </c>
      <c r="J63" s="16">
        <v>38287.534539576445</v>
      </c>
      <c r="K63" s="16">
        <v>32177.32</v>
      </c>
      <c r="L63" s="16">
        <v>43594.751498656369</v>
      </c>
      <c r="M63" s="16">
        <v>26091.66</v>
      </c>
      <c r="N63" s="16">
        <v>33726.93</v>
      </c>
      <c r="O63" s="16">
        <v>41672.25800624676</v>
      </c>
      <c r="P63" s="16">
        <v>41672.25800624676</v>
      </c>
      <c r="Q63" s="22" t="s">
        <v>3</v>
      </c>
      <c r="R63" s="22" t="s">
        <v>1792</v>
      </c>
    </row>
    <row r="64" spans="1:31" x14ac:dyDescent="0.25">
      <c r="A64" s="24">
        <f>IF(D64&gt;1,(MAX(A$6:A63))+1,"")</f>
        <v>53</v>
      </c>
      <c r="B64" s="22"/>
      <c r="C64" s="25" t="s">
        <v>714</v>
      </c>
      <c r="D64" s="16" t="s">
        <v>715</v>
      </c>
      <c r="E64" s="16">
        <v>19512.419999999998</v>
      </c>
      <c r="F64" s="16">
        <v>18669.948380109377</v>
      </c>
      <c r="G64" s="16">
        <v>23350.53</v>
      </c>
      <c r="H64" s="16">
        <v>24205.460858498805</v>
      </c>
      <c r="I64" s="16">
        <v>22521.360000000001</v>
      </c>
      <c r="J64" s="16">
        <v>24199.524123484996</v>
      </c>
      <c r="K64" s="16">
        <v>16674.91</v>
      </c>
      <c r="L64" s="16">
        <v>25724.763861428659</v>
      </c>
      <c r="M64" s="16">
        <v>15566.23</v>
      </c>
      <c r="N64" s="16">
        <v>20226.91</v>
      </c>
      <c r="O64" s="16">
        <v>22560.656883347834</v>
      </c>
      <c r="P64" s="16">
        <v>22560.656883347834</v>
      </c>
      <c r="Q64" s="22" t="s">
        <v>3</v>
      </c>
      <c r="R64" s="22" t="s">
        <v>1792</v>
      </c>
    </row>
    <row r="65" spans="1:18" x14ac:dyDescent="0.25">
      <c r="A65" s="24">
        <f>IF(D65&gt;1,(MAX(A$6:A64))+1,"")</f>
        <v>54</v>
      </c>
      <c r="B65" s="22"/>
      <c r="C65" s="25" t="s">
        <v>716</v>
      </c>
      <c r="D65" s="16" t="s">
        <v>717</v>
      </c>
      <c r="E65" s="16">
        <v>6946.44</v>
      </c>
      <c r="F65" s="16">
        <v>7045.1864557676236</v>
      </c>
      <c r="G65" s="16">
        <v>6204.23</v>
      </c>
      <c r="H65" s="16">
        <v>6654.3399074097306</v>
      </c>
      <c r="I65" s="16">
        <v>6130.18</v>
      </c>
      <c r="J65" s="16">
        <v>6650.6694495766069</v>
      </c>
      <c r="K65" s="16">
        <v>4547.99</v>
      </c>
      <c r="L65" s="16">
        <v>6664.16583418951</v>
      </c>
      <c r="M65" s="16">
        <v>3793.67</v>
      </c>
      <c r="N65" s="16">
        <v>4987.7</v>
      </c>
      <c r="O65" s="16">
        <v>7476.0861539446023</v>
      </c>
      <c r="P65" s="16">
        <v>7476.0861539446023</v>
      </c>
      <c r="Q65" s="22" t="s">
        <v>3</v>
      </c>
      <c r="R65" s="22" t="s">
        <v>1792</v>
      </c>
    </row>
    <row r="66" spans="1:18" x14ac:dyDescent="0.25">
      <c r="A66" s="24">
        <f>IF(D66&gt;1,(MAX(A$6:A65))+1,"")</f>
        <v>55</v>
      </c>
      <c r="B66" s="22"/>
      <c r="C66" s="25" t="s">
        <v>718</v>
      </c>
      <c r="D66" s="16" t="s">
        <v>719</v>
      </c>
      <c r="E66" s="16">
        <v>185.29</v>
      </c>
      <c r="F66" s="16">
        <v>253.06055804952859</v>
      </c>
      <c r="G66" s="16">
        <v>184.52</v>
      </c>
      <c r="H66" s="16">
        <v>238.35401925681148</v>
      </c>
      <c r="I66" s="16">
        <v>266.83999999999997</v>
      </c>
      <c r="J66" s="16">
        <v>197.98107800514762</v>
      </c>
      <c r="K66" s="16">
        <v>156.83000000000001</v>
      </c>
      <c r="L66" s="16">
        <v>201.49937456318682</v>
      </c>
      <c r="M66" s="16">
        <v>136.49</v>
      </c>
      <c r="N66" s="16">
        <v>184.07</v>
      </c>
      <c r="O66" s="16">
        <v>194.14664665186243</v>
      </c>
      <c r="P66" s="16">
        <v>194.146646651862</v>
      </c>
      <c r="Q66" s="22" t="s">
        <v>226</v>
      </c>
      <c r="R66" s="22" t="s">
        <v>1792</v>
      </c>
    </row>
    <row r="67" spans="1:18" x14ac:dyDescent="0.25">
      <c r="A67" s="24">
        <f>IF(D67&gt;1,(MAX(A$6:A66))+1,"")</f>
        <v>56</v>
      </c>
      <c r="B67" s="22" t="s">
        <v>720</v>
      </c>
      <c r="C67" s="25" t="s">
        <v>721</v>
      </c>
      <c r="D67" s="16" t="s">
        <v>12</v>
      </c>
      <c r="E67" s="16">
        <v>1580.11</v>
      </c>
      <c r="F67" s="16">
        <v>800</v>
      </c>
      <c r="G67" s="16">
        <v>287.92</v>
      </c>
      <c r="H67" s="16">
        <v>500</v>
      </c>
      <c r="I67" s="16">
        <v>4.74</v>
      </c>
      <c r="J67" s="16">
        <v>500</v>
      </c>
      <c r="K67" s="16">
        <v>1405.24</v>
      </c>
      <c r="L67" s="16">
        <v>500</v>
      </c>
      <c r="M67" s="16">
        <v>118.97</v>
      </c>
      <c r="N67" s="16">
        <v>318.89</v>
      </c>
      <c r="O67" s="16">
        <v>800</v>
      </c>
      <c r="P67" s="16">
        <f>ROUND(IF((N67/1)&gt;L67,(N67/1)*$P$2,AVERAGE(K67,(N67/1))),-2)</f>
        <v>900</v>
      </c>
      <c r="Q67" s="22" t="s">
        <v>12</v>
      </c>
      <c r="R67" s="227" t="s">
        <v>1810</v>
      </c>
    </row>
    <row r="68" spans="1:18" x14ac:dyDescent="0.25">
      <c r="A68" s="24">
        <f>IF(D68&gt;1,(MAX(A$6:A67))+1,"")</f>
        <v>57</v>
      </c>
      <c r="B68" s="22" t="s">
        <v>722</v>
      </c>
      <c r="C68" s="25" t="s">
        <v>723</v>
      </c>
      <c r="D68" s="16" t="s">
        <v>652</v>
      </c>
      <c r="E68" s="16">
        <v>1453.37</v>
      </c>
      <c r="F68" s="16">
        <v>1500</v>
      </c>
      <c r="G68" s="16">
        <v>1324.92</v>
      </c>
      <c r="H68" s="16">
        <v>1900</v>
      </c>
      <c r="I68" s="16">
        <v>981.19</v>
      </c>
      <c r="J68" s="16">
        <v>1400</v>
      </c>
      <c r="K68" s="16">
        <v>1041.95</v>
      </c>
      <c r="L68" s="16">
        <v>1000</v>
      </c>
      <c r="M68" s="16">
        <v>1185.77</v>
      </c>
      <c r="N68" s="16">
        <v>1346.8</v>
      </c>
      <c r="O68" s="16">
        <v>1600</v>
      </c>
      <c r="P68" s="16">
        <f>ROUND(IF((N68/1)&gt;L68,(N68/1)*$P$2,AVERAGE(K68,(N68/1))),-2)</f>
        <v>1400</v>
      </c>
      <c r="Q68" s="22" t="s">
        <v>228</v>
      </c>
      <c r="R68" s="227" t="s">
        <v>1811</v>
      </c>
    </row>
    <row r="69" spans="1:18" x14ac:dyDescent="0.25">
      <c r="A69" s="24">
        <f>IF(D69&gt;1,(MAX(A$6:A68))+1,"")</f>
        <v>58</v>
      </c>
      <c r="B69" s="22" t="s">
        <v>724</v>
      </c>
      <c r="C69" s="25" t="s">
        <v>725</v>
      </c>
      <c r="D69" s="16" t="s">
        <v>726</v>
      </c>
      <c r="E69" s="16">
        <v>104780.65</v>
      </c>
      <c r="F69" s="16">
        <v>106700</v>
      </c>
      <c r="G69" s="16">
        <v>112380.02</v>
      </c>
      <c r="H69" s="16">
        <v>115200</v>
      </c>
      <c r="I69" s="16">
        <v>118873.7</v>
      </c>
      <c r="J69" s="16">
        <v>120800</v>
      </c>
      <c r="K69" s="16">
        <v>130470.99</v>
      </c>
      <c r="L69" s="16">
        <v>142100</v>
      </c>
      <c r="M69" s="16">
        <v>91978.45</v>
      </c>
      <c r="N69" s="16">
        <v>109680.38</v>
      </c>
      <c r="O69" s="16">
        <v>80000</v>
      </c>
      <c r="P69" s="16">
        <f>ROUND(((N69-33750)/1)*1.03,-2)</f>
        <v>78200</v>
      </c>
      <c r="Q69" s="22" t="s">
        <v>13</v>
      </c>
      <c r="R69" s="227" t="s">
        <v>1812</v>
      </c>
    </row>
    <row r="70" spans="1:18" x14ac:dyDescent="0.25">
      <c r="A70" s="24">
        <f>IF(D70&gt;1,(MAX(A$6:A69))+1,"")</f>
        <v>59</v>
      </c>
      <c r="B70" s="22" t="s">
        <v>727</v>
      </c>
      <c r="C70" s="25" t="s">
        <v>728</v>
      </c>
      <c r="D70" s="16" t="s">
        <v>729</v>
      </c>
      <c r="E70" s="16">
        <v>1360.28</v>
      </c>
      <c r="F70" s="16">
        <v>1500</v>
      </c>
      <c r="G70" s="16">
        <v>1496.76</v>
      </c>
      <c r="H70" s="16">
        <v>1700</v>
      </c>
      <c r="I70" s="16">
        <v>3088.8</v>
      </c>
      <c r="J70" s="16">
        <v>3300</v>
      </c>
      <c r="K70" s="16">
        <v>216.4</v>
      </c>
      <c r="L70" s="16">
        <v>1700</v>
      </c>
      <c r="M70" s="16">
        <v>251.11</v>
      </c>
      <c r="N70" s="16">
        <v>301.52999999999997</v>
      </c>
      <c r="O70" s="16">
        <v>300</v>
      </c>
      <c r="P70" s="16">
        <f>ROUND(IF((N70/1)&gt;L70,(N70/1)*$P$2,AVERAGE(K70,(N70/1))),-2)</f>
        <v>300</v>
      </c>
      <c r="Q70" s="22" t="s">
        <v>232</v>
      </c>
      <c r="R70" s="22" t="s">
        <v>1813</v>
      </c>
    </row>
    <row r="71" spans="1:18" x14ac:dyDescent="0.25">
      <c r="A71" s="24" t="str">
        <f>IF(D71&gt;1,(MAX(A$6:A70))+1,"")</f>
        <v/>
      </c>
      <c r="B71" s="22"/>
      <c r="C71" s="25"/>
      <c r="D71" s="16"/>
      <c r="E71" s="235"/>
      <c r="F71" s="235"/>
      <c r="G71" s="235"/>
      <c r="H71" s="235"/>
      <c r="I71" s="235"/>
      <c r="J71" s="235"/>
      <c r="K71" s="235"/>
      <c r="L71" s="235"/>
      <c r="M71" s="235"/>
      <c r="N71" s="235"/>
      <c r="O71" s="235"/>
      <c r="P71" s="235"/>
      <c r="Q71" s="22"/>
    </row>
    <row r="72" spans="1:18" x14ac:dyDescent="0.25">
      <c r="A72" s="24">
        <f>IF(D72&gt;1,(MAX(A$6:A71))+1,"")</f>
        <v>60</v>
      </c>
      <c r="B72" s="22"/>
      <c r="C72" s="25"/>
      <c r="D72" s="16" t="s">
        <v>626</v>
      </c>
      <c r="E72" s="16">
        <f>SUM(E58:E70)</f>
        <v>391068.98</v>
      </c>
      <c r="F72" s="16">
        <f t="shared" ref="F72" si="3">SUM(F58:F70)</f>
        <v>340731</v>
      </c>
      <c r="G72" s="16">
        <f>SUM(G58:G70)</f>
        <v>424580.17000000004</v>
      </c>
      <c r="H72" s="16">
        <v>354557.00000000006</v>
      </c>
      <c r="I72" s="16">
        <f>SUM(I58:I70)</f>
        <v>402548.85</v>
      </c>
      <c r="J72" s="16">
        <v>359247</v>
      </c>
      <c r="K72" s="16">
        <f>SUM(K58:K70)</f>
        <v>310011.73000000004</v>
      </c>
      <c r="L72" s="16">
        <v>388367</v>
      </c>
      <c r="M72" s="16">
        <f>SUM(M58:M70)</f>
        <v>241582.88999999996</v>
      </c>
      <c r="N72" s="16">
        <f>SUM(N58:N70)</f>
        <v>307686.23000000004</v>
      </c>
      <c r="O72" s="16">
        <f>SUM(O58:O70)</f>
        <v>315339</v>
      </c>
      <c r="P72" s="16">
        <f>SUM(P58:P70)</f>
        <v>313439</v>
      </c>
      <c r="Q72" s="22"/>
    </row>
    <row r="73" spans="1:18" x14ac:dyDescent="0.25">
      <c r="A73" s="24" t="str">
        <f>IF(D73&gt;1,(MAX(A$6:A72))+1,"")</f>
        <v/>
      </c>
      <c r="B73" s="22"/>
      <c r="C73" s="25"/>
      <c r="D73" s="16"/>
      <c r="Q73" s="22"/>
    </row>
    <row r="74" spans="1:18" x14ac:dyDescent="0.25">
      <c r="A74" s="24">
        <f>IF(D74&gt;1,(MAX(A$6:A73))+1,"")</f>
        <v>61</v>
      </c>
      <c r="B74" s="22"/>
      <c r="C74" s="25"/>
      <c r="D74" s="16" t="s">
        <v>730</v>
      </c>
      <c r="Q74" s="22"/>
    </row>
    <row r="75" spans="1:18" x14ac:dyDescent="0.25">
      <c r="A75" s="24">
        <f>IF(D75&gt;1,(MAX(A$6:A74))+1,"")</f>
        <v>62</v>
      </c>
      <c r="B75" s="22"/>
      <c r="C75" s="25" t="s">
        <v>731</v>
      </c>
      <c r="D75" s="16" t="s">
        <v>732</v>
      </c>
      <c r="E75" s="16">
        <v>421.93</v>
      </c>
      <c r="F75" s="16">
        <v>3061.1702392737225</v>
      </c>
      <c r="G75" s="16">
        <v>2760.57</v>
      </c>
      <c r="H75" s="16">
        <v>3736.999006285725</v>
      </c>
      <c r="I75" s="16">
        <v>3493.86</v>
      </c>
      <c r="J75" s="16">
        <v>3644.4060409195472</v>
      </c>
      <c r="K75" s="16">
        <v>3633.98</v>
      </c>
      <c r="L75" s="16">
        <v>5087.4370242130244</v>
      </c>
      <c r="M75" s="16">
        <v>3512.51</v>
      </c>
      <c r="N75" s="16">
        <v>4710.8999999999996</v>
      </c>
      <c r="O75" s="16">
        <v>4916.5787004458316</v>
      </c>
      <c r="P75" s="16">
        <v>4916.5787004458298</v>
      </c>
      <c r="Q75" s="22" t="s">
        <v>158</v>
      </c>
      <c r="R75" s="22" t="s">
        <v>1792</v>
      </c>
    </row>
    <row r="76" spans="1:18" x14ac:dyDescent="0.25">
      <c r="A76" s="24">
        <f>IF(D76&gt;1,(MAX(A$6:A75))+1,"")</f>
        <v>63</v>
      </c>
      <c r="B76" s="22"/>
      <c r="C76" s="25" t="s">
        <v>733</v>
      </c>
      <c r="D76" s="16" t="s">
        <v>734</v>
      </c>
      <c r="E76" s="16">
        <v>7038.12</v>
      </c>
      <c r="F76" s="16">
        <v>38784.449352307631</v>
      </c>
      <c r="G76" s="16">
        <v>48251.44</v>
      </c>
      <c r="H76" s="16">
        <v>48406.360959925369</v>
      </c>
      <c r="I76" s="16">
        <v>56707.27</v>
      </c>
      <c r="J76" s="16">
        <v>47611.322956600321</v>
      </c>
      <c r="K76" s="16">
        <v>60544.480000000003</v>
      </c>
      <c r="L76" s="16">
        <v>65785.823588961517</v>
      </c>
      <c r="M76" s="16">
        <v>54731.51</v>
      </c>
      <c r="N76" s="16">
        <v>73947.649999999994</v>
      </c>
      <c r="O76" s="16">
        <v>62767.489500615564</v>
      </c>
      <c r="P76" s="16">
        <v>62767.489500615564</v>
      </c>
      <c r="Q76" s="22" t="s">
        <v>158</v>
      </c>
      <c r="R76" s="22" t="s">
        <v>1792</v>
      </c>
    </row>
    <row r="77" spans="1:18" x14ac:dyDescent="0.25">
      <c r="A77" s="24">
        <f>IF(D77&gt;1,(MAX(A$6:A76))+1,"")</f>
        <v>64</v>
      </c>
      <c r="B77" s="22"/>
      <c r="C77" s="25" t="s">
        <v>735</v>
      </c>
      <c r="D77" s="16" t="s">
        <v>736</v>
      </c>
      <c r="E77" s="16">
        <v>-6148.13</v>
      </c>
      <c r="F77" s="16">
        <v>-11841.821459616629</v>
      </c>
      <c r="G77" s="16">
        <v>-32049.51</v>
      </c>
      <c r="H77" s="16">
        <v>-14684.042136406115</v>
      </c>
      <c r="I77" s="16">
        <v>-35707.58</v>
      </c>
      <c r="J77" s="16">
        <v>-14257.059545472603</v>
      </c>
      <c r="K77" s="16">
        <v>-33932</v>
      </c>
      <c r="L77" s="16">
        <v>-20726.742812303011</v>
      </c>
      <c r="M77" s="16">
        <v>-34061.54</v>
      </c>
      <c r="N77" s="16">
        <v>-45578.64</v>
      </c>
      <c r="O77" s="16">
        <v>-26549.669954998462</v>
      </c>
      <c r="P77" s="16">
        <v>-26549.669954998462</v>
      </c>
      <c r="Q77" s="22" t="s">
        <v>158</v>
      </c>
      <c r="R77" s="22" t="s">
        <v>1792</v>
      </c>
    </row>
    <row r="78" spans="1:18" x14ac:dyDescent="0.25">
      <c r="A78" s="24">
        <f>IF(D78&gt;1,(MAX(A$6:A77))+1,"")</f>
        <v>65</v>
      </c>
      <c r="B78" s="22"/>
      <c r="C78" s="25" t="s">
        <v>737</v>
      </c>
      <c r="D78" s="16" t="s">
        <v>738</v>
      </c>
      <c r="E78" s="16">
        <v>55.39</v>
      </c>
      <c r="F78" s="16">
        <v>1184.0375453794586</v>
      </c>
      <c r="G78" s="16">
        <v>74.53</v>
      </c>
      <c r="H78" s="16">
        <v>488.95314100934718</v>
      </c>
      <c r="I78" s="16">
        <v>16.98</v>
      </c>
      <c r="J78" s="16">
        <v>100.30475341980404</v>
      </c>
      <c r="K78" s="16">
        <v>134.55000000000001</v>
      </c>
      <c r="L78" s="16">
        <v>877.1443145194869</v>
      </c>
      <c r="M78" s="16">
        <v>573.03</v>
      </c>
      <c r="N78" s="16">
        <v>667.87</v>
      </c>
      <c r="O78" s="16">
        <v>1472.477884905097</v>
      </c>
      <c r="P78" s="16">
        <v>1472.477884905097</v>
      </c>
      <c r="Q78" s="22" t="s">
        <v>158</v>
      </c>
      <c r="R78" s="22" t="s">
        <v>1792</v>
      </c>
    </row>
    <row r="79" spans="1:18" x14ac:dyDescent="0.25">
      <c r="A79" s="24">
        <f>IF(D79&gt;1,(MAX(A$6:A78))+1,"")</f>
        <v>66</v>
      </c>
      <c r="B79" s="22"/>
      <c r="C79" s="25" t="s">
        <v>739</v>
      </c>
      <c r="D79" s="16" t="s">
        <v>740</v>
      </c>
      <c r="E79" s="16">
        <v>3398.5</v>
      </c>
      <c r="F79" s="16">
        <v>9096.8738242568161</v>
      </c>
      <c r="G79" s="16">
        <v>29628.11</v>
      </c>
      <c r="H79" s="16">
        <v>12468.305095738353</v>
      </c>
      <c r="I79" s="16">
        <v>33743.99</v>
      </c>
      <c r="J79" s="16">
        <v>12170.310081602891</v>
      </c>
      <c r="K79" s="16">
        <v>15267.35</v>
      </c>
      <c r="L79" s="16">
        <v>19034.031625072868</v>
      </c>
      <c r="M79" s="16">
        <v>13929.71</v>
      </c>
      <c r="N79" s="16">
        <v>18312.75</v>
      </c>
      <c r="O79" s="16">
        <v>18243.751421451281</v>
      </c>
      <c r="P79" s="16">
        <v>18243.751421451281</v>
      </c>
      <c r="Q79" s="22" t="s">
        <v>158</v>
      </c>
      <c r="R79" s="22" t="s">
        <v>1792</v>
      </c>
    </row>
    <row r="80" spans="1:18" x14ac:dyDescent="0.25">
      <c r="A80" s="24">
        <f>IF(D80&gt;1,(MAX(A$6:A79))+1,"")</f>
        <v>67</v>
      </c>
      <c r="B80" s="22"/>
      <c r="C80" s="25" t="s">
        <v>741</v>
      </c>
      <c r="D80" s="16" t="s">
        <v>742</v>
      </c>
      <c r="E80" s="16">
        <v>806.68</v>
      </c>
      <c r="F80" s="16">
        <v>4506.4854338044879</v>
      </c>
      <c r="G80" s="16">
        <v>4970.57</v>
      </c>
      <c r="H80" s="16">
        <v>5401.8257770456476</v>
      </c>
      <c r="I80" s="16">
        <v>5367.21</v>
      </c>
      <c r="J80" s="16">
        <v>5198.2587259436841</v>
      </c>
      <c r="K80" s="16">
        <v>6940.77</v>
      </c>
      <c r="L80" s="16">
        <v>7247.354164690094</v>
      </c>
      <c r="M80" s="16">
        <v>6066.5</v>
      </c>
      <c r="N80" s="16">
        <v>8403.44</v>
      </c>
      <c r="O80" s="16">
        <v>6359.1534246010733</v>
      </c>
      <c r="P80" s="16">
        <v>6359.1534246010733</v>
      </c>
      <c r="Q80" s="22" t="s">
        <v>158</v>
      </c>
      <c r="R80" s="22" t="s">
        <v>1792</v>
      </c>
    </row>
    <row r="81" spans="1:18" x14ac:dyDescent="0.25">
      <c r="A81" s="24">
        <f>IF(D81&gt;1,(MAX(A$6:A80))+1,"")</f>
        <v>68</v>
      </c>
      <c r="B81" s="22"/>
      <c r="C81" s="25" t="s">
        <v>743</v>
      </c>
      <c r="D81" s="16" t="s">
        <v>744</v>
      </c>
      <c r="E81" s="16">
        <v>182.74</v>
      </c>
      <c r="F81" s="16">
        <v>1212.916509900909</v>
      </c>
      <c r="G81" s="16">
        <v>1192.2</v>
      </c>
      <c r="H81" s="16">
        <v>1431.9341986702311</v>
      </c>
      <c r="I81" s="16">
        <v>1441.92</v>
      </c>
      <c r="J81" s="16">
        <v>1370.8316300706551</v>
      </c>
      <c r="K81" s="16">
        <v>1495.4</v>
      </c>
      <c r="L81" s="16">
        <v>1812.7649166736064</v>
      </c>
      <c r="M81" s="16">
        <v>1357.92</v>
      </c>
      <c r="N81" s="16">
        <v>1810.56</v>
      </c>
      <c r="O81" s="16">
        <v>2021.5374352086924</v>
      </c>
      <c r="P81" s="16">
        <v>2021.5374352086924</v>
      </c>
      <c r="Q81" s="22" t="s">
        <v>158</v>
      </c>
      <c r="R81" s="22" t="s">
        <v>1792</v>
      </c>
    </row>
    <row r="82" spans="1:18" x14ac:dyDescent="0.25">
      <c r="A82" s="24">
        <f>IF(D82&gt;1,(MAX(A$6:A81))+1,"")</f>
        <v>69</v>
      </c>
      <c r="B82" s="22"/>
      <c r="C82" s="25" t="s">
        <v>745</v>
      </c>
      <c r="D82" s="16" t="s">
        <v>746</v>
      </c>
      <c r="E82" s="18">
        <v>126.82</v>
      </c>
      <c r="F82" s="18">
        <v>1257.8885546935953</v>
      </c>
      <c r="G82" s="18">
        <v>887.73</v>
      </c>
      <c r="H82" s="18">
        <v>1240.6639577314309</v>
      </c>
      <c r="I82" s="18">
        <v>1416.49</v>
      </c>
      <c r="J82" s="18">
        <v>1020.6253569157012</v>
      </c>
      <c r="K82" s="18">
        <v>992.97</v>
      </c>
      <c r="L82" s="18">
        <v>1397.1871781724153</v>
      </c>
      <c r="M82" s="18">
        <v>877.61</v>
      </c>
      <c r="N82" s="18">
        <v>1186.67</v>
      </c>
      <c r="O82" s="18">
        <v>1346.6815877709237</v>
      </c>
      <c r="P82" s="18">
        <v>1346.6815877709237</v>
      </c>
      <c r="Q82" s="22" t="s">
        <v>226</v>
      </c>
      <c r="R82" s="22" t="s">
        <v>1792</v>
      </c>
    </row>
    <row r="83" spans="1:18" x14ac:dyDescent="0.25">
      <c r="A83" s="24" t="str">
        <f>IF(D83&gt;1,(MAX(A$6:A82))+1,"")</f>
        <v/>
      </c>
      <c r="B83" s="22"/>
      <c r="C83" s="25"/>
      <c r="D83" s="16"/>
      <c r="E83" s="235"/>
      <c r="F83" s="235"/>
      <c r="G83" s="235"/>
      <c r="H83" s="235"/>
      <c r="I83" s="235"/>
      <c r="J83" s="235"/>
      <c r="K83" s="235"/>
      <c r="L83" s="235"/>
      <c r="M83" s="235"/>
      <c r="N83" s="235"/>
      <c r="O83" s="235"/>
      <c r="P83" s="235"/>
      <c r="Q83" s="22"/>
    </row>
    <row r="84" spans="1:18" x14ac:dyDescent="0.25">
      <c r="A84" s="24">
        <f>IF(D84&gt;1,(MAX(A$6:A83))+1,"")</f>
        <v>70</v>
      </c>
      <c r="B84" s="22"/>
      <c r="C84" s="25"/>
      <c r="D84" s="16" t="s">
        <v>626</v>
      </c>
      <c r="E84" s="16">
        <f>SUM(E75:E83)</f>
        <v>5882.05</v>
      </c>
      <c r="F84" s="16">
        <f t="shared" ref="F84" si="4">SUM(F75:F83)</f>
        <v>47261.999999999993</v>
      </c>
      <c r="G84" s="16">
        <f>SUM(G75:G83)</f>
        <v>55715.64</v>
      </c>
      <c r="H84" s="16">
        <v>58490.999999999985</v>
      </c>
      <c r="I84" s="16">
        <f>SUM(I75:I83)</f>
        <v>66480.139999999985</v>
      </c>
      <c r="J84" s="16">
        <v>56859</v>
      </c>
      <c r="K84" s="16">
        <f>SUM(K75:K83)</f>
        <v>55077.500000000007</v>
      </c>
      <c r="L84" s="16">
        <v>80515.000000000015</v>
      </c>
      <c r="M84" s="16">
        <f t="shared" ref="M84:O84" si="5">SUM(M75:M83)</f>
        <v>46987.25</v>
      </c>
      <c r="N84" s="16">
        <f t="shared" si="5"/>
        <v>63461.19999999999</v>
      </c>
      <c r="O84" s="16">
        <f t="shared" si="5"/>
        <v>70578.000000000015</v>
      </c>
      <c r="P84" s="16">
        <f>SUM(P75:P83)</f>
        <v>70578.000000000015</v>
      </c>
      <c r="Q84" s="22"/>
    </row>
    <row r="85" spans="1:18" x14ac:dyDescent="0.25">
      <c r="A85" s="24" t="str">
        <f>IF(D85&gt;1,(MAX(A$6:A84))+1,"")</f>
        <v/>
      </c>
      <c r="B85" s="22"/>
      <c r="C85" s="25"/>
      <c r="D85" s="16"/>
      <c r="Q85" s="22"/>
    </row>
    <row r="86" spans="1:18" x14ac:dyDescent="0.25">
      <c r="A86" s="24">
        <f>IF(D86&gt;1,(MAX(A$6:A85))+1,"")</f>
        <v>71</v>
      </c>
      <c r="B86" s="22"/>
      <c r="C86" s="25"/>
      <c r="D86" s="16" t="s">
        <v>747</v>
      </c>
      <c r="Q86" s="22"/>
    </row>
    <row r="87" spans="1:18" x14ac:dyDescent="0.25">
      <c r="A87" s="24">
        <f>IF(D87&gt;1,(MAX(A$6:A86))+1,"")</f>
        <v>72</v>
      </c>
      <c r="B87" s="22"/>
      <c r="C87" s="25" t="s">
        <v>748</v>
      </c>
      <c r="D87" s="16" t="s">
        <v>749</v>
      </c>
      <c r="E87" s="16">
        <v>16738.13</v>
      </c>
      <c r="F87" s="16">
        <v>17956.01817934477</v>
      </c>
      <c r="G87" s="16">
        <v>15398.23</v>
      </c>
      <c r="H87" s="16">
        <v>18258.494860727689</v>
      </c>
      <c r="I87" s="16">
        <v>15648.92</v>
      </c>
      <c r="J87" s="16">
        <v>15697.353609809419</v>
      </c>
      <c r="K87" s="16">
        <v>13360.24</v>
      </c>
      <c r="L87" s="16">
        <v>15462.347929861573</v>
      </c>
      <c r="M87" s="16">
        <v>9656.49</v>
      </c>
      <c r="N87" s="16">
        <v>12661.29</v>
      </c>
      <c r="O87" s="16">
        <v>17970.338176872727</v>
      </c>
      <c r="P87" s="16">
        <v>17970.338176872727</v>
      </c>
      <c r="Q87" s="22" t="s">
        <v>4</v>
      </c>
      <c r="R87" s="22" t="s">
        <v>1792</v>
      </c>
    </row>
    <row r="88" spans="1:18" x14ac:dyDescent="0.25">
      <c r="A88" s="24">
        <f>IF(D88&gt;1,(MAX(A$6:A87))+1,"")</f>
        <v>73</v>
      </c>
      <c r="B88" s="22" t="s">
        <v>750</v>
      </c>
      <c r="C88" s="25" t="s">
        <v>751</v>
      </c>
      <c r="D88" s="16" t="s">
        <v>4</v>
      </c>
      <c r="E88" s="16">
        <v>224930.26</v>
      </c>
      <c r="F88" s="16">
        <v>231251.74927944026</v>
      </c>
      <c r="G88" s="16">
        <v>208245.96</v>
      </c>
      <c r="H88" s="16">
        <v>234897.54931719581</v>
      </c>
      <c r="I88" s="16">
        <v>211309.11</v>
      </c>
      <c r="J88" s="16">
        <v>202791.77921886125</v>
      </c>
      <c r="K88" s="16">
        <v>179108.64</v>
      </c>
      <c r="L88" s="16">
        <v>198927.32638684858</v>
      </c>
      <c r="M88" s="16">
        <v>129275.96</v>
      </c>
      <c r="N88" s="16">
        <v>173943.93</v>
      </c>
      <c r="O88" s="16">
        <v>231806.85351196415</v>
      </c>
      <c r="P88" s="16">
        <v>231806.85351196415</v>
      </c>
      <c r="Q88" s="22" t="s">
        <v>4</v>
      </c>
      <c r="R88" s="22" t="s">
        <v>1792</v>
      </c>
    </row>
    <row r="89" spans="1:18" x14ac:dyDescent="0.25">
      <c r="A89" s="24">
        <f>IF(D89&gt;1,(MAX(A$6:A88))+1,"")</f>
        <v>74</v>
      </c>
      <c r="B89" s="22"/>
      <c r="C89" s="25" t="s">
        <v>752</v>
      </c>
      <c r="D89" s="16" t="s">
        <v>753</v>
      </c>
      <c r="E89" s="16">
        <v>-171040</v>
      </c>
      <c r="F89" s="16">
        <v>-155687.46961542522</v>
      </c>
      <c r="G89" s="16">
        <v>-163033.71</v>
      </c>
      <c r="H89" s="16">
        <v>-163203.80132541317</v>
      </c>
      <c r="I89" s="16">
        <v>-171797.53</v>
      </c>
      <c r="J89" s="16">
        <v>-138364.54224536955</v>
      </c>
      <c r="K89" s="16">
        <v>-139670.6</v>
      </c>
      <c r="L89" s="16">
        <v>-139758.02958495266</v>
      </c>
      <c r="M89" s="16">
        <v>-108564.04</v>
      </c>
      <c r="N89" s="16">
        <v>-147294.72</v>
      </c>
      <c r="O89" s="16">
        <v>-162901.04185102307</v>
      </c>
      <c r="P89" s="16">
        <v>-162901.04185102307</v>
      </c>
      <c r="Q89" s="22" t="s">
        <v>4</v>
      </c>
      <c r="R89" s="22" t="s">
        <v>1792</v>
      </c>
    </row>
    <row r="90" spans="1:18" x14ac:dyDescent="0.25">
      <c r="A90" s="24">
        <f>IF(D90&gt;1,(MAX(A$6:A89))+1,"")</f>
        <v>75</v>
      </c>
      <c r="B90" s="22"/>
      <c r="C90" s="25" t="s">
        <v>754</v>
      </c>
      <c r="D90" s="16" t="s">
        <v>755</v>
      </c>
      <c r="E90" s="16">
        <v>1248.9100000000001</v>
      </c>
      <c r="F90" s="16">
        <v>1230.1883337627512</v>
      </c>
      <c r="G90" s="16">
        <v>1147.27</v>
      </c>
      <c r="H90" s="16">
        <v>1326.1682389114794</v>
      </c>
      <c r="I90" s="16">
        <v>687.31</v>
      </c>
      <c r="J90" s="16">
        <v>431.13830139301774</v>
      </c>
      <c r="K90" s="16">
        <v>2058</v>
      </c>
      <c r="L90" s="16">
        <v>1257.1014577123231</v>
      </c>
      <c r="M90" s="16">
        <v>356.05</v>
      </c>
      <c r="N90" s="16">
        <v>376.33</v>
      </c>
      <c r="O90" s="16">
        <v>714.60993919727809</v>
      </c>
      <c r="P90" s="16">
        <v>714.60993919727809</v>
      </c>
      <c r="Q90" s="22" t="s">
        <v>4</v>
      </c>
      <c r="R90" s="22" t="s">
        <v>1792</v>
      </c>
    </row>
    <row r="91" spans="1:18" x14ac:dyDescent="0.25">
      <c r="A91" s="24">
        <f>IF(D91&gt;1,(MAX(A$6:A90))+1,"")</f>
        <v>76</v>
      </c>
      <c r="B91" s="22"/>
      <c r="C91" s="25" t="s">
        <v>756</v>
      </c>
      <c r="D91" s="16" t="s">
        <v>757</v>
      </c>
      <c r="E91" s="16">
        <v>1469.11</v>
      </c>
      <c r="F91" s="16">
        <v>2365.7467956975984</v>
      </c>
      <c r="G91" s="16">
        <v>0</v>
      </c>
      <c r="H91" s="16">
        <v>2391.8391451796324</v>
      </c>
      <c r="I91" s="16">
        <v>0</v>
      </c>
      <c r="J91" s="16">
        <v>1959.7195517864443</v>
      </c>
      <c r="K91" s="16">
        <v>0</v>
      </c>
      <c r="L91" s="16">
        <v>1921.5693710745509</v>
      </c>
      <c r="M91" s="16">
        <v>0</v>
      </c>
      <c r="N91" s="16">
        <v>0</v>
      </c>
      <c r="O91" s="16">
        <v>2375.0271508615419</v>
      </c>
      <c r="P91" s="16">
        <v>2375.0271508615419</v>
      </c>
      <c r="Q91" s="22" t="s">
        <v>4</v>
      </c>
      <c r="R91" s="22" t="s">
        <v>1792</v>
      </c>
    </row>
    <row r="92" spans="1:18" x14ac:dyDescent="0.25">
      <c r="A92" s="24">
        <f>IF(D92&gt;1,(MAX(A$6:A91))+1,"")</f>
        <v>77</v>
      </c>
      <c r="B92" s="22"/>
      <c r="C92" s="25" t="s">
        <v>758</v>
      </c>
      <c r="D92" s="16" t="s">
        <v>759</v>
      </c>
      <c r="E92" s="16">
        <v>124815.5</v>
      </c>
      <c r="F92" s="16">
        <v>52945.413287712254</v>
      </c>
      <c r="G92" s="16">
        <v>157388.70000000001</v>
      </c>
      <c r="H92" s="16">
        <v>60245.928567692928</v>
      </c>
      <c r="I92" s="16">
        <v>146504.15</v>
      </c>
      <c r="J92" s="16">
        <v>51834.582144751454</v>
      </c>
      <c r="K92" s="16">
        <v>49997.29</v>
      </c>
      <c r="L92" s="16">
        <v>57198.116325910698</v>
      </c>
      <c r="M92" s="16">
        <v>35277.620000000003</v>
      </c>
      <c r="N92" s="16">
        <v>45938.080000000002</v>
      </c>
      <c r="O92" s="16">
        <v>66017.347618195607</v>
      </c>
      <c r="P92" s="16">
        <v>66017.347618195607</v>
      </c>
      <c r="Q92" s="22" t="s">
        <v>4</v>
      </c>
      <c r="R92" s="22" t="s">
        <v>1792</v>
      </c>
    </row>
    <row r="93" spans="1:18" x14ac:dyDescent="0.25">
      <c r="A93" s="24">
        <f>IF(D93&gt;1,(MAX(A$6:A92))+1,"")</f>
        <v>78</v>
      </c>
      <c r="B93" s="22"/>
      <c r="C93" s="25" t="s">
        <v>760</v>
      </c>
      <c r="D93" s="16" t="s">
        <v>761</v>
      </c>
      <c r="E93" s="16">
        <v>23187.07</v>
      </c>
      <c r="F93" s="16">
        <v>23455.263376781411</v>
      </c>
      <c r="G93" s="16">
        <v>24418.639999999999</v>
      </c>
      <c r="H93" s="16">
        <v>23589.039464188751</v>
      </c>
      <c r="I93" s="16">
        <v>23142.87</v>
      </c>
      <c r="J93" s="16">
        <v>19661.903607489177</v>
      </c>
      <c r="K93" s="16">
        <v>18534.400000000001</v>
      </c>
      <c r="L93" s="16">
        <v>19212.887788457494</v>
      </c>
      <c r="M93" s="16">
        <v>14057.98</v>
      </c>
      <c r="N93" s="16">
        <v>18740.34</v>
      </c>
      <c r="O93" s="16">
        <v>22712.205335444422</v>
      </c>
      <c r="P93" s="16">
        <v>22712.205335444422</v>
      </c>
      <c r="Q93" s="22" t="s">
        <v>4</v>
      </c>
      <c r="R93" s="22" t="s">
        <v>1792</v>
      </c>
    </row>
    <row r="94" spans="1:18" x14ac:dyDescent="0.25">
      <c r="A94" s="24">
        <f>IF(D94&gt;1,(MAX(A$6:A93))+1,"")</f>
        <v>79</v>
      </c>
      <c r="B94" s="22"/>
      <c r="C94" s="25" t="s">
        <v>762</v>
      </c>
      <c r="D94" s="16" t="s">
        <v>763</v>
      </c>
      <c r="E94" s="16">
        <v>5766.61</v>
      </c>
      <c r="F94" s="16">
        <v>6529.4611561253714</v>
      </c>
      <c r="G94" s="16">
        <v>5780.62</v>
      </c>
      <c r="H94" s="16">
        <v>6346.6622862192226</v>
      </c>
      <c r="I94" s="16">
        <v>5579.96</v>
      </c>
      <c r="J94" s="16">
        <v>5252.0483987876705</v>
      </c>
      <c r="K94" s="16">
        <v>4526.41</v>
      </c>
      <c r="L94" s="16">
        <v>4812.9027238128938</v>
      </c>
      <c r="M94" s="16">
        <v>3037.19</v>
      </c>
      <c r="N94" s="16">
        <v>4056.61</v>
      </c>
      <c r="O94" s="16">
        <v>6809.8123617622969</v>
      </c>
      <c r="P94" s="16">
        <v>6809.8123617622969</v>
      </c>
      <c r="Q94" s="22" t="s">
        <v>4</v>
      </c>
      <c r="R94" s="22" t="s">
        <v>1792</v>
      </c>
    </row>
    <row r="95" spans="1:18" x14ac:dyDescent="0.25">
      <c r="A95" s="24">
        <f>IF(D95&gt;1,(MAX(A$6:A94))+1,"")</f>
        <v>80</v>
      </c>
      <c r="B95" s="22"/>
      <c r="C95" s="25" t="s">
        <v>764</v>
      </c>
      <c r="D95" s="16" t="s">
        <v>765</v>
      </c>
      <c r="E95" s="16">
        <v>537.65</v>
      </c>
      <c r="F95" s="16">
        <v>916.62920656081042</v>
      </c>
      <c r="G95" s="16">
        <v>545.07000000000005</v>
      </c>
      <c r="H95" s="16">
        <v>751.11944529764321</v>
      </c>
      <c r="I95" s="16">
        <v>813.13</v>
      </c>
      <c r="J95" s="16">
        <v>543.01741249109136</v>
      </c>
      <c r="K95" s="16">
        <v>474.41</v>
      </c>
      <c r="L95" s="16">
        <v>535.7776012745145</v>
      </c>
      <c r="M95" s="16">
        <v>330.98</v>
      </c>
      <c r="N95" s="16">
        <v>447.41</v>
      </c>
      <c r="O95" s="16">
        <v>626.84775672507374</v>
      </c>
      <c r="P95" s="16">
        <v>626.84775672507374</v>
      </c>
      <c r="Q95" s="22" t="s">
        <v>226</v>
      </c>
      <c r="R95" s="22" t="s">
        <v>1792</v>
      </c>
    </row>
    <row r="96" spans="1:18" x14ac:dyDescent="0.25">
      <c r="A96" s="24">
        <f>IF(D96&gt;1,(MAX(A$6:A95))+1,"")</f>
        <v>81</v>
      </c>
      <c r="B96" s="22"/>
      <c r="C96" s="25" t="s">
        <v>766</v>
      </c>
      <c r="D96" s="16" t="s">
        <v>767</v>
      </c>
      <c r="E96" s="16">
        <v>895.7</v>
      </c>
      <c r="F96" s="16">
        <v>1300</v>
      </c>
      <c r="G96" s="16">
        <v>1171.52</v>
      </c>
      <c r="H96" s="16">
        <v>1200</v>
      </c>
      <c r="I96" s="16">
        <v>1316.66</v>
      </c>
      <c r="J96" s="16">
        <v>1500</v>
      </c>
      <c r="K96" s="16">
        <v>1280.08</v>
      </c>
      <c r="L96" s="16">
        <v>1100</v>
      </c>
      <c r="M96" s="16">
        <v>688.43</v>
      </c>
      <c r="N96" s="16">
        <v>842.72</v>
      </c>
      <c r="O96" s="16">
        <v>600</v>
      </c>
      <c r="P96" s="16">
        <f>ROUND((51.43*6)+(51.43*1.05*6),-2)</f>
        <v>600</v>
      </c>
      <c r="Q96" s="22" t="s">
        <v>226</v>
      </c>
      <c r="R96" s="229" t="s">
        <v>1814</v>
      </c>
    </row>
    <row r="97" spans="1:18" x14ac:dyDescent="0.25">
      <c r="A97" s="24">
        <f>IF(D97&gt;1,(MAX(A$6:A96))+1,"")</f>
        <v>82</v>
      </c>
      <c r="B97" s="22" t="s">
        <v>768</v>
      </c>
      <c r="C97" s="25" t="s">
        <v>769</v>
      </c>
      <c r="D97" s="16" t="s">
        <v>19</v>
      </c>
      <c r="E97" s="16">
        <v>8015.73</v>
      </c>
      <c r="F97" s="16">
        <v>8400</v>
      </c>
      <c r="G97" s="16">
        <v>39105.919999999998</v>
      </c>
      <c r="H97" s="16">
        <v>8700</v>
      </c>
      <c r="I97" s="16">
        <v>8316.67</v>
      </c>
      <c r="J97" s="16">
        <v>8300</v>
      </c>
      <c r="K97" s="16">
        <v>8688.32</v>
      </c>
      <c r="L97" s="16">
        <v>8700</v>
      </c>
      <c r="M97" s="16">
        <v>6804.53</v>
      </c>
      <c r="N97" s="16">
        <v>8882.33</v>
      </c>
      <c r="O97" s="16">
        <v>8800</v>
      </c>
      <c r="P97" s="16">
        <f>ROUND(AVERAGE(E97,I97,K97,(N97/0.75))*1.03,-2)</f>
        <v>9500</v>
      </c>
      <c r="Q97" s="22" t="s">
        <v>19</v>
      </c>
      <c r="R97" s="227" t="s">
        <v>1815</v>
      </c>
    </row>
    <row r="98" spans="1:18" x14ac:dyDescent="0.25">
      <c r="A98" s="24">
        <f>IF(D98&gt;1,(MAX(A$6:A97))+1,"")</f>
        <v>83</v>
      </c>
      <c r="B98" s="22" t="s">
        <v>770</v>
      </c>
      <c r="C98" s="25" t="s">
        <v>771</v>
      </c>
      <c r="D98" s="16" t="s">
        <v>772</v>
      </c>
      <c r="E98" s="16">
        <v>0</v>
      </c>
      <c r="F98" s="16">
        <v>0</v>
      </c>
      <c r="G98" s="16">
        <v>0</v>
      </c>
      <c r="H98" s="16">
        <v>0</v>
      </c>
      <c r="I98" s="16">
        <v>0</v>
      </c>
      <c r="J98" s="16">
        <v>0</v>
      </c>
      <c r="K98" s="16">
        <v>0</v>
      </c>
      <c r="L98" s="16">
        <v>0</v>
      </c>
      <c r="M98" s="16">
        <v>0</v>
      </c>
      <c r="N98" s="16">
        <v>0</v>
      </c>
      <c r="O98" s="16">
        <v>0</v>
      </c>
      <c r="P98" s="16">
        <v>0</v>
      </c>
      <c r="Q98" s="22">
        <v>0</v>
      </c>
      <c r="R98" s="227" t="s">
        <v>1816</v>
      </c>
    </row>
    <row r="99" spans="1:18" x14ac:dyDescent="0.25">
      <c r="A99" s="24">
        <f>IF(D99&gt;1,(MAX(A$6:A98))+1,"")</f>
        <v>84</v>
      </c>
      <c r="B99" s="22" t="s">
        <v>773</v>
      </c>
      <c r="C99" s="25" t="s">
        <v>774</v>
      </c>
      <c r="D99" s="16" t="s">
        <v>639</v>
      </c>
      <c r="E99" s="16">
        <v>10316.700000000001</v>
      </c>
      <c r="F99" s="16">
        <v>9000</v>
      </c>
      <c r="G99" s="16">
        <v>9050.02</v>
      </c>
      <c r="H99" s="16">
        <v>8800</v>
      </c>
      <c r="I99" s="16">
        <v>7497.4</v>
      </c>
      <c r="J99" s="16">
        <v>8500</v>
      </c>
      <c r="K99" s="16">
        <v>7857.49</v>
      </c>
      <c r="L99" s="16">
        <v>8500</v>
      </c>
      <c r="M99" s="16">
        <v>6267.79</v>
      </c>
      <c r="N99" s="16">
        <v>10274.59</v>
      </c>
      <c r="O99" s="16">
        <v>9200</v>
      </c>
      <c r="P99" s="16">
        <f>ROUND((617.18*12)+(121.61*12)+(11*12)+250, -2)</f>
        <v>9200</v>
      </c>
      <c r="Q99" s="22" t="s">
        <v>5</v>
      </c>
      <c r="R99" s="227" t="s">
        <v>1817</v>
      </c>
    </row>
    <row r="100" spans="1:18" x14ac:dyDescent="0.25">
      <c r="A100" s="24">
        <f>IF(D100&gt;1,(MAX(A$6:A99))+1,"")</f>
        <v>85</v>
      </c>
      <c r="B100" s="22" t="s">
        <v>775</v>
      </c>
      <c r="C100" s="25" t="s">
        <v>776</v>
      </c>
      <c r="D100" s="16" t="s">
        <v>640</v>
      </c>
      <c r="E100" s="16">
        <v>5718.14</v>
      </c>
      <c r="F100" s="16">
        <v>10418</v>
      </c>
      <c r="G100" s="16">
        <v>6476.88</v>
      </c>
      <c r="H100" s="16">
        <v>7639</v>
      </c>
      <c r="I100" s="16">
        <v>4690.08</v>
      </c>
      <c r="J100" s="16">
        <v>8008</v>
      </c>
      <c r="K100" s="16">
        <v>4913.5200000000004</v>
      </c>
      <c r="L100" s="16">
        <v>7888</v>
      </c>
      <c r="M100" s="16">
        <v>3517.57</v>
      </c>
      <c r="N100" s="16">
        <v>4690.09</v>
      </c>
      <c r="O100" s="16">
        <v>9025</v>
      </c>
      <c r="P100" s="16">
        <v>9025</v>
      </c>
      <c r="Q100" s="22" t="s">
        <v>6</v>
      </c>
      <c r="R100" s="22" t="s">
        <v>1792</v>
      </c>
    </row>
    <row r="101" spans="1:18" x14ac:dyDescent="0.25">
      <c r="A101" s="24">
        <f>IF(D101&gt;1,(MAX(A$6:A100))+1,"")</f>
        <v>86</v>
      </c>
      <c r="B101" s="22" t="s">
        <v>777</v>
      </c>
      <c r="C101" s="25" t="s">
        <v>778</v>
      </c>
      <c r="D101" s="16" t="s">
        <v>641</v>
      </c>
      <c r="E101" s="16">
        <v>15101.56</v>
      </c>
      <c r="F101" s="16">
        <v>15500</v>
      </c>
      <c r="G101" s="16">
        <v>14987.4</v>
      </c>
      <c r="H101" s="16">
        <v>13500</v>
      </c>
      <c r="I101" s="16">
        <v>14968.39</v>
      </c>
      <c r="J101" s="16">
        <v>15300</v>
      </c>
      <c r="K101" s="16">
        <v>15447.92</v>
      </c>
      <c r="L101" s="16">
        <v>17900</v>
      </c>
      <c r="M101" s="16">
        <v>14956.65</v>
      </c>
      <c r="N101" s="16">
        <v>20855.57</v>
      </c>
      <c r="O101" s="16">
        <v>22200</v>
      </c>
      <c r="P101" s="16">
        <f>ROUND((((3+57.64+87.75+29.17+3+470+263.11+79.62+133.03+127.68+47.31+32.4+63.89+47.87+267.83+31.92+56.66)*12)*1.005)+500, -2)</f>
        <v>22200</v>
      </c>
      <c r="Q101" s="22" t="s">
        <v>7</v>
      </c>
      <c r="R101" s="227" t="s">
        <v>1818</v>
      </c>
    </row>
    <row r="102" spans="1:18" x14ac:dyDescent="0.25">
      <c r="A102" s="24">
        <f>IF(D102&gt;1,(MAX(A$6:A101))+1,"")</f>
        <v>87</v>
      </c>
      <c r="B102" s="22" t="s">
        <v>779</v>
      </c>
      <c r="C102" s="25" t="s">
        <v>780</v>
      </c>
      <c r="D102" s="16" t="s">
        <v>8</v>
      </c>
      <c r="E102" s="16">
        <v>4848.46</v>
      </c>
      <c r="F102" s="16">
        <v>8400</v>
      </c>
      <c r="G102" s="16">
        <v>3526.15</v>
      </c>
      <c r="H102" s="16">
        <v>8700</v>
      </c>
      <c r="I102" s="16">
        <v>4103.99</v>
      </c>
      <c r="J102" s="16">
        <v>7800</v>
      </c>
      <c r="K102" s="16">
        <v>6386.99</v>
      </c>
      <c r="L102" s="16">
        <v>7200</v>
      </c>
      <c r="M102" s="16">
        <v>5754.21</v>
      </c>
      <c r="N102" s="16">
        <v>8553.89</v>
      </c>
      <c r="O102" s="16">
        <v>8000</v>
      </c>
      <c r="P102" s="16">
        <f>ROUND((AVERAGE(E102,G102,I102,K102,(N102/1))*1.03)+700+300+1500,-2)</f>
        <v>8100</v>
      </c>
      <c r="Q102" s="22" t="s">
        <v>8</v>
      </c>
      <c r="R102" s="227" t="s">
        <v>1819</v>
      </c>
    </row>
    <row r="103" spans="1:18" x14ac:dyDescent="0.25">
      <c r="A103" s="24">
        <f>IF(D103&gt;1,(MAX(A$6:A102))+1,"")</f>
        <v>88</v>
      </c>
      <c r="B103" s="22" t="s">
        <v>781</v>
      </c>
      <c r="C103" s="25" t="s">
        <v>782</v>
      </c>
      <c r="D103" s="16" t="s">
        <v>9</v>
      </c>
      <c r="E103" s="16">
        <v>2615.4</v>
      </c>
      <c r="F103" s="16">
        <v>3800</v>
      </c>
      <c r="G103" s="16">
        <v>2270.21</v>
      </c>
      <c r="H103" s="16">
        <v>2700</v>
      </c>
      <c r="I103" s="16">
        <v>116.23</v>
      </c>
      <c r="J103" s="16">
        <v>1200</v>
      </c>
      <c r="K103" s="16">
        <v>586.69000000000005</v>
      </c>
      <c r="L103" s="16">
        <v>500</v>
      </c>
      <c r="M103" s="16">
        <v>772</v>
      </c>
      <c r="N103" s="16">
        <v>1337.81</v>
      </c>
      <c r="O103" s="16">
        <v>1300</v>
      </c>
      <c r="P103" s="16">
        <f>ROUND(IF((N103/1)&gt;L103,(N103/1)*$P$2,AVERAGE(K103,(N103/1)))+200,-2)</f>
        <v>1600</v>
      </c>
      <c r="Q103" s="22" t="s">
        <v>9</v>
      </c>
      <c r="R103" s="227" t="s">
        <v>1820</v>
      </c>
    </row>
    <row r="104" spans="1:18" x14ac:dyDescent="0.25">
      <c r="A104" s="24">
        <f>IF(D104&gt;1,(MAX(A$6:A103))+1,"")</f>
        <v>89</v>
      </c>
      <c r="B104" s="22" t="s">
        <v>783</v>
      </c>
      <c r="C104" s="25" t="s">
        <v>784</v>
      </c>
      <c r="D104" s="16" t="s">
        <v>785</v>
      </c>
      <c r="E104" s="16">
        <v>299.35000000000002</v>
      </c>
      <c r="F104" s="16">
        <v>1000</v>
      </c>
      <c r="G104" s="16">
        <v>829.56</v>
      </c>
      <c r="H104" s="16">
        <v>1000</v>
      </c>
      <c r="I104" s="16">
        <v>409.93</v>
      </c>
      <c r="J104" s="16">
        <v>1000</v>
      </c>
      <c r="K104" s="16">
        <v>0</v>
      </c>
      <c r="L104" s="16">
        <v>1000</v>
      </c>
      <c r="M104" s="16">
        <v>144</v>
      </c>
      <c r="N104" s="16">
        <v>144</v>
      </c>
      <c r="O104" s="16">
        <v>500</v>
      </c>
      <c r="P104" s="16">
        <v>500</v>
      </c>
      <c r="Q104" s="22" t="s">
        <v>15</v>
      </c>
      <c r="R104" s="227" t="s">
        <v>1821</v>
      </c>
    </row>
    <row r="105" spans="1:18" x14ac:dyDescent="0.25">
      <c r="A105" s="24">
        <f>IF(D105&gt;1,(MAX(A$6:A104))+1,"")</f>
        <v>90</v>
      </c>
      <c r="B105" s="22" t="s">
        <v>786</v>
      </c>
      <c r="C105" s="25" t="s">
        <v>787</v>
      </c>
      <c r="D105" s="16" t="s">
        <v>11</v>
      </c>
      <c r="E105" s="16">
        <v>3909.11</v>
      </c>
      <c r="F105" s="16">
        <v>4800</v>
      </c>
      <c r="G105" s="16">
        <v>3642.98</v>
      </c>
      <c r="H105" s="16">
        <v>3700</v>
      </c>
      <c r="I105" s="16">
        <v>3470.69</v>
      </c>
      <c r="J105" s="16">
        <v>4300</v>
      </c>
      <c r="K105" s="16">
        <v>5049.05</v>
      </c>
      <c r="L105" s="16">
        <v>4600</v>
      </c>
      <c r="M105" s="16">
        <v>2068.13</v>
      </c>
      <c r="N105" s="16">
        <v>2446.77</v>
      </c>
      <c r="O105" s="16">
        <v>3900</v>
      </c>
      <c r="P105" s="16">
        <f>ROUND(AVERAGE(E105,G105,I105,K105,(N105/1))*1.03,-2)</f>
        <v>3800</v>
      </c>
      <c r="Q105" s="22" t="s">
        <v>11</v>
      </c>
      <c r="R105" s="227" t="s">
        <v>1822</v>
      </c>
    </row>
    <row r="106" spans="1:18" x14ac:dyDescent="0.25">
      <c r="A106" s="24">
        <f>IF(D106&gt;1,(MAX(A$6:A105))+1,"")</f>
        <v>91</v>
      </c>
      <c r="B106" s="22" t="s">
        <v>788</v>
      </c>
      <c r="C106" s="25" t="s">
        <v>789</v>
      </c>
      <c r="D106" s="16" t="s">
        <v>10</v>
      </c>
      <c r="E106" s="16">
        <v>56903.95</v>
      </c>
      <c r="F106" s="16">
        <v>65300</v>
      </c>
      <c r="G106" s="16">
        <v>47698.02</v>
      </c>
      <c r="H106" s="16">
        <v>52400</v>
      </c>
      <c r="I106" s="16">
        <v>32203.06</v>
      </c>
      <c r="J106" s="16">
        <v>47000</v>
      </c>
      <c r="K106" s="16">
        <v>65559.08</v>
      </c>
      <c r="L106" s="16">
        <v>52900</v>
      </c>
      <c r="M106" s="16">
        <v>27407.48</v>
      </c>
      <c r="N106" s="16">
        <v>37017.68</v>
      </c>
      <c r="O106" s="16">
        <v>49200</v>
      </c>
      <c r="P106" s="16">
        <f>ROUND(AVERAGE(E106,G106,I106,K106,(N106/1))*1.03,-2)</f>
        <v>49300</v>
      </c>
      <c r="Q106" s="22" t="s">
        <v>10</v>
      </c>
      <c r="R106" s="22" t="s">
        <v>1823</v>
      </c>
    </row>
    <row r="107" spans="1:18" x14ac:dyDescent="0.25">
      <c r="A107" s="24">
        <f>IF(D107&gt;1,(MAX(A$6:A106))+1,"")</f>
        <v>92</v>
      </c>
      <c r="B107" s="22" t="s">
        <v>790</v>
      </c>
      <c r="C107" s="25" t="s">
        <v>791</v>
      </c>
      <c r="D107" s="16" t="s">
        <v>652</v>
      </c>
      <c r="E107" s="16">
        <v>8562.42</v>
      </c>
      <c r="F107" s="16">
        <v>8400</v>
      </c>
      <c r="G107" s="16">
        <v>8928.09</v>
      </c>
      <c r="H107" s="16">
        <v>8600</v>
      </c>
      <c r="I107" s="16">
        <v>7829.86</v>
      </c>
      <c r="J107" s="16">
        <v>9100</v>
      </c>
      <c r="K107" s="16">
        <v>10573.63</v>
      </c>
      <c r="L107" s="16">
        <v>9400</v>
      </c>
      <c r="M107" s="16">
        <v>6100.9</v>
      </c>
      <c r="N107" s="16">
        <v>9649.7000000000007</v>
      </c>
      <c r="O107" s="16">
        <v>9600</v>
      </c>
      <c r="P107" s="16">
        <f>ROUND(IF((N107/1)&gt;L107,(N107/1)*$P$2,AVERAGE(K107,(N107/1)))+200,-2)</f>
        <v>10100</v>
      </c>
      <c r="Q107" s="22" t="s">
        <v>228</v>
      </c>
      <c r="R107" s="227" t="s">
        <v>1824</v>
      </c>
    </row>
    <row r="108" spans="1:18" x14ac:dyDescent="0.25">
      <c r="A108" s="24">
        <f>IF(D108&gt;1,(MAX(A$6:A107))+1,"")</f>
        <v>93</v>
      </c>
      <c r="B108" s="22" t="s">
        <v>792</v>
      </c>
      <c r="C108" s="25" t="s">
        <v>793</v>
      </c>
      <c r="D108" s="16" t="s">
        <v>726</v>
      </c>
      <c r="E108" s="16">
        <v>21511.29</v>
      </c>
      <c r="F108" s="16">
        <v>21500</v>
      </c>
      <c r="G108" s="16">
        <v>22106.12</v>
      </c>
      <c r="H108" s="16">
        <v>22500</v>
      </c>
      <c r="I108" s="16">
        <v>16785.59</v>
      </c>
      <c r="J108" s="16">
        <v>22200</v>
      </c>
      <c r="K108" s="16">
        <v>18831.95</v>
      </c>
      <c r="L108" s="16">
        <v>19900</v>
      </c>
      <c r="M108" s="16">
        <v>11823.14</v>
      </c>
      <c r="N108" s="16">
        <v>15722.33</v>
      </c>
      <c r="O108" s="16">
        <v>18300</v>
      </c>
      <c r="P108" s="16">
        <f>ROUND(IF((N108/1)&gt;L108,(N108/1)*$P$2,AVERAGE(K108,(N108/1)))+1000,-2)</f>
        <v>18300</v>
      </c>
      <c r="Q108" s="22" t="s">
        <v>13</v>
      </c>
      <c r="R108" s="227" t="s">
        <v>1825</v>
      </c>
    </row>
    <row r="109" spans="1:18" x14ac:dyDescent="0.25">
      <c r="A109" s="24">
        <f>IF(D109&gt;1,(MAX(A$6:A108))+1,"")</f>
        <v>94</v>
      </c>
      <c r="B109" s="22"/>
      <c r="C109" s="25" t="s">
        <v>794</v>
      </c>
      <c r="D109" s="16" t="s">
        <v>795</v>
      </c>
      <c r="E109" s="16">
        <v>1728.8</v>
      </c>
      <c r="F109" s="16">
        <v>2500</v>
      </c>
      <c r="G109" s="16">
        <v>1470.48</v>
      </c>
      <c r="H109" s="16">
        <v>1700</v>
      </c>
      <c r="I109" s="16">
        <v>662.36</v>
      </c>
      <c r="J109" s="16">
        <v>1000</v>
      </c>
      <c r="K109" s="16">
        <v>304.89999999999998</v>
      </c>
      <c r="L109" s="16">
        <v>500</v>
      </c>
      <c r="M109" s="16">
        <v>1930.49</v>
      </c>
      <c r="N109" s="16">
        <v>2533.39</v>
      </c>
      <c r="O109" s="16">
        <v>1000</v>
      </c>
      <c r="P109" s="16">
        <v>1000</v>
      </c>
      <c r="Q109" s="22" t="s">
        <v>231</v>
      </c>
      <c r="R109" s="227" t="s">
        <v>1826</v>
      </c>
    </row>
    <row r="110" spans="1:18" x14ac:dyDescent="0.25">
      <c r="A110" s="24">
        <f>IF(D110&gt;1,(MAX(A$6:A109))+1,"")</f>
        <v>95</v>
      </c>
      <c r="B110" s="22" t="s">
        <v>796</v>
      </c>
      <c r="C110" s="25" t="s">
        <v>797</v>
      </c>
      <c r="D110" s="16" t="s">
        <v>653</v>
      </c>
      <c r="E110" s="16">
        <v>0</v>
      </c>
      <c r="F110" s="16">
        <v>0</v>
      </c>
      <c r="G110" s="16">
        <v>0</v>
      </c>
      <c r="H110" s="16">
        <v>0</v>
      </c>
      <c r="I110" s="16">
        <v>0</v>
      </c>
      <c r="J110" s="16">
        <v>0</v>
      </c>
      <c r="K110" s="16">
        <v>0</v>
      </c>
      <c r="L110" s="16">
        <v>0</v>
      </c>
      <c r="M110" s="16">
        <v>0</v>
      </c>
      <c r="N110" s="16">
        <v>0</v>
      </c>
      <c r="O110" s="16">
        <v>0</v>
      </c>
      <c r="P110" s="16">
        <v>0</v>
      </c>
      <c r="Q110" s="22">
        <v>0</v>
      </c>
      <c r="R110" s="227" t="s">
        <v>1827</v>
      </c>
    </row>
    <row r="111" spans="1:18" x14ac:dyDescent="0.25">
      <c r="A111" s="24">
        <f>IF(D111&gt;1,(MAX(A$6:A110))+1,"")</f>
        <v>96</v>
      </c>
      <c r="B111" s="22" t="s">
        <v>798</v>
      </c>
      <c r="C111" s="25" t="s">
        <v>799</v>
      </c>
      <c r="D111" s="16" t="s">
        <v>800</v>
      </c>
      <c r="E111" s="16">
        <v>33902.54</v>
      </c>
      <c r="F111" s="16">
        <v>27900</v>
      </c>
      <c r="G111" s="16">
        <v>24254.39</v>
      </c>
      <c r="H111" s="16">
        <v>29000</v>
      </c>
      <c r="I111" s="16">
        <v>21985.56</v>
      </c>
      <c r="J111" s="16">
        <v>28400</v>
      </c>
      <c r="K111" s="16">
        <v>28469.200000000001</v>
      </c>
      <c r="L111" s="16">
        <v>29000</v>
      </c>
      <c r="M111" s="16">
        <v>21382.59</v>
      </c>
      <c r="N111" s="16">
        <v>28540.05</v>
      </c>
      <c r="O111" s="16">
        <v>31500</v>
      </c>
      <c r="P111" s="16">
        <f>ROUND(31506.9, -2)</f>
        <v>31500</v>
      </c>
      <c r="Q111" s="22" t="s">
        <v>223</v>
      </c>
      <c r="R111" s="22" t="s">
        <v>1828</v>
      </c>
    </row>
    <row r="112" spans="1:18" x14ac:dyDescent="0.25">
      <c r="A112" s="24">
        <f>IF(D112&gt;1,(MAX(A$6:A111))+1,"")</f>
        <v>97</v>
      </c>
      <c r="B112" s="22"/>
      <c r="C112" s="25" t="s">
        <v>801</v>
      </c>
      <c r="D112" s="16" t="s">
        <v>230</v>
      </c>
      <c r="E112" s="16">
        <v>9555.8700000000008</v>
      </c>
      <c r="F112" s="16">
        <v>13000</v>
      </c>
      <c r="G112" s="16">
        <v>11407.05</v>
      </c>
      <c r="H112" s="16">
        <v>10900</v>
      </c>
      <c r="I112" s="16">
        <v>6005.65</v>
      </c>
      <c r="J112" s="16">
        <v>8100</v>
      </c>
      <c r="K112" s="16">
        <v>11082.04</v>
      </c>
      <c r="L112" s="16">
        <v>6900</v>
      </c>
      <c r="M112" s="16">
        <v>8992.1299999999992</v>
      </c>
      <c r="N112" s="16">
        <v>11024.72</v>
      </c>
      <c r="O112" s="16">
        <v>12300</v>
      </c>
      <c r="P112" s="16">
        <f>ROUND(IF((N112/1)&gt;L112,(N112/1)*$P$2,AVERAGE(K112,(N112/1))),-2)</f>
        <v>11400</v>
      </c>
      <c r="Q112" s="22" t="s">
        <v>230</v>
      </c>
      <c r="R112" s="227" t="s">
        <v>1829</v>
      </c>
    </row>
    <row r="113" spans="1:18" x14ac:dyDescent="0.25">
      <c r="A113" s="24">
        <f>IF(D113&gt;1,(MAX(A$6:A112))+1,"")</f>
        <v>98</v>
      </c>
      <c r="B113" s="22" t="s">
        <v>802</v>
      </c>
      <c r="C113" s="25" t="s">
        <v>803</v>
      </c>
      <c r="D113" s="16" t="s">
        <v>16</v>
      </c>
      <c r="E113" s="16">
        <v>7844.33</v>
      </c>
      <c r="F113" s="16">
        <v>8000</v>
      </c>
      <c r="G113" s="16">
        <v>7894.76</v>
      </c>
      <c r="H113" s="16">
        <v>7900</v>
      </c>
      <c r="I113" s="16">
        <v>7968.26</v>
      </c>
      <c r="J113" s="16">
        <v>7900</v>
      </c>
      <c r="K113" s="16">
        <v>7840.67</v>
      </c>
      <c r="L113" s="16">
        <v>7900</v>
      </c>
      <c r="M113" s="16">
        <v>5318.92</v>
      </c>
      <c r="N113" s="16">
        <v>6822.34</v>
      </c>
      <c r="O113" s="16">
        <v>6000</v>
      </c>
      <c r="P113" s="16">
        <f>ROUND((501.14*6)+(494.6*6),-2)</f>
        <v>6000</v>
      </c>
      <c r="Q113" s="22" t="s">
        <v>227</v>
      </c>
      <c r="R113" s="227" t="s">
        <v>1830</v>
      </c>
    </row>
    <row r="114" spans="1:18" x14ac:dyDescent="0.25">
      <c r="A114" s="24">
        <f>IF(D114&gt;1,(MAX(A$6:A113))+1,"")</f>
        <v>99</v>
      </c>
      <c r="B114" s="22" t="s">
        <v>804</v>
      </c>
      <c r="C114" s="25" t="s">
        <v>805</v>
      </c>
      <c r="D114" s="16" t="s">
        <v>28</v>
      </c>
      <c r="E114" s="16">
        <v>11235.5</v>
      </c>
      <c r="F114" s="16">
        <v>15500</v>
      </c>
      <c r="G114" s="16">
        <v>7707.54</v>
      </c>
      <c r="H114" s="16">
        <v>13400</v>
      </c>
      <c r="I114" s="16">
        <v>784.42</v>
      </c>
      <c r="J114" s="16">
        <v>9000</v>
      </c>
      <c r="K114" s="16">
        <v>290.08999999999997</v>
      </c>
      <c r="L114" s="16">
        <v>5600</v>
      </c>
      <c r="M114" s="16">
        <v>3410.38</v>
      </c>
      <c r="N114" s="16">
        <v>3594.64</v>
      </c>
      <c r="O114" s="16">
        <v>7300</v>
      </c>
      <c r="P114" s="16">
        <f>ROUND(((N114/1)*1.05)+500+2000,-2)</f>
        <v>6300</v>
      </c>
      <c r="Q114" s="22" t="s">
        <v>202</v>
      </c>
      <c r="R114" s="227" t="s">
        <v>1831</v>
      </c>
    </row>
    <row r="115" spans="1:18" x14ac:dyDescent="0.25">
      <c r="A115" s="24">
        <f>IF(D115&gt;1,(MAX(A$6:A114))+1,"")</f>
        <v>100</v>
      </c>
      <c r="B115" s="22"/>
      <c r="C115" s="25" t="s">
        <v>806</v>
      </c>
      <c r="D115" s="16" t="s">
        <v>14</v>
      </c>
      <c r="E115" s="16">
        <v>751.24</v>
      </c>
      <c r="F115" s="16">
        <v>1600</v>
      </c>
      <c r="G115" s="16">
        <v>1652.27</v>
      </c>
      <c r="H115" s="16">
        <v>1900</v>
      </c>
      <c r="I115" s="16">
        <v>1130.5</v>
      </c>
      <c r="J115" s="16">
        <v>1300</v>
      </c>
      <c r="K115" s="16">
        <v>1978.5</v>
      </c>
      <c r="L115" s="16">
        <v>1800</v>
      </c>
      <c r="M115" s="16">
        <v>1694.53</v>
      </c>
      <c r="N115" s="16">
        <v>2080.63</v>
      </c>
      <c r="O115" s="16">
        <v>2300</v>
      </c>
      <c r="P115" s="16">
        <f>ROUND(IF((N115/1)&gt;L115,(N115/1)*$P$2,AVERAGE(K115,(N115/1))),-2)</f>
        <v>2100</v>
      </c>
      <c r="Q115" s="22" t="s">
        <v>14</v>
      </c>
      <c r="R115" s="227" t="s">
        <v>1832</v>
      </c>
    </row>
    <row r="116" spans="1:18" x14ac:dyDescent="0.25">
      <c r="A116" s="24">
        <f>IF(D116&gt;1,(MAX(A$6:A115))+1,"")</f>
        <v>101</v>
      </c>
      <c r="B116" s="22" t="s">
        <v>807</v>
      </c>
      <c r="C116" s="25" t="s">
        <v>808</v>
      </c>
      <c r="D116" s="16" t="s">
        <v>809</v>
      </c>
      <c r="E116" s="16">
        <v>2250</v>
      </c>
      <c r="F116" s="16">
        <v>2300</v>
      </c>
      <c r="G116" s="16">
        <v>2250</v>
      </c>
      <c r="H116" s="16">
        <v>2300</v>
      </c>
      <c r="I116" s="16">
        <v>2250</v>
      </c>
      <c r="J116" s="16">
        <v>2300</v>
      </c>
      <c r="K116" s="16">
        <v>2250</v>
      </c>
      <c r="L116" s="16">
        <v>2300</v>
      </c>
      <c r="M116" s="16">
        <v>1687.5</v>
      </c>
      <c r="N116" s="16">
        <v>2250</v>
      </c>
      <c r="O116" s="16">
        <v>2300</v>
      </c>
      <c r="P116" s="16">
        <f>ROUND(187.5*12, -2)</f>
        <v>2300</v>
      </c>
      <c r="Q116" s="22" t="s">
        <v>17</v>
      </c>
      <c r="R116" s="227" t="s">
        <v>1833</v>
      </c>
    </row>
    <row r="117" spans="1:18" x14ac:dyDescent="0.25">
      <c r="A117" s="24">
        <f>IF(D117&gt;1,(MAX(A$6:A116))+1,"")</f>
        <v>102</v>
      </c>
      <c r="B117" s="22" t="s">
        <v>810</v>
      </c>
      <c r="C117" s="25" t="s">
        <v>811</v>
      </c>
      <c r="D117" s="16" t="s">
        <v>812</v>
      </c>
      <c r="E117" s="16">
        <v>3962.94</v>
      </c>
      <c r="F117" s="16">
        <v>4000</v>
      </c>
      <c r="G117" s="16">
        <v>3833.79</v>
      </c>
      <c r="H117" s="16">
        <v>4900</v>
      </c>
      <c r="I117" s="16">
        <f>3396.13+68.49</f>
        <v>3464.62</v>
      </c>
      <c r="J117" s="16">
        <v>2900</v>
      </c>
      <c r="K117" s="16">
        <v>4618.5200000000004</v>
      </c>
      <c r="L117" s="16">
        <v>4000</v>
      </c>
      <c r="M117" s="16">
        <v>3065.27</v>
      </c>
      <c r="N117" s="16">
        <v>4534.8900000000003</v>
      </c>
      <c r="O117" s="16">
        <v>4200</v>
      </c>
      <c r="P117" s="16">
        <f>ROUND(IF((N117/1)&gt;L117,(N117/1)*$P$2,AVERAGE(K117,(N117/1))),-2)</f>
        <v>4700</v>
      </c>
      <c r="Q117" s="22" t="s">
        <v>18</v>
      </c>
      <c r="R117" s="22" t="s">
        <v>1834</v>
      </c>
    </row>
    <row r="118" spans="1:18" x14ac:dyDescent="0.25">
      <c r="A118" s="24">
        <f>IF(D118&gt;1,(MAX(A$6:A117))+1,"")</f>
        <v>103</v>
      </c>
      <c r="B118" s="22" t="s">
        <v>813</v>
      </c>
      <c r="C118" s="25" t="s">
        <v>814</v>
      </c>
      <c r="D118" s="16" t="s">
        <v>196</v>
      </c>
      <c r="E118" s="16">
        <v>1225866.43</v>
      </c>
      <c r="F118" s="16">
        <v>1227100</v>
      </c>
      <c r="G118" s="16">
        <v>1099348.8700000001</v>
      </c>
      <c r="H118" s="16">
        <v>1276200</v>
      </c>
      <c r="I118" s="16">
        <v>1505484.51</v>
      </c>
      <c r="J118" s="16">
        <v>1539800</v>
      </c>
      <c r="K118" s="16">
        <v>1424448.29</v>
      </c>
      <c r="L118" s="16">
        <v>1415400</v>
      </c>
      <c r="M118" s="16">
        <v>1112301.72</v>
      </c>
      <c r="N118" s="16">
        <v>1488090.26</v>
      </c>
      <c r="O118" s="16">
        <v>1533200</v>
      </c>
      <c r="P118" s="16">
        <v>1533200</v>
      </c>
      <c r="Q118" s="22" t="s">
        <v>889</v>
      </c>
      <c r="R118" s="22" t="s">
        <v>1835</v>
      </c>
    </row>
    <row r="119" spans="1:18" ht="13" x14ac:dyDescent="0.3">
      <c r="A119" s="24">
        <f>IF(D119&gt;1,(MAX(A$6:A118))+1,"")</f>
        <v>104</v>
      </c>
      <c r="B119" s="28" t="s">
        <v>815</v>
      </c>
      <c r="C119" s="26" t="s">
        <v>816</v>
      </c>
      <c r="D119" s="16" t="s">
        <v>636</v>
      </c>
      <c r="E119" s="16">
        <v>70064.320000000007</v>
      </c>
      <c r="F119" s="16">
        <v>69800</v>
      </c>
      <c r="G119" s="16">
        <v>70055.97</v>
      </c>
      <c r="H119" s="16">
        <v>69600</v>
      </c>
      <c r="I119" s="16">
        <v>72488.960000000006</v>
      </c>
      <c r="J119" s="16">
        <v>72400</v>
      </c>
      <c r="K119" s="16">
        <v>82933.490000000005</v>
      </c>
      <c r="L119" s="16">
        <v>82600</v>
      </c>
      <c r="M119" s="16">
        <v>62967.73</v>
      </c>
      <c r="N119" s="16">
        <v>84332.97</v>
      </c>
      <c r="O119" s="16">
        <v>84000</v>
      </c>
      <c r="P119" s="16">
        <f>ROUND(N119/1, -2)</f>
        <v>84300</v>
      </c>
      <c r="Q119" s="22" t="s">
        <v>889</v>
      </c>
      <c r="R119" s="227" t="s">
        <v>1836</v>
      </c>
    </row>
    <row r="120" spans="1:18" ht="13" x14ac:dyDescent="0.3">
      <c r="A120" s="24">
        <f>IF(D120&gt;1,(MAX(A$6:A119))+1,"")</f>
        <v>105</v>
      </c>
      <c r="B120" s="28"/>
      <c r="C120" s="26" t="s">
        <v>817</v>
      </c>
      <c r="D120" s="16" t="s">
        <v>637</v>
      </c>
      <c r="E120" s="16"/>
      <c r="F120" s="16"/>
      <c r="G120" s="16"/>
      <c r="H120" s="16">
        <v>0</v>
      </c>
      <c r="I120" s="16">
        <v>0</v>
      </c>
      <c r="J120" s="16">
        <v>0</v>
      </c>
      <c r="K120" s="16">
        <v>661.14</v>
      </c>
      <c r="L120" s="16">
        <v>900</v>
      </c>
      <c r="M120" s="16">
        <v>661.14</v>
      </c>
      <c r="N120" s="16">
        <v>881.52</v>
      </c>
      <c r="O120" s="16">
        <v>900</v>
      </c>
      <c r="P120" s="16">
        <f>ROUND(73.46*12,-2)</f>
        <v>900</v>
      </c>
      <c r="Q120" s="22" t="s">
        <v>889</v>
      </c>
      <c r="R120" s="22" t="s">
        <v>1837</v>
      </c>
    </row>
    <row r="121" spans="1:18" x14ac:dyDescent="0.25">
      <c r="A121" s="24">
        <f>IF(D121&gt;1,(MAX(A$6:A120))+1,"")</f>
        <v>106</v>
      </c>
      <c r="B121" s="22" t="s">
        <v>818</v>
      </c>
      <c r="C121" s="25" t="s">
        <v>819</v>
      </c>
      <c r="D121" s="16" t="s">
        <v>654</v>
      </c>
      <c r="E121" s="16">
        <v>9100.32</v>
      </c>
      <c r="F121" s="16">
        <v>9100.32</v>
      </c>
      <c r="G121" s="16">
        <v>9100.32</v>
      </c>
      <c r="H121" s="16">
        <v>9100.32</v>
      </c>
      <c r="I121" s="16">
        <v>9100.32</v>
      </c>
      <c r="J121" s="16">
        <v>9100.32</v>
      </c>
      <c r="K121" s="16">
        <v>9100.32</v>
      </c>
      <c r="L121" s="16">
        <v>9100.32</v>
      </c>
      <c r="M121" s="16">
        <v>6825.24</v>
      </c>
      <c r="N121" s="16">
        <v>9100.32</v>
      </c>
      <c r="O121" s="16">
        <v>9100.32</v>
      </c>
      <c r="P121" s="16">
        <f>ROUND((758.36*12),2)</f>
        <v>9100.32</v>
      </c>
      <c r="Q121" s="22" t="s">
        <v>889</v>
      </c>
      <c r="R121" s="227" t="s">
        <v>1838</v>
      </c>
    </row>
    <row r="122" spans="1:18" x14ac:dyDescent="0.25">
      <c r="A122" s="24">
        <f>IF(D122&gt;1,(MAX(A$6:A121))+1,"")</f>
        <v>107</v>
      </c>
      <c r="B122" s="22" t="s">
        <v>820</v>
      </c>
      <c r="C122" s="25" t="s">
        <v>821</v>
      </c>
      <c r="D122" s="16" t="s">
        <v>822</v>
      </c>
      <c r="E122" s="16">
        <v>30778.32</v>
      </c>
      <c r="F122" s="16">
        <v>12800</v>
      </c>
      <c r="G122" s="16">
        <v>12824.3</v>
      </c>
      <c r="H122" s="16">
        <v>0</v>
      </c>
      <c r="I122" s="16">
        <v>0</v>
      </c>
      <c r="J122" s="16">
        <v>0</v>
      </c>
      <c r="K122" s="16">
        <v>0</v>
      </c>
      <c r="L122" s="16">
        <v>0</v>
      </c>
      <c r="M122" s="16">
        <v>0</v>
      </c>
      <c r="N122" s="16">
        <v>0</v>
      </c>
      <c r="O122" s="16">
        <v>5000</v>
      </c>
      <c r="P122" s="16">
        <f>(150000/5)/6</f>
        <v>5000</v>
      </c>
      <c r="Q122" s="22" t="s">
        <v>889</v>
      </c>
      <c r="R122" s="227" t="s">
        <v>1839</v>
      </c>
    </row>
    <row r="123" spans="1:18" x14ac:dyDescent="0.25">
      <c r="A123" s="24">
        <f>IF(D123&gt;1,(MAX(A$6:A122))+1,"")</f>
        <v>108</v>
      </c>
      <c r="B123" s="22" t="s">
        <v>823</v>
      </c>
      <c r="C123" s="25" t="s">
        <v>824</v>
      </c>
      <c r="D123" s="16" t="s">
        <v>825</v>
      </c>
      <c r="E123" s="16">
        <v>8551.2900000000009</v>
      </c>
      <c r="F123" s="16">
        <v>93200</v>
      </c>
      <c r="G123" s="16">
        <v>0</v>
      </c>
      <c r="H123" s="16">
        <v>0</v>
      </c>
      <c r="I123" s="16">
        <v>0</v>
      </c>
      <c r="J123" s="16">
        <v>0</v>
      </c>
      <c r="K123" s="16">
        <v>0</v>
      </c>
      <c r="L123" s="16">
        <v>0</v>
      </c>
      <c r="M123" s="16">
        <v>0</v>
      </c>
      <c r="N123" s="16">
        <v>0</v>
      </c>
      <c r="O123" s="16">
        <v>0</v>
      </c>
      <c r="P123" s="16">
        <v>0</v>
      </c>
      <c r="Q123" s="22" t="s">
        <v>21</v>
      </c>
      <c r="R123" s="227" t="s">
        <v>1840</v>
      </c>
    </row>
    <row r="124" spans="1:18" x14ac:dyDescent="0.25">
      <c r="A124" s="24">
        <f>IF(D124&gt;1,(MAX(A$6:A123))+1,"")</f>
        <v>109</v>
      </c>
      <c r="B124" s="22" t="s">
        <v>826</v>
      </c>
      <c r="C124" s="25" t="s">
        <v>827</v>
      </c>
      <c r="D124" s="16" t="s">
        <v>26</v>
      </c>
      <c r="E124" s="16">
        <v>1102.52</v>
      </c>
      <c r="F124" s="16">
        <v>700</v>
      </c>
      <c r="G124" s="16">
        <v>590.75</v>
      </c>
      <c r="H124" s="16">
        <v>600</v>
      </c>
      <c r="I124" s="16">
        <v>496.91</v>
      </c>
      <c r="J124" s="16">
        <v>500</v>
      </c>
      <c r="K124" s="16">
        <v>469.24</v>
      </c>
      <c r="L124" s="16">
        <v>300</v>
      </c>
      <c r="M124" s="16">
        <v>302.25</v>
      </c>
      <c r="N124" s="16">
        <v>302.25</v>
      </c>
      <c r="O124" s="16">
        <v>0</v>
      </c>
      <c r="P124" s="16">
        <v>0</v>
      </c>
      <c r="Q124" s="22" t="s">
        <v>21</v>
      </c>
      <c r="R124" s="227" t="s">
        <v>1841</v>
      </c>
    </row>
    <row r="125" spans="1:18" x14ac:dyDescent="0.25">
      <c r="A125" s="24">
        <f>IF(D125&gt;1,(MAX(A$6:A124))+1,"")</f>
        <v>110</v>
      </c>
      <c r="B125" s="22" t="s">
        <v>828</v>
      </c>
      <c r="C125" s="25" t="s">
        <v>829</v>
      </c>
      <c r="D125" s="16" t="s">
        <v>830</v>
      </c>
      <c r="E125" s="16">
        <v>5119.6499999999996</v>
      </c>
      <c r="F125" s="16">
        <v>3700</v>
      </c>
      <c r="G125" s="16">
        <v>4184.46</v>
      </c>
      <c r="H125" s="16">
        <v>3300</v>
      </c>
      <c r="I125" s="16">
        <v>2470.9</v>
      </c>
      <c r="J125" s="16">
        <v>2400</v>
      </c>
      <c r="K125" s="16">
        <v>1612.1</v>
      </c>
      <c r="L125" s="16">
        <v>1200</v>
      </c>
      <c r="M125" s="16">
        <v>944.93</v>
      </c>
      <c r="N125" s="16">
        <v>944.93</v>
      </c>
      <c r="O125" s="16">
        <v>0</v>
      </c>
      <c r="P125" s="16">
        <v>0</v>
      </c>
      <c r="Q125" s="22" t="s">
        <v>21</v>
      </c>
      <c r="R125" s="227" t="s">
        <v>1842</v>
      </c>
    </row>
    <row r="126" spans="1:18" x14ac:dyDescent="0.25">
      <c r="A126" s="24">
        <f>IF(D126&gt;1,(MAX(A$6:A125))+1,"")</f>
        <v>111</v>
      </c>
      <c r="B126" s="22"/>
      <c r="C126" s="25" t="s">
        <v>831</v>
      </c>
      <c r="D126" s="16" t="s">
        <v>638</v>
      </c>
      <c r="E126" s="16"/>
      <c r="F126" s="16">
        <v>0</v>
      </c>
      <c r="G126" s="16">
        <v>0</v>
      </c>
      <c r="H126" s="16">
        <v>0</v>
      </c>
      <c r="I126" s="16">
        <v>0</v>
      </c>
      <c r="J126" s="16">
        <v>0</v>
      </c>
      <c r="K126" s="16">
        <v>73.06</v>
      </c>
      <c r="L126" s="16">
        <v>100</v>
      </c>
      <c r="M126" s="16">
        <v>58.75</v>
      </c>
      <c r="N126" s="16">
        <v>75.099999999999994</v>
      </c>
      <c r="O126" s="16">
        <v>50</v>
      </c>
      <c r="P126" s="16">
        <f>ROUND(698.82*0.07,-1)</f>
        <v>50</v>
      </c>
      <c r="Q126" s="22" t="s">
        <v>21</v>
      </c>
      <c r="R126" s="22" t="s">
        <v>1837</v>
      </c>
    </row>
    <row r="127" spans="1:18" x14ac:dyDescent="0.25">
      <c r="A127" s="24">
        <f>IF(D127&gt;1,(MAX(A$6:A126))+1,"")</f>
        <v>112</v>
      </c>
      <c r="B127" s="22"/>
      <c r="C127" s="25" t="s">
        <v>832</v>
      </c>
      <c r="D127" s="16" t="s">
        <v>27</v>
      </c>
      <c r="E127" s="16">
        <v>532.12</v>
      </c>
      <c r="F127" s="16">
        <v>900</v>
      </c>
      <c r="G127" s="16">
        <v>642.84</v>
      </c>
      <c r="H127" s="16">
        <v>900</v>
      </c>
      <c r="I127" s="16">
        <v>209.08</v>
      </c>
      <c r="J127" s="16">
        <v>900</v>
      </c>
      <c r="K127" s="16">
        <v>632.20000000000005</v>
      </c>
      <c r="L127" s="16">
        <v>1000</v>
      </c>
      <c r="M127" s="16">
        <v>496.79</v>
      </c>
      <c r="N127" s="16">
        <v>697.41</v>
      </c>
      <c r="O127" s="16">
        <v>600</v>
      </c>
      <c r="P127" s="16">
        <f>ROUND(IF((N127/1)&gt;L127,(N127/1)*$P$2,AVERAGE(K127,(N127/1))),-2)</f>
        <v>700</v>
      </c>
      <c r="Q127" s="22" t="s">
        <v>4</v>
      </c>
      <c r="R127" s="227" t="s">
        <v>1843</v>
      </c>
    </row>
    <row r="128" spans="1:18" x14ac:dyDescent="0.25">
      <c r="A128" s="24">
        <f>IF(D128&gt;1,(MAX(A$6:A127))+1,"")</f>
        <v>113</v>
      </c>
      <c r="B128" s="22"/>
      <c r="C128" s="25" t="s">
        <v>833</v>
      </c>
      <c r="D128" s="16" t="s">
        <v>834</v>
      </c>
      <c r="E128" s="16">
        <v>563.30999999999995</v>
      </c>
      <c r="F128" s="16">
        <v>669.98561129294751</v>
      </c>
      <c r="G128" s="16">
        <v>654.92999999999995</v>
      </c>
      <c r="H128" s="16">
        <v>485.17582682502245</v>
      </c>
      <c r="I128" s="16">
        <v>476.1</v>
      </c>
      <c r="J128" s="16">
        <v>508.26335946007947</v>
      </c>
      <c r="K128" s="16">
        <v>504.8</v>
      </c>
      <c r="L128" s="16">
        <v>485.16265105029436</v>
      </c>
      <c r="M128" s="16">
        <v>360.18</v>
      </c>
      <c r="N128" s="16">
        <v>480.24</v>
      </c>
      <c r="O128" s="16">
        <v>554.47838479321967</v>
      </c>
      <c r="P128" s="16">
        <v>554.47838479321967</v>
      </c>
      <c r="Q128" s="22" t="s">
        <v>4</v>
      </c>
      <c r="R128" s="22" t="s">
        <v>1844</v>
      </c>
    </row>
    <row r="129" spans="1:19" x14ac:dyDescent="0.25">
      <c r="A129" s="24">
        <f>IF(D129&gt;1,(MAX(A$6:A128))+1,"")</f>
        <v>114</v>
      </c>
      <c r="B129" s="22"/>
      <c r="C129" s="25" t="s">
        <v>835</v>
      </c>
      <c r="D129" s="16" t="s">
        <v>836</v>
      </c>
      <c r="E129" s="16">
        <v>7550.04</v>
      </c>
      <c r="F129" s="16">
        <v>8757.9818469666334</v>
      </c>
      <c r="G129" s="16">
        <v>8754.9599999999991</v>
      </c>
      <c r="H129" s="16">
        <v>6342.1676709153262</v>
      </c>
      <c r="I129" s="16">
        <v>6342</v>
      </c>
      <c r="J129" s="16">
        <v>6643.9654831382923</v>
      </c>
      <c r="K129" s="16">
        <v>6644.04</v>
      </c>
      <c r="L129" s="16">
        <v>6341.9954385659385</v>
      </c>
      <c r="M129" s="16">
        <v>4756.5</v>
      </c>
      <c r="N129" s="16">
        <v>6342</v>
      </c>
      <c r="O129" s="16">
        <v>7248.0834613492761</v>
      </c>
      <c r="P129" s="16">
        <v>7248.0834613492761</v>
      </c>
      <c r="Q129" s="22" t="s">
        <v>4</v>
      </c>
      <c r="R129" s="22" t="s">
        <v>1844</v>
      </c>
    </row>
    <row r="130" spans="1:19" x14ac:dyDescent="0.25">
      <c r="A130" s="24">
        <f>IF(D130&gt;1,(MAX(A$6:A129))+1,"")</f>
        <v>115</v>
      </c>
      <c r="B130" s="22"/>
      <c r="C130" s="25" t="s">
        <v>837</v>
      </c>
      <c r="D130" s="16" t="s">
        <v>838</v>
      </c>
      <c r="E130" s="16">
        <v>4263.9799999999996</v>
      </c>
      <c r="F130" s="16">
        <v>2000.9932021305192</v>
      </c>
      <c r="G130" s="16">
        <v>6592.5</v>
      </c>
      <c r="H130" s="16">
        <v>1617.0406087557503</v>
      </c>
      <c r="I130" s="16">
        <v>4215.87</v>
      </c>
      <c r="J130" s="16">
        <v>1693.988955649226</v>
      </c>
      <c r="K130" s="16">
        <v>1841.52</v>
      </c>
      <c r="L130" s="16">
        <v>1805.9963090004869</v>
      </c>
      <c r="M130" s="16">
        <v>1279.3499999999999</v>
      </c>
      <c r="N130" s="16">
        <v>1704.12</v>
      </c>
      <c r="O130" s="16">
        <v>2064.0210333365044</v>
      </c>
      <c r="P130" s="16">
        <v>2064.0210333365044</v>
      </c>
      <c r="Q130" s="22" t="s">
        <v>4</v>
      </c>
      <c r="R130" s="22" t="s">
        <v>1844</v>
      </c>
    </row>
    <row r="131" spans="1:19" x14ac:dyDescent="0.25">
      <c r="A131" s="24">
        <f>IF(D131&gt;1,(MAX(A$6:A130))+1,"")</f>
        <v>116</v>
      </c>
      <c r="B131" s="22"/>
      <c r="C131" s="25" t="s">
        <v>839</v>
      </c>
      <c r="D131" s="16" t="s">
        <v>840</v>
      </c>
      <c r="E131" s="16">
        <v>11293.57</v>
      </c>
      <c r="F131" s="16">
        <v>11559.325930106992</v>
      </c>
      <c r="G131" s="16">
        <v>15052.86</v>
      </c>
      <c r="H131" s="16">
        <v>8968.468425230436</v>
      </c>
      <c r="I131" s="16">
        <v>9320.49</v>
      </c>
      <c r="J131" s="16">
        <v>7447.1450466243223</v>
      </c>
      <c r="K131" s="16">
        <v>7453.32</v>
      </c>
      <c r="L131" s="16">
        <v>7531.6010073131438</v>
      </c>
      <c r="M131" s="16">
        <v>6031.23</v>
      </c>
      <c r="N131" s="16">
        <v>8440.59</v>
      </c>
      <c r="O131" s="16">
        <v>11403.994612021243</v>
      </c>
      <c r="P131" s="16">
        <v>11403.994612021243</v>
      </c>
      <c r="Q131" s="22" t="s">
        <v>4</v>
      </c>
      <c r="R131" s="22" t="s">
        <v>1844</v>
      </c>
    </row>
    <row r="132" spans="1:19" x14ac:dyDescent="0.25">
      <c r="A132" s="24">
        <f>IF(D132&gt;1,(MAX(A$6:A131))+1,"")</f>
        <v>117</v>
      </c>
      <c r="B132" s="22"/>
      <c r="C132" s="25" t="s">
        <v>841</v>
      </c>
      <c r="D132" s="16" t="s">
        <v>842</v>
      </c>
      <c r="E132" s="16">
        <v>10.01</v>
      </c>
      <c r="F132" s="16">
        <v>14.713409502903946</v>
      </c>
      <c r="G132" s="16">
        <v>11.28</v>
      </c>
      <c r="H132" s="16">
        <v>10.14746827346452</v>
      </c>
      <c r="I132" s="16">
        <v>11.08</v>
      </c>
      <c r="J132" s="16">
        <v>8.6371551280797814</v>
      </c>
      <c r="K132" s="16">
        <v>8.81</v>
      </c>
      <c r="L132" s="16">
        <v>8.2445940701357188</v>
      </c>
      <c r="M132" s="16">
        <v>6.54</v>
      </c>
      <c r="N132" s="16">
        <v>8.82</v>
      </c>
      <c r="O132" s="16">
        <v>9.4225084997540591</v>
      </c>
      <c r="P132" s="16">
        <v>9.4225084997540591</v>
      </c>
      <c r="Q132" s="22" t="s">
        <v>226</v>
      </c>
      <c r="R132" s="22" t="s">
        <v>1844</v>
      </c>
    </row>
    <row r="133" spans="1:19" x14ac:dyDescent="0.25">
      <c r="A133" s="24">
        <f>IF(D133&gt;1,(MAX(A$6:A132))+1,"")</f>
        <v>118</v>
      </c>
      <c r="B133" s="22"/>
      <c r="C133" s="25" t="s">
        <v>843</v>
      </c>
      <c r="D133" s="16" t="s">
        <v>642</v>
      </c>
      <c r="E133" s="18">
        <v>-16677.96</v>
      </c>
      <c r="F133" s="18">
        <v>-43427.597792169276</v>
      </c>
      <c r="G133" s="18">
        <v>-43428</v>
      </c>
      <c r="H133" s="18">
        <v>-47172.526370380634</v>
      </c>
      <c r="I133" s="18">
        <v>-47173.440000000002</v>
      </c>
      <c r="J133" s="18">
        <v>-47645.721113292697</v>
      </c>
      <c r="K133" s="18">
        <v>-47646</v>
      </c>
      <c r="L133" s="18">
        <v>-30671.630054654997</v>
      </c>
      <c r="M133" s="18">
        <v>-23004</v>
      </c>
      <c r="N133" s="18">
        <v>-30672</v>
      </c>
      <c r="O133" s="18">
        <v>-32315.482525797361</v>
      </c>
      <c r="P133" s="18">
        <f>-O174</f>
        <v>-32315.482525797361</v>
      </c>
      <c r="Q133" s="22" t="s">
        <v>888</v>
      </c>
      <c r="R133" s="22" t="s">
        <v>1845</v>
      </c>
    </row>
    <row r="134" spans="1:19" x14ac:dyDescent="0.25">
      <c r="A134" s="24" t="str">
        <f>IF(D134&gt;1,(MAX(A$6:A133))+1,"")</f>
        <v/>
      </c>
      <c r="B134" s="22"/>
      <c r="C134" s="25"/>
      <c r="D134" s="16"/>
      <c r="E134" s="235"/>
      <c r="F134" s="235"/>
      <c r="G134" s="235"/>
      <c r="H134" s="235"/>
      <c r="I134" s="235"/>
      <c r="J134" s="235"/>
      <c r="K134" s="235"/>
      <c r="L134" s="235"/>
      <c r="M134" s="235"/>
      <c r="N134" s="235"/>
      <c r="O134" s="235"/>
      <c r="P134" s="235"/>
      <c r="Q134" s="22"/>
    </row>
    <row r="135" spans="1:19" x14ac:dyDescent="0.25">
      <c r="A135" s="24">
        <f>IF(D135&gt;1,(MAX(A$6:A134))+1,"")</f>
        <v>119</v>
      </c>
      <c r="B135" s="22"/>
      <c r="C135" s="25"/>
      <c r="D135" s="16" t="s">
        <v>626</v>
      </c>
      <c r="E135" s="16">
        <f>SUM(E87:E134)</f>
        <v>1795700.1900000004</v>
      </c>
      <c r="F135" s="16">
        <f>SUM(F87:F134)</f>
        <v>1810456.7222078308</v>
      </c>
      <c r="G135" s="16">
        <f>SUM(G87:G134)</f>
        <v>1654539.9700000004</v>
      </c>
      <c r="H135" s="16">
        <v>1725992.7936296195</v>
      </c>
      <c r="I135" s="16">
        <f>SUM(I87:I134)</f>
        <v>1941290.6200000003</v>
      </c>
      <c r="J135" s="16">
        <v>1948671.5988867076</v>
      </c>
      <c r="K135" s="16">
        <f>SUM(K87:K134)</f>
        <v>1819133.7600000005</v>
      </c>
      <c r="L135" s="16">
        <v>1853259.6899453453</v>
      </c>
      <c r="M135" s="16">
        <f t="shared" ref="M135:P135" si="6">SUM(M87:M134)</f>
        <v>1391203.2199999997</v>
      </c>
      <c r="N135" s="16">
        <f t="shared" si="6"/>
        <v>1861395.9400000002</v>
      </c>
      <c r="O135" s="16">
        <f t="shared" si="6"/>
        <v>2015471.8374742027</v>
      </c>
      <c r="P135" s="16">
        <f t="shared" si="6"/>
        <v>2015871.8374742027</v>
      </c>
      <c r="Q135" s="22"/>
    </row>
    <row r="136" spans="1:19" x14ac:dyDescent="0.25">
      <c r="A136" s="24" t="str">
        <f>IF(D136&gt;1,(MAX(A$6:A135))+1,"")</f>
        <v/>
      </c>
      <c r="B136" s="22"/>
      <c r="C136" s="25"/>
      <c r="D136" s="16"/>
      <c r="E136" s="235"/>
      <c r="F136" s="235"/>
      <c r="G136" s="235"/>
      <c r="H136" s="235"/>
      <c r="I136" s="235"/>
      <c r="J136" s="235"/>
      <c r="K136" s="235"/>
      <c r="L136" s="235"/>
      <c r="M136" s="235"/>
      <c r="N136" s="235"/>
      <c r="O136" s="235"/>
      <c r="P136" s="235"/>
      <c r="Q136" s="22"/>
    </row>
    <row r="137" spans="1:19" x14ac:dyDescent="0.25">
      <c r="A137" s="24">
        <f>IF(D137&gt;1,(MAX(A$6:A136))+1,"")</f>
        <v>120</v>
      </c>
      <c r="B137" s="22"/>
      <c r="C137" s="25"/>
      <c r="D137" s="16" t="s">
        <v>844</v>
      </c>
      <c r="E137" s="18">
        <f t="shared" ref="E137:N137" si="7">E29+E55+E72+E135+E84</f>
        <v>3951294.89</v>
      </c>
      <c r="F137" s="18">
        <f t="shared" si="7"/>
        <v>3838862.0447004847</v>
      </c>
      <c r="G137" s="18">
        <f t="shared" si="7"/>
        <v>3947844.2500000005</v>
      </c>
      <c r="H137" s="18">
        <f t="shared" si="7"/>
        <v>3780772.5194201432</v>
      </c>
      <c r="I137" s="18">
        <f t="shared" si="7"/>
        <v>4208448.91</v>
      </c>
      <c r="J137" s="18">
        <f t="shared" si="7"/>
        <v>4005802.3784429105</v>
      </c>
      <c r="K137" s="18">
        <f t="shared" si="7"/>
        <v>3719494.7600000007</v>
      </c>
      <c r="L137" s="18">
        <f t="shared" si="7"/>
        <v>3910092.2394224172</v>
      </c>
      <c r="M137" s="18">
        <f t="shared" si="7"/>
        <v>2854108.1599999992</v>
      </c>
      <c r="N137" s="18">
        <f t="shared" si="7"/>
        <v>3787310.5700000003</v>
      </c>
      <c r="O137" s="18">
        <f>O29+O55+O72+O135+O84</f>
        <v>4125414.0407442031</v>
      </c>
      <c r="P137" s="18">
        <f>P29+P55+P72+P135+P84</f>
        <v>4199591.722844203</v>
      </c>
      <c r="Q137" s="22"/>
    </row>
    <row r="138" spans="1:19" x14ac:dyDescent="0.25">
      <c r="A138" s="24" t="str">
        <f>IF(D138&gt;1,(MAX(A$6:A137))+1,"")</f>
        <v/>
      </c>
      <c r="B138" s="22"/>
      <c r="C138" s="25"/>
      <c r="D138" s="16"/>
      <c r="Q138" s="22"/>
    </row>
    <row r="139" spans="1:19" x14ac:dyDescent="0.25">
      <c r="A139" s="24">
        <f>IF(D139&gt;1,(MAX(A$6:A138))+1,"")</f>
        <v>121</v>
      </c>
      <c r="B139" s="22"/>
      <c r="C139" s="25"/>
      <c r="D139" s="16" t="s">
        <v>643</v>
      </c>
      <c r="Q139" s="22"/>
    </row>
    <row r="140" spans="1:19" x14ac:dyDescent="0.25">
      <c r="A140" s="24">
        <f>IF(D140&gt;1,(MAX(A$6:A139))+1,"")</f>
        <v>122</v>
      </c>
      <c r="B140" s="22" t="s">
        <v>845</v>
      </c>
      <c r="C140" s="25" t="s">
        <v>846</v>
      </c>
      <c r="D140" s="16" t="s">
        <v>847</v>
      </c>
      <c r="E140" s="18">
        <v>270175.21000000002</v>
      </c>
      <c r="F140" s="18">
        <v>307100</v>
      </c>
      <c r="G140" s="18">
        <v>271735.86</v>
      </c>
      <c r="H140" s="18">
        <v>277400</v>
      </c>
      <c r="I140" s="18">
        <v>280955.89</v>
      </c>
      <c r="J140" s="18">
        <v>292100</v>
      </c>
      <c r="K140" s="18">
        <v>281140.36</v>
      </c>
      <c r="L140" s="18">
        <v>290200</v>
      </c>
      <c r="M140" s="18">
        <v>202945.75</v>
      </c>
      <c r="N140" s="18">
        <v>277671.62</v>
      </c>
      <c r="O140" s="18">
        <v>280500</v>
      </c>
      <c r="P140" s="18">
        <v>280500</v>
      </c>
      <c r="Q140" s="22" t="s">
        <v>847</v>
      </c>
      <c r="R140" s="227" t="s">
        <v>1846</v>
      </c>
      <c r="S140" s="229" t="e">
        <f>#REF!/SUM(#REF!)</f>
        <v>#REF!</v>
      </c>
    </row>
    <row r="141" spans="1:19" x14ac:dyDescent="0.25">
      <c r="A141" s="24">
        <f>IF(D141&gt;1,(MAX(A$6:A140))+1,"")</f>
        <v>123</v>
      </c>
      <c r="B141" s="22" t="s">
        <v>848</v>
      </c>
      <c r="C141" s="25" t="s">
        <v>849</v>
      </c>
      <c r="D141" s="16" t="s">
        <v>850</v>
      </c>
      <c r="E141" s="18">
        <v>3008250.92</v>
      </c>
      <c r="F141" s="18">
        <v>3411300</v>
      </c>
      <c r="G141" s="18">
        <v>3010179.71</v>
      </c>
      <c r="H141" s="18">
        <v>3066600</v>
      </c>
      <c r="I141" s="18">
        <v>2984305.16</v>
      </c>
      <c r="J141" s="18">
        <v>3173900</v>
      </c>
      <c r="K141" s="18">
        <v>3071946.41</v>
      </c>
      <c r="L141" s="18">
        <v>3133900</v>
      </c>
      <c r="M141" s="18">
        <v>2264048.92</v>
      </c>
      <c r="N141" s="18">
        <v>3021157.18</v>
      </c>
      <c r="O141" s="18">
        <v>3155600</v>
      </c>
      <c r="P141" s="18">
        <v>3155600</v>
      </c>
      <c r="Q141" s="22" t="s">
        <v>850</v>
      </c>
      <c r="R141" s="227" t="s">
        <v>1846</v>
      </c>
      <c r="S141" s="229" t="e">
        <f>#REF!/SUM(#REF!)</f>
        <v>#REF!</v>
      </c>
    </row>
    <row r="142" spans="1:19" x14ac:dyDescent="0.25">
      <c r="A142" s="24">
        <f>IF(D142&gt;1,(MAX(A$6:A141))+1,"")</f>
        <v>124</v>
      </c>
      <c r="B142" s="22" t="s">
        <v>851</v>
      </c>
      <c r="C142" s="25" t="s">
        <v>852</v>
      </c>
      <c r="D142" s="16" t="s">
        <v>853</v>
      </c>
      <c r="E142" s="18">
        <v>512034.59</v>
      </c>
      <c r="F142" s="18">
        <v>580900</v>
      </c>
      <c r="G142" s="18">
        <v>496834.88</v>
      </c>
      <c r="H142" s="18">
        <v>508500</v>
      </c>
      <c r="I142" s="18">
        <v>409954.22</v>
      </c>
      <c r="J142" s="18">
        <v>428400</v>
      </c>
      <c r="K142" s="18">
        <v>441593.62</v>
      </c>
      <c r="L142" s="18">
        <v>444900</v>
      </c>
      <c r="M142" s="18">
        <v>332985.05</v>
      </c>
      <c r="N142" s="18">
        <v>456073.11</v>
      </c>
      <c r="O142" s="18">
        <v>459700</v>
      </c>
      <c r="P142" s="18">
        <v>459700</v>
      </c>
      <c r="Q142" s="22" t="s">
        <v>853</v>
      </c>
      <c r="R142" s="227" t="s">
        <v>1846</v>
      </c>
      <c r="S142" s="229" t="e">
        <f>#REF!/SUM(#REF!)</f>
        <v>#REF!</v>
      </c>
    </row>
    <row r="143" spans="1:19" x14ac:dyDescent="0.25">
      <c r="A143" s="24">
        <f>IF(D143&gt;1,(MAX(A$6:A142))+1,"")</f>
        <v>125</v>
      </c>
      <c r="B143" s="22" t="s">
        <v>854</v>
      </c>
      <c r="C143" s="25" t="s">
        <v>855</v>
      </c>
      <c r="D143" s="16" t="s">
        <v>646</v>
      </c>
      <c r="E143" s="16">
        <v>223122.39</v>
      </c>
      <c r="F143" s="16">
        <v>243400</v>
      </c>
      <c r="G143" s="16">
        <v>211993.55</v>
      </c>
      <c r="H143" s="16">
        <v>218300</v>
      </c>
      <c r="I143" s="16">
        <v>92801.16</v>
      </c>
      <c r="J143" s="16">
        <v>218300</v>
      </c>
      <c r="K143" s="16">
        <v>195883.66</v>
      </c>
      <c r="L143" s="16">
        <v>212500</v>
      </c>
      <c r="M143" s="16">
        <v>169745.62</v>
      </c>
      <c r="N143" s="16">
        <v>220670.68</v>
      </c>
      <c r="O143" s="16">
        <v>233100</v>
      </c>
      <c r="P143" s="16">
        <f>ROUND(IF((N143/1)&gt;L143,(N143/1)*$P$2,AVERAGE(K143,(N143/1))),-2)</f>
        <v>227300</v>
      </c>
      <c r="Q143" s="22" t="s">
        <v>936</v>
      </c>
      <c r="R143" s="227" t="s">
        <v>1847</v>
      </c>
    </row>
    <row r="144" spans="1:19" x14ac:dyDescent="0.25">
      <c r="A144" s="24">
        <f>IF(D144&gt;1,(MAX(A$6:A143))+1,"")</f>
        <v>126</v>
      </c>
      <c r="B144" s="22" t="s">
        <v>856</v>
      </c>
      <c r="C144" s="25" t="s">
        <v>857</v>
      </c>
      <c r="D144" s="16" t="s">
        <v>233</v>
      </c>
      <c r="E144" s="18">
        <v>0</v>
      </c>
      <c r="F144" s="18">
        <v>525</v>
      </c>
      <c r="G144" s="18">
        <v>0</v>
      </c>
      <c r="H144" s="18">
        <v>525</v>
      </c>
      <c r="I144" s="18">
        <v>0</v>
      </c>
      <c r="J144" s="18">
        <v>525</v>
      </c>
      <c r="K144" s="18">
        <v>525</v>
      </c>
      <c r="L144" s="18">
        <v>525</v>
      </c>
      <c r="M144" s="18">
        <v>0</v>
      </c>
      <c r="N144" s="18">
        <v>0</v>
      </c>
      <c r="O144" s="18">
        <v>525</v>
      </c>
      <c r="P144" s="18">
        <v>525</v>
      </c>
      <c r="Q144" s="22" t="s">
        <v>233</v>
      </c>
      <c r="R144" s="227" t="s">
        <v>1848</v>
      </c>
    </row>
    <row r="145" spans="1:18" x14ac:dyDescent="0.25">
      <c r="A145" s="24">
        <f>IF(D145&gt;1,(MAX(A$6:A144))+1,"")</f>
        <v>127</v>
      </c>
      <c r="B145" s="22" t="s">
        <v>858</v>
      </c>
      <c r="C145" s="25" t="s">
        <v>859</v>
      </c>
      <c r="D145" s="16" t="s">
        <v>860</v>
      </c>
      <c r="E145" s="18">
        <v>4658.5</v>
      </c>
      <c r="F145" s="18">
        <v>2800</v>
      </c>
      <c r="G145" s="18">
        <v>3180.65</v>
      </c>
      <c r="H145" s="18">
        <v>4100</v>
      </c>
      <c r="I145" s="18">
        <v>881.27</v>
      </c>
      <c r="J145" s="18">
        <v>900</v>
      </c>
      <c r="K145" s="18">
        <v>645.15</v>
      </c>
      <c r="L145" s="18">
        <v>600</v>
      </c>
      <c r="M145" s="18">
        <v>855.17</v>
      </c>
      <c r="N145" s="18">
        <v>1038.74</v>
      </c>
      <c r="O145" s="18">
        <v>1100</v>
      </c>
      <c r="P145" s="18">
        <f>ROUND(N145/1, -2)</f>
        <v>1000</v>
      </c>
      <c r="Q145" s="22" t="s">
        <v>860</v>
      </c>
      <c r="R145" s="227" t="s">
        <v>1849</v>
      </c>
    </row>
    <row r="146" spans="1:18" x14ac:dyDescent="0.25">
      <c r="A146" s="24">
        <f>IF(D146&gt;1,(MAX(A$6:A145))+1,"")</f>
        <v>128</v>
      </c>
      <c r="B146" s="22" t="s">
        <v>861</v>
      </c>
      <c r="C146" s="25" t="s">
        <v>862</v>
      </c>
      <c r="D146" s="16" t="s">
        <v>235</v>
      </c>
      <c r="E146" s="16">
        <v>53244.62</v>
      </c>
      <c r="F146" s="16">
        <v>67400</v>
      </c>
      <c r="G146" s="16">
        <v>88948.160000000003</v>
      </c>
      <c r="H146" s="16">
        <v>109300</v>
      </c>
      <c r="I146" s="16">
        <v>36116.68</v>
      </c>
      <c r="J146" s="16">
        <v>68600</v>
      </c>
      <c r="K146" s="16">
        <v>17087.27</v>
      </c>
      <c r="L146" s="16">
        <v>13800</v>
      </c>
      <c r="M146" s="16">
        <v>65596.25</v>
      </c>
      <c r="N146" s="16">
        <v>141237.17000000001</v>
      </c>
      <c r="O146" s="16">
        <v>215300</v>
      </c>
      <c r="P146" s="16">
        <f>ROUND((8080000*0.025)+(435060*0.01985)+4648,-2)</f>
        <v>215300</v>
      </c>
      <c r="Q146" s="22" t="s">
        <v>235</v>
      </c>
      <c r="R146" s="227" t="s">
        <v>1850</v>
      </c>
    </row>
    <row r="147" spans="1:18" x14ac:dyDescent="0.25">
      <c r="A147" s="24">
        <f>IF(D147&gt;1,(MAX(A$6:A146))+1,"")</f>
        <v>129</v>
      </c>
      <c r="B147" s="22"/>
      <c r="C147" s="25" t="s">
        <v>863</v>
      </c>
      <c r="D147" s="16" t="s">
        <v>645</v>
      </c>
      <c r="E147" s="16">
        <v>0</v>
      </c>
      <c r="F147" s="16">
        <v>0</v>
      </c>
      <c r="G147" s="16">
        <v>0</v>
      </c>
      <c r="H147" s="16">
        <v>0</v>
      </c>
      <c r="I147" s="16">
        <v>126.94</v>
      </c>
      <c r="J147" s="16">
        <v>0</v>
      </c>
      <c r="K147" s="16">
        <v>0</v>
      </c>
      <c r="L147" s="16">
        <v>0</v>
      </c>
      <c r="M147" s="16">
        <v>0</v>
      </c>
      <c r="N147" s="16">
        <v>0</v>
      </c>
      <c r="O147" s="16">
        <v>0</v>
      </c>
      <c r="P147" s="16">
        <v>0</v>
      </c>
      <c r="Q147" s="22" t="s">
        <v>936</v>
      </c>
      <c r="R147" s="227" t="s">
        <v>1851</v>
      </c>
    </row>
    <row r="148" spans="1:18" x14ac:dyDescent="0.25">
      <c r="A148" s="24">
        <f>IF(D148&gt;1,(MAX(A$6:A147))+1,"")</f>
        <v>130</v>
      </c>
      <c r="B148" s="22" t="s">
        <v>864</v>
      </c>
      <c r="C148" s="25" t="s">
        <v>865</v>
      </c>
      <c r="D148" s="16" t="s">
        <v>866</v>
      </c>
      <c r="E148" s="16">
        <v>-30114.42</v>
      </c>
      <c r="F148" s="16">
        <v>0</v>
      </c>
      <c r="G148" s="16">
        <v>-51367.31</v>
      </c>
      <c r="H148" s="16">
        <v>0</v>
      </c>
      <c r="I148" s="16">
        <v>-74035</v>
      </c>
      <c r="J148" s="16">
        <v>0</v>
      </c>
      <c r="K148" s="16">
        <v>-17171.05</v>
      </c>
      <c r="L148" s="16">
        <v>0</v>
      </c>
      <c r="M148" s="16">
        <v>-35349.82</v>
      </c>
      <c r="N148" s="16">
        <v>-42052.800000000003</v>
      </c>
      <c r="O148" s="16">
        <v>0</v>
      </c>
      <c r="P148" s="16">
        <v>0</v>
      </c>
      <c r="Q148" s="22" t="s">
        <v>866</v>
      </c>
      <c r="R148" s="227" t="s">
        <v>1852</v>
      </c>
    </row>
    <row r="149" spans="1:18" x14ac:dyDescent="0.25">
      <c r="A149" s="24">
        <f>IF(D149&gt;1,(MAX(A$6:A148))+1,"")</f>
        <v>131</v>
      </c>
      <c r="B149" s="22" t="s">
        <v>867</v>
      </c>
      <c r="C149" s="25" t="s">
        <v>868</v>
      </c>
      <c r="D149" s="16" t="s">
        <v>644</v>
      </c>
      <c r="E149" s="18">
        <v>76</v>
      </c>
      <c r="F149" s="18">
        <v>500</v>
      </c>
      <c r="G149" s="18">
        <v>12008.94</v>
      </c>
      <c r="H149" s="18">
        <v>5000</v>
      </c>
      <c r="I149" s="18">
        <v>36290.120000000003</v>
      </c>
      <c r="J149" s="18">
        <v>5200</v>
      </c>
      <c r="K149" s="18">
        <v>22837.200000000001</v>
      </c>
      <c r="L149" s="18">
        <v>5000</v>
      </c>
      <c r="M149" s="18">
        <v>0</v>
      </c>
      <c r="N149" s="18">
        <v>5240.8599999999997</v>
      </c>
      <c r="O149" s="18">
        <v>10000</v>
      </c>
      <c r="P149" s="18">
        <v>10000</v>
      </c>
      <c r="Q149" s="22" t="s">
        <v>936</v>
      </c>
      <c r="R149" s="227" t="s">
        <v>1853</v>
      </c>
    </row>
    <row r="150" spans="1:18" x14ac:dyDescent="0.25">
      <c r="A150" s="24">
        <f>IF(D150&gt;1,(MAX(A$6:A149))+1,"")</f>
        <v>132</v>
      </c>
      <c r="B150" s="22" t="s">
        <v>869</v>
      </c>
      <c r="C150" s="25" t="s">
        <v>870</v>
      </c>
      <c r="D150" s="16" t="s">
        <v>871</v>
      </c>
      <c r="E150" s="16">
        <v>0</v>
      </c>
      <c r="F150" s="16">
        <v>300</v>
      </c>
      <c r="G150" s="16">
        <v>0</v>
      </c>
      <c r="H150" s="16">
        <v>300</v>
      </c>
      <c r="I150" s="16">
        <v>0</v>
      </c>
      <c r="J150" s="16">
        <v>300</v>
      </c>
      <c r="K150" s="16">
        <v>0</v>
      </c>
      <c r="L150" s="16">
        <v>300</v>
      </c>
      <c r="M150" s="16">
        <v>0</v>
      </c>
      <c r="N150" s="16">
        <v>0</v>
      </c>
      <c r="O150" s="16">
        <v>0</v>
      </c>
      <c r="P150" s="16">
        <v>0</v>
      </c>
      <c r="Q150" s="22" t="s">
        <v>871</v>
      </c>
      <c r="R150" s="227" t="s">
        <v>1854</v>
      </c>
    </row>
    <row r="151" spans="1:18" x14ac:dyDescent="0.25">
      <c r="A151" s="24">
        <f>IF(D151&gt;1,(MAX(A$6:A150))+1,"")</f>
        <v>133</v>
      </c>
      <c r="B151" s="22" t="s">
        <v>872</v>
      </c>
      <c r="C151" s="25" t="s">
        <v>873</v>
      </c>
      <c r="D151" s="16" t="s">
        <v>874</v>
      </c>
      <c r="E151" s="18">
        <v>265659.82</v>
      </c>
      <c r="F151" s="18">
        <v>0</v>
      </c>
      <c r="G151" s="18">
        <v>0</v>
      </c>
      <c r="H151" s="18">
        <v>0</v>
      </c>
      <c r="I151" s="18">
        <v>0</v>
      </c>
      <c r="J151" s="18">
        <v>0</v>
      </c>
      <c r="K151" s="18">
        <v>0</v>
      </c>
      <c r="L151" s="18">
        <v>0</v>
      </c>
      <c r="M151" s="18">
        <v>0</v>
      </c>
      <c r="N151" s="18">
        <v>0</v>
      </c>
      <c r="O151" s="18">
        <v>0</v>
      </c>
      <c r="P151" s="18">
        <v>0</v>
      </c>
      <c r="Q151" s="22" t="s">
        <v>1026</v>
      </c>
      <c r="R151" s="22" t="s">
        <v>1855</v>
      </c>
    </row>
    <row r="152" spans="1:18" x14ac:dyDescent="0.25">
      <c r="A152" s="24">
        <f>IF(D152&gt;1,(MAX(A$6:A151))+1,"")</f>
        <v>134</v>
      </c>
      <c r="B152" s="22" t="s">
        <v>875</v>
      </c>
      <c r="C152" s="25" t="s">
        <v>876</v>
      </c>
      <c r="D152" s="16" t="s">
        <v>877</v>
      </c>
      <c r="E152" s="18">
        <v>162673.62</v>
      </c>
      <c r="F152" s="18">
        <v>0</v>
      </c>
      <c r="G152" s="18">
        <v>417326.62</v>
      </c>
      <c r="H152" s="18">
        <v>0</v>
      </c>
      <c r="I152" s="18">
        <v>0</v>
      </c>
      <c r="J152" s="18">
        <v>0</v>
      </c>
      <c r="K152" s="18">
        <v>0</v>
      </c>
      <c r="L152" s="18">
        <v>0</v>
      </c>
      <c r="M152" s="18">
        <v>0</v>
      </c>
      <c r="N152" s="18">
        <v>0</v>
      </c>
      <c r="O152" s="18">
        <v>0</v>
      </c>
      <c r="P152" s="18">
        <v>0</v>
      </c>
      <c r="Q152" s="22" t="s">
        <v>1026</v>
      </c>
      <c r="R152" s="22" t="s">
        <v>1856</v>
      </c>
    </row>
    <row r="153" spans="1:18" x14ac:dyDescent="0.25">
      <c r="A153" s="24">
        <f>IF(D153&gt;1,(MAX(A$6:A152))+1,"")</f>
        <v>135</v>
      </c>
      <c r="B153" s="22"/>
      <c r="C153" s="25" t="s">
        <v>878</v>
      </c>
      <c r="D153" s="16" t="s">
        <v>879</v>
      </c>
      <c r="E153" s="18">
        <v>1697625.32</v>
      </c>
      <c r="F153" s="18">
        <v>3532000</v>
      </c>
      <c r="G153" s="18">
        <v>4450931.4000000004</v>
      </c>
      <c r="H153" s="18">
        <v>779996</v>
      </c>
      <c r="I153" s="18">
        <v>965430.98</v>
      </c>
      <c r="J153" s="18">
        <v>0</v>
      </c>
      <c r="K153" s="18">
        <v>0</v>
      </c>
      <c r="L153" s="18">
        <v>0</v>
      </c>
      <c r="M153" s="18">
        <v>0</v>
      </c>
      <c r="N153" s="18">
        <v>0</v>
      </c>
      <c r="O153" s="18">
        <v>0</v>
      </c>
      <c r="P153" s="18">
        <v>0</v>
      </c>
      <c r="Q153" s="22" t="s">
        <v>1026</v>
      </c>
      <c r="R153" s="22" t="s">
        <v>1857</v>
      </c>
    </row>
    <row r="154" spans="1:18" x14ac:dyDescent="0.25">
      <c r="A154" s="24">
        <f>IF(D154&gt;1,(MAX(A$6:A153))+1,"")</f>
        <v>136</v>
      </c>
      <c r="B154" s="22"/>
      <c r="C154" s="25"/>
      <c r="D154" s="16" t="s">
        <v>880</v>
      </c>
      <c r="M154" s="18">
        <v>0</v>
      </c>
      <c r="N154" s="18">
        <v>0</v>
      </c>
      <c r="O154" s="18">
        <v>205000</v>
      </c>
      <c r="P154" s="18">
        <v>205000</v>
      </c>
      <c r="Q154" s="22" t="s">
        <v>1026</v>
      </c>
      <c r="R154" s="22" t="s">
        <v>1858</v>
      </c>
    </row>
    <row r="155" spans="1:18" x14ac:dyDescent="0.25">
      <c r="A155" s="24">
        <f>IF(D155&gt;1,(MAX(A$6:A154))+1,"")</f>
        <v>137</v>
      </c>
      <c r="B155" s="22" t="s">
        <v>881</v>
      </c>
      <c r="C155" s="25" t="s">
        <v>882</v>
      </c>
      <c r="D155" s="16" t="s">
        <v>234</v>
      </c>
      <c r="E155" s="16">
        <v>11453.65</v>
      </c>
      <c r="F155" s="16">
        <v>13700</v>
      </c>
      <c r="G155" s="16">
        <v>11161.8</v>
      </c>
      <c r="H155" s="16">
        <v>11700</v>
      </c>
      <c r="I155" s="16">
        <v>10741.42</v>
      </c>
      <c r="J155" s="16">
        <v>11800</v>
      </c>
      <c r="K155" s="16">
        <v>13259.76</v>
      </c>
      <c r="L155" s="16">
        <v>16200</v>
      </c>
      <c r="M155" s="16">
        <v>6672.39</v>
      </c>
      <c r="N155" s="16">
        <v>8534.7099999999991</v>
      </c>
      <c r="O155" s="16">
        <v>11100</v>
      </c>
      <c r="P155" s="16">
        <f>ROUND(IF((N155/1)&gt;L155,(N155/1)*$P$2,AVERAGE(K155,(N155/1))),-2)</f>
        <v>10900</v>
      </c>
      <c r="Q155" s="22" t="s">
        <v>234</v>
      </c>
      <c r="R155" s="22" t="s">
        <v>1859</v>
      </c>
    </row>
    <row r="156" spans="1:18" x14ac:dyDescent="0.25">
      <c r="A156" s="24" t="str">
        <f>IF(D156&gt;1,(MAX(A$6:A155))+1,"")</f>
        <v/>
      </c>
      <c r="E156" s="235"/>
      <c r="F156" s="235"/>
      <c r="G156" s="235"/>
      <c r="H156" s="235"/>
      <c r="I156" s="235"/>
      <c r="J156" s="235"/>
      <c r="K156" s="235"/>
      <c r="L156" s="235"/>
      <c r="M156" s="235"/>
      <c r="N156" s="235"/>
      <c r="O156" s="235"/>
      <c r="P156" s="235"/>
      <c r="Q156" s="22"/>
    </row>
    <row r="157" spans="1:18" x14ac:dyDescent="0.25">
      <c r="A157" s="24">
        <f>IF(D157&gt;1,(MAX(A$6:A156))+1,"")</f>
        <v>138</v>
      </c>
      <c r="D157" s="16" t="s">
        <v>647</v>
      </c>
      <c r="E157" s="18">
        <f t="shared" ref="E157:F157" si="8">SUM(E140:E156)</f>
        <v>6178860.2200000007</v>
      </c>
      <c r="F157" s="18">
        <f t="shared" si="8"/>
        <v>8159925</v>
      </c>
      <c r="G157" s="18">
        <f>SUM(G140:G156)</f>
        <v>8922934.2600000016</v>
      </c>
      <c r="H157" s="18">
        <v>4981721</v>
      </c>
      <c r="I157" s="18">
        <f>SUM(I140:I156)</f>
        <v>4743568.8400000008</v>
      </c>
      <c r="J157" s="18">
        <v>4200025</v>
      </c>
      <c r="K157" s="18">
        <f>SUM(K140:K156)</f>
        <v>4027747.3800000004</v>
      </c>
      <c r="L157" s="18">
        <v>4117925</v>
      </c>
      <c r="M157" s="18">
        <f t="shared" ref="M157:N157" si="9">SUM(M140:M156)</f>
        <v>3007499.33</v>
      </c>
      <c r="N157" s="18">
        <f t="shared" si="9"/>
        <v>4089571.2700000005</v>
      </c>
      <c r="O157" s="18">
        <f>SUM(O140:O156)</f>
        <v>4571925</v>
      </c>
      <c r="P157" s="18">
        <f>SUM(P140:P156)</f>
        <v>4565825</v>
      </c>
      <c r="Q157" s="22"/>
    </row>
    <row r="158" spans="1:18" x14ac:dyDescent="0.25">
      <c r="A158" s="24">
        <f>IF(D158&gt;1,(MAX(A$6:A157))+1,"")</f>
        <v>139</v>
      </c>
      <c r="D158" s="16" t="s">
        <v>648</v>
      </c>
      <c r="E158" s="18">
        <f t="shared" ref="E158:F158" si="10">+E151+E152+E150+E153</f>
        <v>2125958.7600000002</v>
      </c>
      <c r="F158" s="18">
        <f t="shared" si="10"/>
        <v>3532300</v>
      </c>
      <c r="G158" s="18">
        <f>+G151+G152+G150+G153</f>
        <v>4868258.0200000005</v>
      </c>
      <c r="H158" s="18">
        <v>780296</v>
      </c>
      <c r="I158" s="18">
        <f>+I151+I152+I150+I153</f>
        <v>965430.98</v>
      </c>
      <c r="J158" s="18">
        <v>300</v>
      </c>
      <c r="K158" s="18">
        <f>+K151+K152+K150+K153</f>
        <v>0</v>
      </c>
      <c r="L158" s="18">
        <v>300</v>
      </c>
      <c r="M158" s="18">
        <f t="shared" ref="M158:N158" si="11">+M151+M152+M150+M153</f>
        <v>0</v>
      </c>
      <c r="N158" s="18">
        <f t="shared" si="11"/>
        <v>0</v>
      </c>
      <c r="O158" s="18">
        <f>-(+O151+O152+O150+O153+O154)</f>
        <v>-205000</v>
      </c>
      <c r="P158" s="18">
        <f>-(+P151+P152+P150+P153+P154)</f>
        <v>-205000</v>
      </c>
      <c r="Q158" s="22"/>
    </row>
    <row r="159" spans="1:18" x14ac:dyDescent="0.25">
      <c r="A159" s="24">
        <f>IF(D159&gt;1,(MAX(A$6:A158))+1,"")</f>
        <v>140</v>
      </c>
      <c r="D159" s="16" t="s">
        <v>649</v>
      </c>
      <c r="E159" s="18">
        <f t="shared" ref="E159:F159" si="12">+E157-E158</f>
        <v>4052901.4600000004</v>
      </c>
      <c r="F159" s="18">
        <f t="shared" si="12"/>
        <v>4627625</v>
      </c>
      <c r="G159" s="18">
        <f>+G157-G158</f>
        <v>4054676.2400000012</v>
      </c>
      <c r="H159" s="18">
        <v>4201425</v>
      </c>
      <c r="I159" s="18">
        <f t="shared" ref="I159:K159" si="13">+I157-I158</f>
        <v>3778137.8600000008</v>
      </c>
      <c r="J159" s="18">
        <v>4199725</v>
      </c>
      <c r="K159" s="18">
        <f t="shared" si="13"/>
        <v>4027747.3800000004</v>
      </c>
      <c r="L159" s="18">
        <v>4117625</v>
      </c>
      <c r="M159" s="18">
        <f t="shared" ref="M159:N159" si="14">+M157-M158</f>
        <v>3007499.33</v>
      </c>
      <c r="N159" s="18">
        <f t="shared" si="14"/>
        <v>4089571.2700000005</v>
      </c>
      <c r="O159" s="18">
        <f>+O157+O158</f>
        <v>4366925</v>
      </c>
      <c r="P159" s="18">
        <f>+P157+P158</f>
        <v>4360825</v>
      </c>
      <c r="Q159" s="22"/>
    </row>
    <row r="160" spans="1:18" x14ac:dyDescent="0.25">
      <c r="A160" s="24" t="str">
        <f>IF(D160&gt;1,(MAX(A$6:A159))+1,"")</f>
        <v/>
      </c>
      <c r="D160" s="16"/>
      <c r="E160" s="235"/>
      <c r="F160" s="235"/>
      <c r="G160" s="235"/>
      <c r="H160" s="235"/>
      <c r="I160" s="235"/>
      <c r="J160" s="235"/>
      <c r="K160" s="235"/>
      <c r="L160" s="235"/>
      <c r="M160" s="235"/>
      <c r="N160" s="235"/>
      <c r="O160" s="235"/>
      <c r="P160" s="235"/>
      <c r="Q160" s="22"/>
    </row>
    <row r="161" spans="1:18" x14ac:dyDescent="0.25">
      <c r="A161" s="24">
        <f>IF(D161&gt;1,(MAX(A$6:A160))+1,"")</f>
        <v>141</v>
      </c>
      <c r="D161" s="16" t="s">
        <v>650</v>
      </c>
      <c r="E161" s="18">
        <f>E137</f>
        <v>3951294.89</v>
      </c>
      <c r="F161" s="18">
        <f t="shared" ref="F161:I161" si="15">F137</f>
        <v>3838862.0447004847</v>
      </c>
      <c r="G161" s="18">
        <f t="shared" si="15"/>
        <v>3947844.2500000005</v>
      </c>
      <c r="H161" s="18">
        <v>3780772.5194201432</v>
      </c>
      <c r="I161" s="18">
        <f t="shared" si="15"/>
        <v>4208448.91</v>
      </c>
      <c r="J161" s="18">
        <v>4005802.3784429105</v>
      </c>
      <c r="K161" s="18">
        <f t="shared" ref="K161:N161" si="16">K137</f>
        <v>3719494.7600000007</v>
      </c>
      <c r="L161" s="18">
        <v>3910092.2394224172</v>
      </c>
      <c r="M161" s="18">
        <f t="shared" si="16"/>
        <v>2854108.1599999992</v>
      </c>
      <c r="N161" s="18">
        <f t="shared" si="16"/>
        <v>3787310.5700000003</v>
      </c>
      <c r="O161" s="18">
        <f>O137</f>
        <v>4125414.0407442031</v>
      </c>
      <c r="P161" s="18">
        <f>P137</f>
        <v>4199591.722844203</v>
      </c>
      <c r="Q161" s="22"/>
    </row>
    <row r="162" spans="1:18" x14ac:dyDescent="0.25">
      <c r="A162" s="24">
        <f>IF(D162&gt;1,(MAX(A$6:A161))+1,"")</f>
        <v>142</v>
      </c>
      <c r="D162" s="16" t="s">
        <v>651</v>
      </c>
      <c r="E162" s="18">
        <f t="shared" ref="E162:I162" si="17">E159-E161</f>
        <v>101606.5700000003</v>
      </c>
      <c r="F162" s="18">
        <f t="shared" si="17"/>
        <v>788762.95529951528</v>
      </c>
      <c r="G162" s="18">
        <f t="shared" si="17"/>
        <v>106831.99000000069</v>
      </c>
      <c r="H162" s="18">
        <v>420652.48057985678</v>
      </c>
      <c r="I162" s="18">
        <f t="shared" si="17"/>
        <v>-430311.04999999935</v>
      </c>
      <c r="J162" s="18">
        <v>193922.6215570895</v>
      </c>
      <c r="K162" s="18">
        <f t="shared" ref="K162:M162" si="18">K159-K161</f>
        <v>308252.61999999965</v>
      </c>
      <c r="L162" s="18">
        <v>207532.76057758275</v>
      </c>
      <c r="M162" s="18">
        <f t="shared" si="18"/>
        <v>153391.17000000086</v>
      </c>
      <c r="N162" s="18">
        <f>N159-N161</f>
        <v>302260.70000000019</v>
      </c>
      <c r="O162" s="18">
        <f>O159-O161</f>
        <v>241510.95925579686</v>
      </c>
      <c r="P162" s="18">
        <f>P159-P161</f>
        <v>161233.277155797</v>
      </c>
      <c r="Q162" s="22"/>
    </row>
    <row r="163" spans="1:18" x14ac:dyDescent="0.25">
      <c r="A163" s="24" t="str">
        <f>IF(D163&gt;1,(MAX(A$6:A162))+1,"")</f>
        <v/>
      </c>
      <c r="E163" s="29">
        <f t="shared" ref="E163:K163" si="19">E162/E159</f>
        <v>2.5070081521301111E-2</v>
      </c>
      <c r="F163" s="29">
        <f t="shared" si="19"/>
        <v>0.17044660172324147</v>
      </c>
      <c r="G163" s="29">
        <f t="shared" si="19"/>
        <v>2.634784719580981E-2</v>
      </c>
      <c r="H163" s="29">
        <f t="shared" si="19"/>
        <v>0.10012138276414712</v>
      </c>
      <c r="I163" s="29">
        <f t="shared" si="19"/>
        <v>-0.11389501017308015</v>
      </c>
      <c r="J163" s="29">
        <v>4.6175076119767247E-2</v>
      </c>
      <c r="K163" s="29">
        <f t="shared" si="19"/>
        <v>7.6532262557141711E-2</v>
      </c>
      <c r="L163" s="29">
        <v>5.0401083288930573E-2</v>
      </c>
      <c r="M163" s="29">
        <f t="shared" ref="M163:N163" si="20">M162/M159</f>
        <v>5.1002894155258501E-2</v>
      </c>
      <c r="N163" s="29">
        <f t="shared" si="20"/>
        <v>7.3910119189584428E-2</v>
      </c>
      <c r="O163" s="29">
        <f>O162/O159</f>
        <v>5.530458142876208E-2</v>
      </c>
      <c r="P163" s="29">
        <f>P162/P159</f>
        <v>3.6973113380105137E-2</v>
      </c>
      <c r="Q163" s="174"/>
      <c r="R163" s="227" t="s">
        <v>1860</v>
      </c>
    </row>
    <row r="164" spans="1:18" x14ac:dyDescent="0.25">
      <c r="A164" s="24" t="str">
        <f>IF(D164&gt;1,(MAX(A$6:A163))+1,"")</f>
        <v/>
      </c>
      <c r="Q164" s="22"/>
    </row>
    <row r="165" spans="1:18" x14ac:dyDescent="0.25">
      <c r="K165" s="18" t="s">
        <v>24</v>
      </c>
      <c r="L165" s="18" t="s">
        <v>883</v>
      </c>
      <c r="M165" s="18" t="s">
        <v>884</v>
      </c>
      <c r="N165" s="18" t="s">
        <v>884</v>
      </c>
      <c r="O165" s="18" t="s">
        <v>885</v>
      </c>
      <c r="P165" s="18" t="s">
        <v>885</v>
      </c>
      <c r="Q165" s="22"/>
      <c r="R165" s="16"/>
    </row>
    <row r="166" spans="1:18" x14ac:dyDescent="0.25">
      <c r="D166" s="229" t="s">
        <v>886</v>
      </c>
      <c r="K166" s="18">
        <v>2698642.5612744931</v>
      </c>
      <c r="L166" s="18">
        <v>2020241.6400000001</v>
      </c>
      <c r="M166" s="18">
        <v>678400.92127449298</v>
      </c>
      <c r="N166" s="18">
        <v>1341840.7187255071</v>
      </c>
      <c r="O166" s="18">
        <f t="shared" ref="O166:P169" si="21">M166/M$170</f>
        <v>0.4688760452914526</v>
      </c>
      <c r="P166" s="18">
        <f t="shared" si="21"/>
        <v>0.38910565055470364</v>
      </c>
      <c r="Q166" s="22"/>
      <c r="R166" s="18" t="s">
        <v>1861</v>
      </c>
    </row>
    <row r="167" spans="1:18" x14ac:dyDescent="0.25">
      <c r="K167" s="18">
        <v>2047787.32</v>
      </c>
      <c r="L167" s="18">
        <v>1617250</v>
      </c>
      <c r="M167" s="18">
        <v>430537.32</v>
      </c>
      <c r="N167" s="18">
        <v>1186712.68</v>
      </c>
      <c r="O167" s="18">
        <f t="shared" si="21"/>
        <v>0.29756539182278174</v>
      </c>
      <c r="P167" s="18">
        <f t="shared" si="21"/>
        <v>0.34412177461084692</v>
      </c>
      <c r="Q167" s="22"/>
      <c r="R167" s="227" t="s">
        <v>1862</v>
      </c>
    </row>
    <row r="168" spans="1:18" x14ac:dyDescent="0.25">
      <c r="K168" s="18">
        <v>1392649</v>
      </c>
      <c r="L168" s="18">
        <v>1109100</v>
      </c>
      <c r="M168" s="18">
        <v>283549</v>
      </c>
      <c r="N168" s="18">
        <v>825551</v>
      </c>
      <c r="O168" s="18">
        <f t="shared" si="21"/>
        <v>0.1959745772699982</v>
      </c>
      <c r="P168" s="18">
        <f t="shared" si="21"/>
        <v>0.23939246621327018</v>
      </c>
      <c r="Q168" s="22"/>
      <c r="R168" s="227" t="s">
        <v>1863</v>
      </c>
    </row>
    <row r="169" spans="1:18" x14ac:dyDescent="0.25">
      <c r="K169" s="18">
        <v>203179</v>
      </c>
      <c r="L169" s="18">
        <v>148800</v>
      </c>
      <c r="M169" s="18">
        <v>54379</v>
      </c>
      <c r="N169" s="18">
        <v>94421</v>
      </c>
      <c r="O169" s="18">
        <f t="shared" si="21"/>
        <v>3.758398561576741E-2</v>
      </c>
      <c r="P169" s="18">
        <f t="shared" si="21"/>
        <v>2.7380108621179289E-2</v>
      </c>
      <c r="Q169" s="22"/>
      <c r="R169" s="227" t="s">
        <v>1864</v>
      </c>
    </row>
    <row r="170" spans="1:18" x14ac:dyDescent="0.25">
      <c r="K170" s="18">
        <f>SUM(K166:K169)</f>
        <v>6342257.8812744934</v>
      </c>
      <c r="L170" s="18">
        <f t="shared" ref="L170:P170" si="22">SUM(L166:L169)</f>
        <v>4895391.6400000006</v>
      </c>
      <c r="M170" s="18">
        <f t="shared" si="22"/>
        <v>1446866.241274493</v>
      </c>
      <c r="N170" s="18">
        <f t="shared" si="22"/>
        <v>3448525.3987255068</v>
      </c>
      <c r="O170" s="18">
        <f t="shared" si="22"/>
        <v>0.99999999999999989</v>
      </c>
      <c r="P170" s="18">
        <f t="shared" si="22"/>
        <v>1</v>
      </c>
      <c r="Q170" s="22"/>
      <c r="R170" s="18"/>
    </row>
    <row r="171" spans="1:18" x14ac:dyDescent="0.25">
      <c r="Q171" s="22"/>
      <c r="R171" s="18"/>
    </row>
    <row r="172" spans="1:18" x14ac:dyDescent="0.25">
      <c r="M172" s="18" t="s">
        <v>887</v>
      </c>
      <c r="O172" s="18">
        <v>108599.59999999998</v>
      </c>
      <c r="P172" s="18">
        <v>108599.59999999998</v>
      </c>
      <c r="Q172" s="174"/>
      <c r="R172" s="227" t="s">
        <v>1865</v>
      </c>
    </row>
    <row r="173" spans="1:18" x14ac:dyDescent="0.25">
      <c r="O173" s="18">
        <f>+O166*$O$172</f>
        <v>50919.750968233624</v>
      </c>
      <c r="P173" s="18">
        <f>+P166*$P$172</f>
        <v>42256.718007980584</v>
      </c>
      <c r="Q173" s="174"/>
      <c r="R173" s="18" t="s">
        <v>1861</v>
      </c>
    </row>
    <row r="174" spans="1:18" x14ac:dyDescent="0.25">
      <c r="O174" s="18">
        <f>+O167*$O$172</f>
        <v>32315.482525797361</v>
      </c>
      <c r="P174" s="18">
        <f>+P167*$P$172</f>
        <v>37371.487074028126</v>
      </c>
      <c r="Q174" s="22"/>
      <c r="R174" s="227" t="s">
        <v>1862</v>
      </c>
    </row>
    <row r="175" spans="1:18" x14ac:dyDescent="0.25">
      <c r="O175" s="18">
        <f>+O168*$O$172</f>
        <v>21282.760701690891</v>
      </c>
      <c r="P175" s="18">
        <f>+P168*$P$172</f>
        <v>25997.926073774652</v>
      </c>
      <c r="Q175" s="22"/>
      <c r="R175" s="227" t="s">
        <v>1863</v>
      </c>
    </row>
    <row r="176" spans="1:18" x14ac:dyDescent="0.25">
      <c r="O176" s="18">
        <f>+O169*$O$172</f>
        <v>4081.6058042780933</v>
      </c>
      <c r="P176" s="18">
        <f>+P169*$P$172</f>
        <v>2973.4688442166216</v>
      </c>
      <c r="Q176" s="22"/>
      <c r="R176" s="227" t="s">
        <v>1864</v>
      </c>
    </row>
    <row r="177" spans="3:17" x14ac:dyDescent="0.25">
      <c r="Q177" s="22"/>
    </row>
    <row r="178" spans="3:17" x14ac:dyDescent="0.25">
      <c r="O178" s="18">
        <f>SUM(O173:O177)</f>
        <v>108599.59999999996</v>
      </c>
      <c r="P178" s="18">
        <f>SUM(P173:P177)</f>
        <v>108599.59999999998</v>
      </c>
      <c r="Q178" s="22"/>
    </row>
    <row r="179" spans="3:17" ht="15" x14ac:dyDescent="0.3">
      <c r="C179" s="234"/>
    </row>
    <row r="180" spans="3:17" ht="15.5" x14ac:dyDescent="0.35">
      <c r="C180" s="1"/>
    </row>
    <row r="181" spans="3:17" ht="15.5" x14ac:dyDescent="0.35">
      <c r="C181" s="1"/>
    </row>
    <row r="182" spans="3:17" ht="15.5" x14ac:dyDescent="0.35">
      <c r="C182" s="1"/>
    </row>
    <row r="183" spans="3:17" ht="15.5" x14ac:dyDescent="0.35">
      <c r="C183" s="1"/>
    </row>
  </sheetData>
  <sheetProtection selectLockedCells="1" selectUnlockedCells="1"/>
  <autoFilter ref="D5:R178" xr:uid="{00000000-0001-0000-0A00-000000000000}"/>
  <phoneticPr fontId="5" type="noConversion"/>
  <pageMargins left="0.47" right="0.52" top="0.62" bottom="0.59" header="0.5" footer="0.5"/>
  <pageSetup scale="31" fitToHeight="5" orientation="landscape" r:id="rId1"/>
  <headerFooter alignWithMargins="0">
    <oddHeader>&amp;CAdjustments B - P
Hardin County Water District No. 1 - Radcliff Sewer Utility
Alternative Rate Filing Application</oddHeader>
    <oddFooter>&amp;C7/27/2023</oddFooter>
  </headerFooter>
  <rowBreaks count="3" manualBreakCount="3">
    <brk id="5" max="50" man="1"/>
    <brk id="85" max="50" man="1"/>
    <brk id="163" max="5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B6F31-CE4E-4095-AF09-ABC523879A64}">
  <sheetPr codeName="Sheet12"/>
  <dimension ref="A1:I24"/>
  <sheetViews>
    <sheetView zoomScale="85" zoomScaleNormal="85" workbookViewId="0">
      <selection activeCell="C13" sqref="C13"/>
    </sheetView>
  </sheetViews>
  <sheetFormatPr defaultRowHeight="12.5" x14ac:dyDescent="0.25"/>
  <cols>
    <col min="1" max="2" width="39.26953125" customWidth="1"/>
    <col min="3" max="7" width="17" customWidth="1"/>
    <col min="8" max="8" width="55.26953125" customWidth="1"/>
    <col min="9" max="9" width="39.26953125" customWidth="1"/>
  </cols>
  <sheetData>
    <row r="1" spans="1:9" x14ac:dyDescent="0.25">
      <c r="A1" t="s">
        <v>1677</v>
      </c>
      <c r="B1" t="s">
        <v>1678</v>
      </c>
      <c r="C1" s="32" t="s">
        <v>1679</v>
      </c>
      <c r="D1" s="32" t="s">
        <v>1680</v>
      </c>
      <c r="E1" s="32" t="s">
        <v>1681</v>
      </c>
      <c r="F1" s="32" t="s">
        <v>1682</v>
      </c>
      <c r="G1" s="32" t="s">
        <v>1683</v>
      </c>
      <c r="H1" s="32" t="s">
        <v>1684</v>
      </c>
      <c r="I1" s="32" t="s">
        <v>1685</v>
      </c>
    </row>
    <row r="2" spans="1:9" ht="37.5" x14ac:dyDescent="0.25">
      <c r="A2" t="s">
        <v>1717</v>
      </c>
      <c r="B2" s="8" t="s">
        <v>1718</v>
      </c>
      <c r="C2" s="32"/>
      <c r="D2" s="32"/>
      <c r="E2" s="32"/>
      <c r="F2" s="32">
        <v>1</v>
      </c>
      <c r="G2" s="32">
        <v>1</v>
      </c>
      <c r="H2" s="33" t="s">
        <v>1719</v>
      </c>
      <c r="I2" s="34">
        <f ca="1">+TODAY()</f>
        <v>45218</v>
      </c>
    </row>
    <row r="3" spans="1:9" ht="37.5" x14ac:dyDescent="0.25">
      <c r="A3" t="s">
        <v>1673</v>
      </c>
      <c r="B3" s="8" t="s">
        <v>1686</v>
      </c>
      <c r="F3" s="32">
        <v>1</v>
      </c>
      <c r="G3" s="32">
        <v>1</v>
      </c>
      <c r="H3" s="33" t="s">
        <v>1691</v>
      </c>
      <c r="I3" s="34">
        <f ca="1">+TODAY()</f>
        <v>45218</v>
      </c>
    </row>
    <row r="4" spans="1:9" ht="37.5" x14ac:dyDescent="0.25">
      <c r="A4" t="s">
        <v>1674</v>
      </c>
      <c r="B4" s="8" t="s">
        <v>1687</v>
      </c>
      <c r="F4" s="32">
        <v>1</v>
      </c>
      <c r="G4" s="32">
        <v>1</v>
      </c>
      <c r="H4" s="33" t="s">
        <v>1695</v>
      </c>
      <c r="I4" s="34">
        <f t="shared" ref="I4:I6" ca="1" si="0">+TODAY()</f>
        <v>45218</v>
      </c>
    </row>
    <row r="5" spans="1:9" ht="37.5" x14ac:dyDescent="0.25">
      <c r="A5" t="s">
        <v>1675</v>
      </c>
      <c r="B5" t="s">
        <v>1688</v>
      </c>
      <c r="C5" s="32"/>
      <c r="D5" s="32"/>
      <c r="E5" s="32"/>
      <c r="F5" s="32">
        <v>1</v>
      </c>
      <c r="G5" s="32">
        <v>1</v>
      </c>
      <c r="H5" s="33" t="s">
        <v>1696</v>
      </c>
      <c r="I5" s="34">
        <f t="shared" ca="1" si="0"/>
        <v>45218</v>
      </c>
    </row>
    <row r="6" spans="1:9" ht="37.5" x14ac:dyDescent="0.25">
      <c r="A6" t="s">
        <v>1675</v>
      </c>
      <c r="B6" t="s">
        <v>1689</v>
      </c>
      <c r="C6" s="32"/>
      <c r="D6" s="32"/>
      <c r="E6" s="32"/>
      <c r="F6" s="32">
        <v>1</v>
      </c>
      <c r="G6" s="32">
        <v>1</v>
      </c>
      <c r="H6" s="33" t="s">
        <v>1696</v>
      </c>
      <c r="I6" s="34">
        <f t="shared" ca="1" si="0"/>
        <v>45218</v>
      </c>
    </row>
    <row r="7" spans="1:9" ht="37.5" x14ac:dyDescent="0.25">
      <c r="A7" t="s">
        <v>1676</v>
      </c>
      <c r="B7" t="s">
        <v>1705</v>
      </c>
      <c r="C7" s="14" t="s">
        <v>940</v>
      </c>
      <c r="D7" s="32" t="s">
        <v>1704</v>
      </c>
      <c r="E7" s="14"/>
      <c r="F7" s="14">
        <v>1</v>
      </c>
      <c r="G7" s="14">
        <v>1</v>
      </c>
      <c r="H7" s="33" t="s">
        <v>1713</v>
      </c>
      <c r="I7" s="34">
        <f ca="1">+TODAY()</f>
        <v>45218</v>
      </c>
    </row>
    <row r="8" spans="1:9" ht="37.5" x14ac:dyDescent="0.25">
      <c r="A8" t="s">
        <v>1676</v>
      </c>
      <c r="B8" t="s">
        <v>1706</v>
      </c>
      <c r="C8" s="14" t="s">
        <v>940</v>
      </c>
      <c r="D8" s="32" t="s">
        <v>1704</v>
      </c>
      <c r="E8" s="14"/>
      <c r="F8" s="14">
        <v>1</v>
      </c>
      <c r="G8" s="14">
        <v>1</v>
      </c>
      <c r="H8" s="33" t="s">
        <v>1713</v>
      </c>
      <c r="I8" s="34">
        <f ca="1">+TODAY()</f>
        <v>45218</v>
      </c>
    </row>
    <row r="9" spans="1:9" ht="37.5" x14ac:dyDescent="0.25">
      <c r="A9" t="s">
        <v>1707</v>
      </c>
      <c r="B9" t="s">
        <v>1708</v>
      </c>
      <c r="C9" s="32"/>
      <c r="D9" s="32"/>
      <c r="E9" s="32"/>
      <c r="F9" s="32">
        <v>1</v>
      </c>
      <c r="G9" s="32">
        <v>1</v>
      </c>
      <c r="H9" s="33" t="s">
        <v>1714</v>
      </c>
      <c r="I9" s="34">
        <f ca="1">+TODAY()</f>
        <v>45218</v>
      </c>
    </row>
    <row r="10" spans="1:9" ht="37.5" x14ac:dyDescent="0.25">
      <c r="A10" t="s">
        <v>1709</v>
      </c>
      <c r="B10" s="8" t="s">
        <v>1782</v>
      </c>
      <c r="C10" s="32" t="s">
        <v>940</v>
      </c>
      <c r="D10" s="14" t="s">
        <v>1788</v>
      </c>
      <c r="E10" s="32"/>
      <c r="F10" s="32">
        <v>5</v>
      </c>
      <c r="G10" s="32">
        <v>1</v>
      </c>
      <c r="H10" s="33" t="s">
        <v>1785</v>
      </c>
      <c r="I10" s="34">
        <f ca="1">+TODAY()</f>
        <v>45218</v>
      </c>
    </row>
    <row r="11" spans="1:9" ht="37.5" x14ac:dyDescent="0.25">
      <c r="A11" t="s">
        <v>1709</v>
      </c>
      <c r="B11" s="8" t="s">
        <v>1783</v>
      </c>
      <c r="C11" s="32" t="s">
        <v>940</v>
      </c>
      <c r="D11" s="14" t="s">
        <v>1789</v>
      </c>
      <c r="E11" s="32"/>
      <c r="F11" s="32">
        <v>5</v>
      </c>
      <c r="G11" s="32">
        <v>1</v>
      </c>
      <c r="H11" s="33" t="s">
        <v>1786</v>
      </c>
      <c r="I11" s="34">
        <f t="shared" ref="I11:I12" ca="1" si="1">+TODAY()</f>
        <v>45218</v>
      </c>
    </row>
    <row r="12" spans="1:9" ht="37.5" x14ac:dyDescent="0.25">
      <c r="A12" t="s">
        <v>1709</v>
      </c>
      <c r="B12" s="8" t="s">
        <v>1784</v>
      </c>
      <c r="C12" s="32"/>
      <c r="D12" s="14" t="s">
        <v>1790</v>
      </c>
      <c r="E12" s="32"/>
      <c r="F12" s="32">
        <v>5</v>
      </c>
      <c r="G12" s="32">
        <v>1</v>
      </c>
      <c r="H12" s="33" t="s">
        <v>1787</v>
      </c>
      <c r="I12" s="34">
        <f t="shared" ca="1" si="1"/>
        <v>45218</v>
      </c>
    </row>
    <row r="13" spans="1:9" ht="37.5" x14ac:dyDescent="0.25">
      <c r="A13" t="s">
        <v>1710</v>
      </c>
      <c r="B13" s="8" t="s">
        <v>1711</v>
      </c>
      <c r="C13" s="32" t="s">
        <v>940</v>
      </c>
      <c r="D13" s="32" t="s">
        <v>1712</v>
      </c>
      <c r="E13" s="32"/>
      <c r="F13" s="32">
        <v>20</v>
      </c>
      <c r="G13" s="32">
        <v>1</v>
      </c>
      <c r="H13" s="33" t="s">
        <v>1716</v>
      </c>
      <c r="I13" s="34">
        <f ca="1">+TODAY()</f>
        <v>45218</v>
      </c>
    </row>
    <row r="14" spans="1:9" ht="13" x14ac:dyDescent="0.25">
      <c r="B14" s="8"/>
      <c r="C14" s="32"/>
      <c r="D14" s="32"/>
      <c r="E14" s="32"/>
      <c r="F14" s="32"/>
      <c r="G14" s="32"/>
      <c r="H14" s="33"/>
      <c r="I14" s="34"/>
    </row>
    <row r="15" spans="1:9" ht="37.5" x14ac:dyDescent="0.25">
      <c r="A15" t="s">
        <v>1866</v>
      </c>
      <c r="B15" s="8" t="s">
        <v>1867</v>
      </c>
      <c r="C15" s="32" t="s">
        <v>940</v>
      </c>
      <c r="D15" s="32" t="s">
        <v>1876</v>
      </c>
      <c r="E15" s="32"/>
      <c r="F15" s="32">
        <v>4</v>
      </c>
      <c r="G15" s="32">
        <v>1</v>
      </c>
      <c r="H15" s="33" t="s">
        <v>1879</v>
      </c>
      <c r="I15" s="34">
        <f t="shared" ref="I15:I23" ca="1" si="2">+TODAY()</f>
        <v>45218</v>
      </c>
    </row>
    <row r="16" spans="1:9" ht="37.5" x14ac:dyDescent="0.25">
      <c r="A16" t="s">
        <v>1866</v>
      </c>
      <c r="B16" s="8" t="s">
        <v>1868</v>
      </c>
      <c r="C16" s="32" t="s">
        <v>940</v>
      </c>
      <c r="D16" s="32" t="s">
        <v>1876</v>
      </c>
      <c r="E16" s="32"/>
      <c r="F16" s="32">
        <v>4</v>
      </c>
      <c r="G16" s="32">
        <v>1</v>
      </c>
      <c r="H16" s="33" t="s">
        <v>1879</v>
      </c>
      <c r="I16" s="34">
        <f t="shared" ca="1" si="2"/>
        <v>45218</v>
      </c>
    </row>
    <row r="17" spans="1:9" ht="37.5" x14ac:dyDescent="0.25">
      <c r="A17" t="s">
        <v>1866</v>
      </c>
      <c r="B17" s="8" t="s">
        <v>1869</v>
      </c>
      <c r="C17" s="32" t="s">
        <v>940</v>
      </c>
      <c r="D17" s="32" t="s">
        <v>1876</v>
      </c>
      <c r="E17" s="32"/>
      <c r="F17" s="32">
        <v>4</v>
      </c>
      <c r="G17" s="32">
        <v>1</v>
      </c>
      <c r="H17" s="33" t="s">
        <v>1879</v>
      </c>
      <c r="I17" s="34">
        <f t="shared" ca="1" si="2"/>
        <v>45218</v>
      </c>
    </row>
    <row r="18" spans="1:9" ht="37.5" x14ac:dyDescent="0.25">
      <c r="A18" t="s">
        <v>1866</v>
      </c>
      <c r="B18" s="8" t="s">
        <v>1870</v>
      </c>
      <c r="C18" s="32" t="s">
        <v>940</v>
      </c>
      <c r="D18" s="32" t="s">
        <v>1876</v>
      </c>
      <c r="E18" s="32"/>
      <c r="F18" s="32">
        <v>4</v>
      </c>
      <c r="G18" s="32">
        <v>1</v>
      </c>
      <c r="H18" s="33" t="s">
        <v>1879</v>
      </c>
      <c r="I18" s="34">
        <f t="shared" ca="1" si="2"/>
        <v>45218</v>
      </c>
    </row>
    <row r="19" spans="1:9" ht="37.5" x14ac:dyDescent="0.25">
      <c r="A19" t="s">
        <v>1866</v>
      </c>
      <c r="B19" s="8" t="s">
        <v>1871</v>
      </c>
      <c r="C19" s="32" t="s">
        <v>940</v>
      </c>
      <c r="D19" s="32" t="s">
        <v>1876</v>
      </c>
      <c r="E19" s="32"/>
      <c r="F19" s="32">
        <v>1</v>
      </c>
      <c r="G19" s="32">
        <v>1</v>
      </c>
      <c r="H19" s="33" t="s">
        <v>1879</v>
      </c>
      <c r="I19" s="34">
        <f t="shared" ca="1" si="2"/>
        <v>45218</v>
      </c>
    </row>
    <row r="20" spans="1:9" ht="37.5" x14ac:dyDescent="0.25">
      <c r="A20" t="s">
        <v>1866</v>
      </c>
      <c r="B20" s="8" t="s">
        <v>1872</v>
      </c>
      <c r="C20" s="32" t="s">
        <v>940</v>
      </c>
      <c r="D20" s="32" t="s">
        <v>1876</v>
      </c>
      <c r="E20" s="32"/>
      <c r="F20" s="32">
        <v>4</v>
      </c>
      <c r="G20" s="32">
        <v>1</v>
      </c>
      <c r="H20" s="33" t="s">
        <v>1879</v>
      </c>
      <c r="I20" s="34">
        <f t="shared" ca="1" si="2"/>
        <v>45218</v>
      </c>
    </row>
    <row r="21" spans="1:9" ht="37.5" x14ac:dyDescent="0.25">
      <c r="A21" t="s">
        <v>1866</v>
      </c>
      <c r="B21" s="8" t="s">
        <v>1873</v>
      </c>
      <c r="C21" s="32" t="s">
        <v>940</v>
      </c>
      <c r="D21" s="32" t="s">
        <v>1876</v>
      </c>
      <c r="E21" s="32"/>
      <c r="F21" s="32">
        <v>4</v>
      </c>
      <c r="G21" s="32">
        <v>1</v>
      </c>
      <c r="H21" s="33" t="s">
        <v>1879</v>
      </c>
      <c r="I21" s="34">
        <f t="shared" ca="1" si="2"/>
        <v>45218</v>
      </c>
    </row>
    <row r="22" spans="1:9" ht="37.5" x14ac:dyDescent="0.25">
      <c r="A22" t="s">
        <v>1866</v>
      </c>
      <c r="B22" s="8" t="s">
        <v>1874</v>
      </c>
      <c r="C22" s="32" t="s">
        <v>940</v>
      </c>
      <c r="D22" s="32" t="s">
        <v>1876</v>
      </c>
      <c r="E22" s="32"/>
      <c r="F22" s="32">
        <v>4</v>
      </c>
      <c r="G22" s="32">
        <v>1</v>
      </c>
      <c r="H22" s="33" t="s">
        <v>1879</v>
      </c>
      <c r="I22" s="34">
        <f t="shared" ca="1" si="2"/>
        <v>45218</v>
      </c>
    </row>
    <row r="23" spans="1:9" ht="37.5" x14ac:dyDescent="0.25">
      <c r="A23" t="s">
        <v>1866</v>
      </c>
      <c r="B23" s="8" t="s">
        <v>1875</v>
      </c>
      <c r="C23" s="32" t="s">
        <v>940</v>
      </c>
      <c r="D23" s="32" t="s">
        <v>1876</v>
      </c>
      <c r="E23" s="32"/>
      <c r="F23" s="32">
        <v>4</v>
      </c>
      <c r="G23" s="32">
        <v>1</v>
      </c>
      <c r="H23" s="33" t="s">
        <v>1879</v>
      </c>
      <c r="I23" s="34">
        <f t="shared" ca="1" si="2"/>
        <v>45218</v>
      </c>
    </row>
    <row r="24" spans="1:9" ht="37.5" x14ac:dyDescent="0.25">
      <c r="A24" t="s">
        <v>1880</v>
      </c>
      <c r="B24" s="8" t="s">
        <v>1882</v>
      </c>
      <c r="C24" s="32" t="s">
        <v>940</v>
      </c>
      <c r="D24" s="14" t="s">
        <v>1881</v>
      </c>
      <c r="E24" s="32"/>
      <c r="F24" s="32">
        <v>5</v>
      </c>
      <c r="G24" s="32">
        <v>1</v>
      </c>
      <c r="H24" s="33" t="s">
        <v>1884</v>
      </c>
      <c r="I24" s="34">
        <f ca="1">+TODAY()</f>
        <v>45218</v>
      </c>
    </row>
  </sheetData>
  <phoneticPr fontId="45"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sheetPr>
  <dimension ref="B2:G17"/>
  <sheetViews>
    <sheetView view="pageBreakPreview" zoomScaleNormal="130" zoomScaleSheetLayoutView="100" workbookViewId="0">
      <selection activeCell="B7" sqref="B7:G17"/>
    </sheetView>
  </sheetViews>
  <sheetFormatPr defaultColWidth="9.1796875" defaultRowHeight="15" customHeight="1" x14ac:dyDescent="0.3"/>
  <cols>
    <col min="1" max="1" width="5" style="36" customWidth="1"/>
    <col min="2" max="7" width="14" style="36" customWidth="1"/>
    <col min="8" max="16384" width="9.1796875" style="36"/>
  </cols>
  <sheetData>
    <row r="2" spans="2:7" ht="15" customHeight="1" x14ac:dyDescent="0.3">
      <c r="B2" s="35" t="s">
        <v>1670</v>
      </c>
    </row>
    <row r="3" spans="2:7" ht="15" customHeight="1" x14ac:dyDescent="0.3">
      <c r="B3" s="36" t="s">
        <v>952</v>
      </c>
    </row>
    <row r="7" spans="2:7" ht="31.5" customHeight="1" x14ac:dyDescent="0.3">
      <c r="B7" s="249" t="s">
        <v>1781</v>
      </c>
      <c r="C7" s="250"/>
      <c r="D7" s="250"/>
      <c r="E7" s="250"/>
      <c r="F7" s="250"/>
      <c r="G7" s="250"/>
    </row>
    <row r="8" spans="2:7" ht="31.5" customHeight="1" x14ac:dyDescent="0.3">
      <c r="B8" s="250"/>
      <c r="C8" s="250"/>
      <c r="D8" s="250"/>
      <c r="E8" s="250"/>
      <c r="F8" s="250"/>
      <c r="G8" s="250"/>
    </row>
    <row r="9" spans="2:7" ht="31.5" customHeight="1" x14ac:dyDescent="0.3">
      <c r="B9" s="250"/>
      <c r="C9" s="250"/>
      <c r="D9" s="250"/>
      <c r="E9" s="250"/>
      <c r="F9" s="250"/>
      <c r="G9" s="250"/>
    </row>
    <row r="10" spans="2:7" ht="31.5" customHeight="1" x14ac:dyDescent="0.3">
      <c r="B10" s="250"/>
      <c r="C10" s="250"/>
      <c r="D10" s="250"/>
      <c r="E10" s="250"/>
      <c r="F10" s="250"/>
      <c r="G10" s="250"/>
    </row>
    <row r="11" spans="2:7" ht="31.5" customHeight="1" x14ac:dyDescent="0.3">
      <c r="B11" s="250"/>
      <c r="C11" s="250"/>
      <c r="D11" s="250"/>
      <c r="E11" s="250"/>
      <c r="F11" s="250"/>
      <c r="G11" s="250"/>
    </row>
    <row r="12" spans="2:7" ht="31.5" customHeight="1" x14ac:dyDescent="0.3">
      <c r="B12" s="250"/>
      <c r="C12" s="250"/>
      <c r="D12" s="250"/>
      <c r="E12" s="250"/>
      <c r="F12" s="250"/>
      <c r="G12" s="250"/>
    </row>
    <row r="13" spans="2:7" ht="22.5" customHeight="1" x14ac:dyDescent="0.3">
      <c r="B13" s="250"/>
      <c r="C13" s="250"/>
      <c r="D13" s="250"/>
      <c r="E13" s="250"/>
      <c r="F13" s="250"/>
      <c r="G13" s="250"/>
    </row>
    <row r="14" spans="2:7" ht="12" customHeight="1" x14ac:dyDescent="0.3">
      <c r="B14" s="250"/>
      <c r="C14" s="250"/>
      <c r="D14" s="250"/>
      <c r="E14" s="250"/>
      <c r="F14" s="250"/>
      <c r="G14" s="250"/>
    </row>
    <row r="15" spans="2:7" ht="12" customHeight="1" x14ac:dyDescent="0.3">
      <c r="B15" s="250"/>
      <c r="C15" s="250"/>
      <c r="D15" s="250"/>
      <c r="E15" s="250"/>
      <c r="F15" s="250"/>
      <c r="G15" s="250"/>
    </row>
    <row r="16" spans="2:7" ht="12" customHeight="1" x14ac:dyDescent="0.3">
      <c r="B16" s="250"/>
      <c r="C16" s="250"/>
      <c r="D16" s="250"/>
      <c r="E16" s="250"/>
      <c r="F16" s="250"/>
      <c r="G16" s="250"/>
    </row>
    <row r="17" spans="2:7" ht="12" customHeight="1" x14ac:dyDescent="0.3">
      <c r="B17" s="250"/>
      <c r="C17" s="250"/>
      <c r="D17" s="250"/>
      <c r="E17" s="250"/>
      <c r="F17" s="250"/>
      <c r="G17" s="250"/>
    </row>
  </sheetData>
  <mergeCells count="1">
    <mergeCell ref="B7:G17"/>
  </mergeCells>
  <pageMargins left="0.7" right="0.7" top="0.75" bottom="0.75" header="0.3" footer="0.3"/>
  <pageSetup pageOrder="overThenDown" orientation="portrait" blackAndWhite="1" r:id="rId1"/>
  <headerFooter>
    <oddHeader>&amp;CAttachment 2 - Reasons for Application
Hardin County Water District No. 1 - Radcliff Sewer Utility
Alternative Rate Filing Application</oddHeader>
    <oddFooter>&amp;C8/11/2023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B2:M23"/>
  <sheetViews>
    <sheetView topLeftCell="A2" zoomScale="145" zoomScaleNormal="145" zoomScaleSheetLayoutView="85" workbookViewId="0">
      <selection activeCell="E9" sqref="E9"/>
    </sheetView>
  </sheetViews>
  <sheetFormatPr defaultColWidth="9.1796875" defaultRowHeight="15" customHeight="1" x14ac:dyDescent="0.3"/>
  <cols>
    <col min="1" max="1" width="5.453125" style="36" customWidth="1"/>
    <col min="2" max="2" width="20.81640625" style="36" customWidth="1"/>
    <col min="3" max="3" width="14.81640625" style="36" bestFit="1" customWidth="1"/>
    <col min="4" max="7" width="13" style="36" customWidth="1"/>
    <col min="8" max="8" width="12.1796875" style="36" customWidth="1"/>
    <col min="9" max="16384" width="9.1796875" style="36"/>
  </cols>
  <sheetData>
    <row r="2" spans="2:7" ht="15" customHeight="1" x14ac:dyDescent="0.3">
      <c r="B2" s="35" t="s">
        <v>954</v>
      </c>
    </row>
    <row r="3" spans="2:7" ht="15" customHeight="1" x14ac:dyDescent="0.3">
      <c r="B3" s="36" t="s">
        <v>953</v>
      </c>
    </row>
    <row r="7" spans="2:7" ht="15" customHeight="1" x14ac:dyDescent="0.3">
      <c r="D7" s="37" t="s">
        <v>1692</v>
      </c>
      <c r="E7" s="37" t="s">
        <v>1693</v>
      </c>
    </row>
    <row r="8" spans="2:7" ht="21.75" customHeight="1" x14ac:dyDescent="0.6">
      <c r="B8" s="38" t="s">
        <v>962</v>
      </c>
      <c r="C8" s="38" t="s">
        <v>1665</v>
      </c>
      <c r="D8" s="39" t="s">
        <v>928</v>
      </c>
      <c r="E8" s="39" t="s">
        <v>928</v>
      </c>
      <c r="F8" s="39" t="s">
        <v>1668</v>
      </c>
      <c r="G8" s="39" t="s">
        <v>1669</v>
      </c>
    </row>
    <row r="9" spans="2:7" ht="15" customHeight="1" x14ac:dyDescent="0.3">
      <c r="B9" s="40" t="s">
        <v>1694</v>
      </c>
      <c r="C9" s="40" t="s">
        <v>1667</v>
      </c>
      <c r="D9" s="41">
        <v>19.63</v>
      </c>
      <c r="E9" s="41">
        <f>+ROUNDUP(D9*(1+'5 - Revenue Req (OR)'!$C$25),2)</f>
        <v>23.020000000000003</v>
      </c>
      <c r="F9" s="42">
        <f>+E9-D9</f>
        <v>3.3900000000000041</v>
      </c>
      <c r="G9" s="43">
        <f>+E9/D9-1</f>
        <v>0.17269485481406033</v>
      </c>
    </row>
    <row r="10" spans="2:7" ht="15" customHeight="1" x14ac:dyDescent="0.3">
      <c r="B10" s="40" t="s">
        <v>929</v>
      </c>
      <c r="C10" s="40" t="s">
        <v>1666</v>
      </c>
      <c r="D10" s="41">
        <v>6.4</v>
      </c>
      <c r="E10" s="41">
        <f>+ROUNDUP(D10*(1+'5 - Revenue Req (OR)'!$C$25),2)</f>
        <v>7.51</v>
      </c>
      <c r="F10" s="42">
        <f>+E10-D10</f>
        <v>1.1099999999999994</v>
      </c>
      <c r="G10" s="43">
        <f>+E10/D10-1</f>
        <v>0.17343749999999991</v>
      </c>
    </row>
    <row r="11" spans="2:7" ht="15" customHeight="1" x14ac:dyDescent="0.3">
      <c r="B11" s="40" t="s">
        <v>930</v>
      </c>
      <c r="C11" s="40" t="s">
        <v>1666</v>
      </c>
      <c r="D11" s="41">
        <v>5.76</v>
      </c>
      <c r="E11" s="41">
        <f>+ROUNDUP(D11*(1+'5 - Revenue Req (OR)'!$C$25),2)</f>
        <v>6.76</v>
      </c>
      <c r="F11" s="42">
        <f>+E11-D11</f>
        <v>1</v>
      </c>
      <c r="G11" s="43">
        <f>+E11/D11-1</f>
        <v>0.17361111111111116</v>
      </c>
    </row>
    <row r="23" spans="13:13" ht="15" customHeight="1" x14ac:dyDescent="0.3">
      <c r="M23" s="163"/>
    </row>
  </sheetData>
  <pageMargins left="0.7" right="0.7" top="0.75" bottom="0.75" header="0.3" footer="0.3"/>
  <pageSetup scale="97" orientation="portrait" blackAndWhite="1" r:id="rId1"/>
  <headerFooter>
    <oddHeader>&amp;CAttachment 3 - Current and Proposed Rates
Hardin County Water District No. 1 - Radcliff Sewer Utility
Alternative Rate Filing Application</oddHeader>
    <oddFooter>&amp;C8/11/2023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2:J37"/>
  <sheetViews>
    <sheetView zoomScale="115" zoomScaleNormal="115" zoomScaleSheetLayoutView="70" workbookViewId="0">
      <selection activeCell="D28" sqref="D28"/>
    </sheetView>
  </sheetViews>
  <sheetFormatPr defaultColWidth="9.1796875" defaultRowHeight="15" customHeight="1" x14ac:dyDescent="0.3"/>
  <cols>
    <col min="1" max="1" width="3.81640625" style="36" customWidth="1"/>
    <col min="2" max="2" width="47.26953125" style="36" customWidth="1"/>
    <col min="3" max="4" width="16.7265625" style="36" bestFit="1" customWidth="1"/>
    <col min="5" max="5" width="15.54296875" style="36" bestFit="1" customWidth="1"/>
    <col min="6" max="6" width="16.7265625" style="36" bestFit="1" customWidth="1"/>
    <col min="7" max="7" width="4.453125" style="36" customWidth="1"/>
    <col min="8" max="8" width="15" style="36" customWidth="1"/>
    <col min="9" max="9" width="13.7265625" style="36" customWidth="1"/>
    <col min="10" max="10" width="15.81640625" style="36" customWidth="1"/>
    <col min="11" max="16384" width="9.1796875" style="36"/>
  </cols>
  <sheetData>
    <row r="2" spans="2:10" ht="15" customHeight="1" x14ac:dyDescent="0.3">
      <c r="B2" s="35" t="s">
        <v>955</v>
      </c>
    </row>
    <row r="3" spans="2:10" ht="15" customHeight="1" x14ac:dyDescent="0.3">
      <c r="B3" s="36" t="s">
        <v>898</v>
      </c>
    </row>
    <row r="7" spans="2:10" ht="15" customHeight="1" x14ac:dyDescent="0.3">
      <c r="C7" s="46" t="s">
        <v>0</v>
      </c>
    </row>
    <row r="8" spans="2:10" ht="15" customHeight="1" x14ac:dyDescent="0.3">
      <c r="C8" s="46" t="s">
        <v>957</v>
      </c>
      <c r="H8" s="251"/>
      <c r="I8" s="251"/>
      <c r="J8" s="251"/>
    </row>
    <row r="9" spans="2:10" ht="22.5" customHeight="1" x14ac:dyDescent="0.6">
      <c r="B9" s="38" t="s">
        <v>962</v>
      </c>
      <c r="C9" s="47" t="s">
        <v>960</v>
      </c>
      <c r="D9" s="48" t="s">
        <v>22</v>
      </c>
      <c r="E9" s="48" t="s">
        <v>961</v>
      </c>
      <c r="F9" s="48" t="s">
        <v>909</v>
      </c>
      <c r="H9" s="44"/>
      <c r="I9" s="44"/>
      <c r="J9" s="44"/>
    </row>
    <row r="10" spans="2:10" ht="15" customHeight="1" x14ac:dyDescent="0.3">
      <c r="C10" s="49"/>
      <c r="D10" s="49"/>
      <c r="E10" s="49"/>
      <c r="F10" s="49"/>
      <c r="H10" s="44"/>
      <c r="I10" s="44"/>
      <c r="J10" s="44"/>
    </row>
    <row r="11" spans="2:10" ht="15" customHeight="1" x14ac:dyDescent="0.3">
      <c r="B11" s="50" t="s">
        <v>41</v>
      </c>
    </row>
    <row r="12" spans="2:10" ht="15" customHeight="1" x14ac:dyDescent="0.3">
      <c r="B12" s="51" t="s">
        <v>899</v>
      </c>
      <c r="E12" s="44"/>
    </row>
    <row r="13" spans="2:10" ht="15" customHeight="1" x14ac:dyDescent="0.3">
      <c r="B13" s="52" t="s">
        <v>900</v>
      </c>
      <c r="C13" s="53">
        <v>0</v>
      </c>
      <c r="D13" s="53">
        <v>0</v>
      </c>
      <c r="E13" s="44"/>
      <c r="F13" s="53">
        <f>C13+D13</f>
        <v>0</v>
      </c>
    </row>
    <row r="14" spans="2:10" ht="15" customHeight="1" x14ac:dyDescent="0.3">
      <c r="B14" s="52" t="s">
        <v>901</v>
      </c>
      <c r="C14" s="54">
        <f>+SUM('Ref A - Income Statement'!D13:D15)</f>
        <v>3754901.91</v>
      </c>
      <c r="D14" s="54">
        <f>+SUM('Ref A - Income Statement'!E13:E16)</f>
        <v>0</v>
      </c>
      <c r="E14" s="55"/>
      <c r="F14" s="54">
        <f>+C14+D14</f>
        <v>3754901.91</v>
      </c>
      <c r="H14" s="45"/>
      <c r="J14" s="44"/>
    </row>
    <row r="15" spans="2:10" ht="15" customHeight="1" x14ac:dyDescent="0.3">
      <c r="B15" s="52" t="s">
        <v>902</v>
      </c>
      <c r="C15" s="54">
        <v>0</v>
      </c>
      <c r="D15" s="54">
        <v>0</v>
      </c>
      <c r="E15" s="55"/>
      <c r="F15" s="54">
        <f t="shared" ref="F15:F17" si="0">C15+D15</f>
        <v>0</v>
      </c>
    </row>
    <row r="16" spans="2:10" ht="15" customHeight="1" x14ac:dyDescent="0.3">
      <c r="B16" s="52" t="s">
        <v>903</v>
      </c>
      <c r="C16" s="54">
        <v>0</v>
      </c>
      <c r="D16" s="54">
        <v>0</v>
      </c>
      <c r="E16" s="55"/>
      <c r="F16" s="54">
        <f t="shared" si="0"/>
        <v>0</v>
      </c>
    </row>
    <row r="17" spans="2:9" ht="15" customHeight="1" x14ac:dyDescent="0.3">
      <c r="B17" s="52" t="s">
        <v>904</v>
      </c>
      <c r="C17" s="54">
        <f>+SUM('Ref A - Income Statement'!D16,'Ref A - Income Statement'!D19)</f>
        <v>226950.27999999997</v>
      </c>
      <c r="D17" s="54">
        <f>+'Ref A - Income Statement'!E19</f>
        <v>0</v>
      </c>
      <c r="E17" s="55"/>
      <c r="F17" s="54">
        <f t="shared" si="0"/>
        <v>226950.27999999997</v>
      </c>
      <c r="H17" s="44"/>
    </row>
    <row r="18" spans="2:9" ht="15" customHeight="1" x14ac:dyDescent="0.3">
      <c r="B18" s="51" t="s">
        <v>905</v>
      </c>
      <c r="C18" s="56">
        <f>SUM(C13:C17)</f>
        <v>3981852.19</v>
      </c>
      <c r="D18" s="56">
        <f>SUM(D13:D17)</f>
        <v>0</v>
      </c>
      <c r="E18" s="44"/>
      <c r="F18" s="56">
        <f>SUM(F13:F17)</f>
        <v>3981852.19</v>
      </c>
    </row>
    <row r="19" spans="2:9" ht="15" customHeight="1" x14ac:dyDescent="0.3">
      <c r="B19" s="40"/>
      <c r="C19" s="53"/>
      <c r="D19" s="53"/>
      <c r="E19" s="44"/>
      <c r="F19" s="53"/>
    </row>
    <row r="20" spans="2:9" ht="15" customHeight="1" x14ac:dyDescent="0.3">
      <c r="B20" s="51" t="s">
        <v>915</v>
      </c>
      <c r="C20" s="53"/>
      <c r="D20" s="53"/>
      <c r="E20" s="44"/>
      <c r="F20" s="53"/>
    </row>
    <row r="21" spans="2:9" ht="15" customHeight="1" x14ac:dyDescent="0.3">
      <c r="B21" s="52" t="s">
        <v>906</v>
      </c>
      <c r="C21" s="53">
        <v>0</v>
      </c>
      <c r="D21" s="53">
        <v>0</v>
      </c>
      <c r="E21" s="44"/>
      <c r="F21" s="53">
        <f>C21+D21</f>
        <v>0</v>
      </c>
    </row>
    <row r="22" spans="2:9" ht="15" customHeight="1" x14ac:dyDescent="0.3">
      <c r="B22" s="52" t="s">
        <v>907</v>
      </c>
      <c r="C22" s="53">
        <f>+'Ref A - Income Statement'!D18</f>
        <v>8534.7099999999991</v>
      </c>
      <c r="D22" s="53">
        <f>+'Ref A - Income Statement'!E18</f>
        <v>0</v>
      </c>
      <c r="E22" s="44"/>
      <c r="F22" s="53">
        <f>C22+D22</f>
        <v>8534.7099999999991</v>
      </c>
      <c r="H22" s="44"/>
    </row>
    <row r="23" spans="2:9" ht="15" customHeight="1" x14ac:dyDescent="0.3">
      <c r="B23" s="51" t="s">
        <v>908</v>
      </c>
      <c r="C23" s="56">
        <f>SUM(C21:C22)</f>
        <v>8534.7099999999991</v>
      </c>
      <c r="D23" s="56">
        <f>SUM(D21:D22)</f>
        <v>0</v>
      </c>
      <c r="E23" s="44"/>
      <c r="F23" s="56">
        <f>SUM(F21:F22)</f>
        <v>8534.7099999999991</v>
      </c>
    </row>
    <row r="24" spans="2:9" ht="15" customHeight="1" x14ac:dyDescent="0.3">
      <c r="B24" s="40"/>
      <c r="C24" s="53"/>
      <c r="D24" s="53"/>
      <c r="E24" s="44"/>
      <c r="F24" s="53"/>
    </row>
    <row r="25" spans="2:9" ht="15" customHeight="1" x14ac:dyDescent="0.3">
      <c r="B25" s="57" t="s">
        <v>220</v>
      </c>
      <c r="C25" s="58">
        <f>C23+C18</f>
        <v>3990386.9</v>
      </c>
      <c r="D25" s="58">
        <f>D23+D18</f>
        <v>0</v>
      </c>
      <c r="E25" s="44"/>
      <c r="F25" s="58">
        <f>F23+F18</f>
        <v>3990386.9</v>
      </c>
    </row>
    <row r="26" spans="2:9" ht="15" customHeight="1" x14ac:dyDescent="0.3">
      <c r="B26" s="40"/>
      <c r="C26" s="53"/>
      <c r="D26" s="53"/>
      <c r="E26" s="44"/>
      <c r="F26" s="53"/>
    </row>
    <row r="27" spans="2:9" ht="15" customHeight="1" x14ac:dyDescent="0.3">
      <c r="B27" s="50" t="s">
        <v>1</v>
      </c>
      <c r="C27" s="53"/>
      <c r="D27" s="53"/>
      <c r="E27" s="44"/>
      <c r="F27" s="53"/>
    </row>
    <row r="28" spans="2:9" ht="15" customHeight="1" x14ac:dyDescent="0.3">
      <c r="B28" s="51" t="s">
        <v>910</v>
      </c>
      <c r="C28" s="53">
        <f>+'Ref A - Income Statement'!D56</f>
        <v>2203583.2200000011</v>
      </c>
      <c r="D28" s="53">
        <f>+'Ref A - Income Statement'!E56</f>
        <v>390191.83730707283</v>
      </c>
      <c r="E28" s="44" t="s">
        <v>197</v>
      </c>
      <c r="F28" s="53">
        <f>C28+D28</f>
        <v>2593775.0573070738</v>
      </c>
      <c r="H28" s="44"/>
      <c r="I28" s="44"/>
    </row>
    <row r="29" spans="2:9" ht="15" customHeight="1" x14ac:dyDescent="0.3">
      <c r="B29" s="51" t="s">
        <v>196</v>
      </c>
      <c r="C29" s="53">
        <f>+'Ref A - Income Statement'!D60</f>
        <v>1582405.07</v>
      </c>
      <c r="D29" s="53">
        <f>+'Ref A - Income Statement'!E60</f>
        <v>94234.933956277513</v>
      </c>
      <c r="E29" s="44" t="s">
        <v>198</v>
      </c>
      <c r="F29" s="53">
        <f>C29+D29</f>
        <v>1676640.0039562776</v>
      </c>
      <c r="H29" s="44"/>
      <c r="I29" s="44"/>
    </row>
    <row r="30" spans="2:9" ht="15" customHeight="1" x14ac:dyDescent="0.3">
      <c r="B30" s="51" t="s">
        <v>911</v>
      </c>
      <c r="C30" s="53">
        <v>0</v>
      </c>
      <c r="D30" s="53">
        <v>0</v>
      </c>
      <c r="E30" s="44"/>
      <c r="F30" s="53">
        <f>C30+D30</f>
        <v>0</v>
      </c>
    </row>
    <row r="31" spans="2:9" ht="15" customHeight="1" x14ac:dyDescent="0.3">
      <c r="B31" s="51" t="s">
        <v>912</v>
      </c>
      <c r="C31" s="53">
        <v>0</v>
      </c>
      <c r="D31" s="53">
        <v>0</v>
      </c>
      <c r="E31" s="44"/>
      <c r="F31" s="53">
        <f>C31+D31</f>
        <v>0</v>
      </c>
    </row>
    <row r="32" spans="2:9" ht="15" customHeight="1" x14ac:dyDescent="0.3">
      <c r="B32" s="51" t="s">
        <v>913</v>
      </c>
      <c r="C32" s="53">
        <v>0</v>
      </c>
      <c r="D32" s="53">
        <v>0</v>
      </c>
      <c r="E32" s="44"/>
      <c r="F32" s="53">
        <f>C32+D32</f>
        <v>0</v>
      </c>
    </row>
    <row r="33" spans="2:6" ht="15" customHeight="1" x14ac:dyDescent="0.3">
      <c r="B33" s="57" t="s">
        <v>20</v>
      </c>
      <c r="C33" s="59">
        <f>SUM(C28:C32)</f>
        <v>3785988.290000001</v>
      </c>
      <c r="D33" s="59">
        <f>SUM(D28:D32)</f>
        <v>484426.77126335033</v>
      </c>
      <c r="E33" s="46"/>
      <c r="F33" s="59">
        <f>SUM(F28:F32)</f>
        <v>4270415.0612633517</v>
      </c>
    </row>
    <row r="34" spans="2:6" ht="15" customHeight="1" x14ac:dyDescent="0.3">
      <c r="B34" s="57"/>
      <c r="C34" s="53"/>
      <c r="D34" s="53"/>
      <c r="F34" s="53"/>
    </row>
    <row r="35" spans="2:6" ht="15" customHeight="1" x14ac:dyDescent="0.3">
      <c r="B35" s="57" t="s">
        <v>914</v>
      </c>
      <c r="C35" s="58">
        <f>C25-C33</f>
        <v>204398.60999999894</v>
      </c>
      <c r="D35" s="58">
        <f>D25-D33</f>
        <v>-484426.77126335033</v>
      </c>
      <c r="F35" s="58">
        <f>F25-F33</f>
        <v>-280028.16126335179</v>
      </c>
    </row>
    <row r="37" spans="2:6" ht="15" customHeight="1" x14ac:dyDescent="0.3">
      <c r="B37" s="35"/>
    </row>
  </sheetData>
  <mergeCells count="1">
    <mergeCell ref="H8:J8"/>
  </mergeCells>
  <pageMargins left="0.7" right="0.7" top="0.75" bottom="0.75" header="0.3" footer="0.3"/>
  <pageSetup scale="54" orientation="portrait" blackAndWhite="1" r:id="rId1"/>
  <headerFooter>
    <oddHeader>&amp;CAttachment 4 - Statement of Adjusted Operations (SAO)
Hardin County Water District No. 1 - Radcliff Sewer Utility
Alternative Rate Filing Application</oddHeader>
    <oddFooter>&amp;C8/11/2023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79998168889431442"/>
    <pageSetUpPr fitToPage="1"/>
  </sheetPr>
  <dimension ref="B2:N103"/>
  <sheetViews>
    <sheetView topLeftCell="A12" zoomScaleNormal="100" zoomScaleSheetLayoutView="55" zoomScalePageLayoutView="70" workbookViewId="0">
      <selection activeCell="E33" sqref="E33"/>
    </sheetView>
  </sheetViews>
  <sheetFormatPr defaultColWidth="8.7265625" defaultRowHeight="15" customHeight="1" outlineLevelRow="1" x14ac:dyDescent="0.3"/>
  <cols>
    <col min="1" max="1" width="3.453125" style="36" customWidth="1"/>
    <col min="2" max="2" width="4.81640625" style="36" customWidth="1"/>
    <col min="3" max="3" width="33.26953125" style="36" customWidth="1"/>
    <col min="4" max="4" width="21.26953125" style="53" bestFit="1" customWidth="1"/>
    <col min="5" max="5" width="16.453125" style="53" bestFit="1" customWidth="1"/>
    <col min="6" max="6" width="16.26953125" style="53" customWidth="1"/>
    <col min="7" max="7" width="33.453125" style="53" customWidth="1"/>
    <col min="8" max="8" width="2.54296875" style="36" customWidth="1"/>
    <col min="9" max="9" width="17.1796875" style="36" customWidth="1"/>
    <col min="10" max="10" width="15.26953125" style="36" customWidth="1"/>
    <col min="11" max="11" width="13.81640625" style="36" customWidth="1"/>
    <col min="12" max="12" width="15.54296875" style="36" bestFit="1" customWidth="1"/>
    <col min="13" max="16384" width="8.7265625" style="36"/>
  </cols>
  <sheetData>
    <row r="2" spans="2:14" ht="15" customHeight="1" x14ac:dyDescent="0.3">
      <c r="B2" s="35" t="s">
        <v>1671</v>
      </c>
    </row>
    <row r="3" spans="2:14" ht="15" customHeight="1" x14ac:dyDescent="0.3">
      <c r="B3" s="36" t="s">
        <v>898</v>
      </c>
      <c r="H3" s="53"/>
      <c r="I3" s="53"/>
      <c r="J3" s="53"/>
      <c r="K3" s="53"/>
      <c r="L3" s="53"/>
      <c r="M3" s="53"/>
      <c r="N3" s="53"/>
    </row>
    <row r="4" spans="2:14" ht="15" customHeight="1" x14ac:dyDescent="0.3">
      <c r="B4" s="36" t="s">
        <v>973</v>
      </c>
      <c r="D4" s="36"/>
    </row>
    <row r="5" spans="2:14" ht="15" customHeight="1" x14ac:dyDescent="0.3">
      <c r="D5" s="36"/>
    </row>
    <row r="6" spans="2:14" ht="15" customHeight="1" x14ac:dyDescent="0.3">
      <c r="D6" s="36"/>
    </row>
    <row r="7" spans="2:14" ht="15" customHeight="1" x14ac:dyDescent="0.3">
      <c r="D7" s="36"/>
    </row>
    <row r="8" spans="2:14" ht="15" customHeight="1" x14ac:dyDescent="0.3">
      <c r="D8" s="46" t="s">
        <v>0</v>
      </c>
      <c r="E8" s="46"/>
      <c r="F8" s="60"/>
      <c r="G8" s="46"/>
    </row>
    <row r="9" spans="2:14" ht="15" customHeight="1" x14ac:dyDescent="0.3">
      <c r="C9" s="46"/>
      <c r="D9" s="46" t="s">
        <v>957</v>
      </c>
      <c r="E9" s="46"/>
      <c r="F9" s="61"/>
      <c r="G9" s="46"/>
    </row>
    <row r="10" spans="2:14" ht="20.25" customHeight="1" x14ac:dyDescent="0.6">
      <c r="B10" s="253" t="s">
        <v>962</v>
      </c>
      <c r="C10" s="253"/>
      <c r="D10" s="47" t="s">
        <v>960</v>
      </c>
      <c r="E10" s="47" t="s">
        <v>22</v>
      </c>
      <c r="F10" s="62" t="s">
        <v>958</v>
      </c>
      <c r="G10" s="47" t="s">
        <v>959</v>
      </c>
    </row>
    <row r="11" spans="2:14" ht="15" customHeight="1" x14ac:dyDescent="0.3">
      <c r="D11" s="60"/>
      <c r="E11" s="60"/>
      <c r="F11" s="60"/>
      <c r="G11" s="60"/>
    </row>
    <row r="12" spans="2:14" ht="15" customHeight="1" x14ac:dyDescent="0.3">
      <c r="B12" s="63" t="s">
        <v>216</v>
      </c>
    </row>
    <row r="13" spans="2:14" ht="15" customHeight="1" x14ac:dyDescent="0.3">
      <c r="B13" s="51" t="s">
        <v>850</v>
      </c>
      <c r="D13" s="53">
        <f>+SUMIFS('Adj B - P'!N:N,'Adj B - P'!$Q:$Q,'Ref A - Income Statement'!$B13)</f>
        <v>3021157.18</v>
      </c>
      <c r="F13" s="41"/>
      <c r="G13" s="53">
        <f t="shared" ref="G13:G19" si="0">+D13</f>
        <v>3021157.18</v>
      </c>
    </row>
    <row r="14" spans="2:14" ht="15" customHeight="1" x14ac:dyDescent="0.3">
      <c r="B14" s="51" t="s">
        <v>853</v>
      </c>
      <c r="D14" s="54">
        <f>+SUMIFS('Adj B - P'!N:N,'Adj B - P'!$Q:$Q,'Ref A - Income Statement'!$B14)</f>
        <v>456073.11</v>
      </c>
      <c r="E14" s="54"/>
      <c r="F14" s="41"/>
      <c r="G14" s="54">
        <f t="shared" si="0"/>
        <v>456073.11</v>
      </c>
    </row>
    <row r="15" spans="2:14" ht="15" customHeight="1" x14ac:dyDescent="0.3">
      <c r="B15" s="51" t="s">
        <v>847</v>
      </c>
      <c r="D15" s="54">
        <f>+SUMIFS('Adj B - P'!N:N,'Adj B - P'!$Q:$Q,'Ref A - Income Statement'!$B15)</f>
        <v>277671.62</v>
      </c>
      <c r="E15" s="54"/>
      <c r="F15" s="41"/>
      <c r="G15" s="54">
        <f t="shared" si="0"/>
        <v>277671.62</v>
      </c>
    </row>
    <row r="16" spans="2:14" ht="15" customHeight="1" x14ac:dyDescent="0.3">
      <c r="B16" s="51" t="s">
        <v>860</v>
      </c>
      <c r="D16" s="54">
        <f>+SUMIFS('Adj B - P'!N:N,'Adj B - P'!$Q:$Q,'Ref A - Income Statement'!$B16)</f>
        <v>1038.74</v>
      </c>
      <c r="E16" s="54"/>
      <c r="F16" s="41"/>
      <c r="G16" s="54">
        <f t="shared" si="0"/>
        <v>1038.74</v>
      </c>
    </row>
    <row r="17" spans="2:7" ht="15" customHeight="1" x14ac:dyDescent="0.3">
      <c r="B17" s="51" t="s">
        <v>233</v>
      </c>
      <c r="D17" s="54">
        <f>+SUMIFS('Adj B - P'!N:N,'Adj B - P'!$Q:$Q,'Ref A - Income Statement'!$B17)</f>
        <v>0</v>
      </c>
      <c r="E17" s="54"/>
      <c r="F17" s="41"/>
      <c r="G17" s="54">
        <f t="shared" si="0"/>
        <v>0</v>
      </c>
    </row>
    <row r="18" spans="2:7" ht="15" customHeight="1" x14ac:dyDescent="0.3">
      <c r="B18" s="51" t="s">
        <v>234</v>
      </c>
      <c r="D18" s="54">
        <f>+SUMIFS('Adj B - P'!N:N,'Adj B - P'!$Q:$Q,'Ref A - Income Statement'!$B18)</f>
        <v>8534.7099999999991</v>
      </c>
      <c r="E18" s="54"/>
      <c r="F18" s="41"/>
      <c r="G18" s="54">
        <f t="shared" si="0"/>
        <v>8534.7099999999991</v>
      </c>
    </row>
    <row r="19" spans="2:7" ht="15" customHeight="1" x14ac:dyDescent="0.3">
      <c r="B19" s="51" t="s">
        <v>936</v>
      </c>
      <c r="D19" s="54">
        <f>+SUMIFS('Adj B - P'!N:N,'Adj B - P'!$Q:$Q,'Ref A - Income Statement'!$B19)</f>
        <v>225911.53999999998</v>
      </c>
      <c r="E19" s="54"/>
      <c r="F19" s="41"/>
      <c r="G19" s="54">
        <f t="shared" si="0"/>
        <v>225911.53999999998</v>
      </c>
    </row>
    <row r="20" spans="2:7" ht="15" customHeight="1" x14ac:dyDescent="0.3">
      <c r="B20" s="64" t="s">
        <v>220</v>
      </c>
      <c r="D20" s="56">
        <f>+SUM(D13:D19)</f>
        <v>3990386.9000000004</v>
      </c>
      <c r="E20" s="56">
        <f>+SUM(E13:E19)</f>
        <v>0</v>
      </c>
      <c r="F20" s="65"/>
      <c r="G20" s="56">
        <f>+SUM(G13:G19)</f>
        <v>3990386.9000000004</v>
      </c>
    </row>
    <row r="21" spans="2:7" ht="15" customHeight="1" x14ac:dyDescent="0.3">
      <c r="B21" s="40"/>
      <c r="F21" s="41"/>
      <c r="G21" s="41"/>
    </row>
    <row r="22" spans="2:7" ht="15" customHeight="1" x14ac:dyDescent="0.3">
      <c r="B22" s="63" t="s">
        <v>1</v>
      </c>
      <c r="F22" s="41"/>
      <c r="G22" s="41"/>
    </row>
    <row r="23" spans="2:7" ht="15" customHeight="1" x14ac:dyDescent="0.3">
      <c r="B23" s="51" t="s">
        <v>222</v>
      </c>
      <c r="D23" s="66">
        <f>+SUMIFS('Adj B - P'!N:N,'Adj B - P'!$Q:$Q,'Ref A - Income Statement'!$B23)</f>
        <v>247837.99000000002</v>
      </c>
      <c r="E23" s="66">
        <f>'Adj A'!X14</f>
        <v>5474.8367852361698</v>
      </c>
      <c r="F23" s="67" t="s">
        <v>197</v>
      </c>
      <c r="G23" s="66">
        <f t="shared" ref="G23:G55" si="1">D23+E23</f>
        <v>253312.82678523619</v>
      </c>
    </row>
    <row r="24" spans="2:7" ht="15" customHeight="1" x14ac:dyDescent="0.3">
      <c r="B24" s="51" t="s">
        <v>2</v>
      </c>
      <c r="D24" s="69">
        <f>+SUMIFS('Adj B - P'!N:N,'Adj B - P'!$Q:$Q,'Ref A - Income Statement'!$B24)</f>
        <v>537164.75</v>
      </c>
      <c r="E24" s="69">
        <f>'Adj A'!X15</f>
        <v>140537.4939407265</v>
      </c>
      <c r="F24" s="67" t="s">
        <v>197</v>
      </c>
      <c r="G24" s="69">
        <f t="shared" si="1"/>
        <v>677702.2439407265</v>
      </c>
    </row>
    <row r="25" spans="2:7" ht="15" customHeight="1" x14ac:dyDescent="0.3">
      <c r="B25" s="51" t="s">
        <v>3</v>
      </c>
      <c r="D25" s="69">
        <f>+SUMIFS('Adj B - P'!N:N,'Adj B - P'!$Q:$Q,'Ref A - Income Statement'!$B25)</f>
        <v>195854.56</v>
      </c>
      <c r="E25" s="69">
        <f>'Adj A'!X16</f>
        <v>34525.328414763353</v>
      </c>
      <c r="F25" s="67" t="s">
        <v>197</v>
      </c>
      <c r="G25" s="69">
        <f t="shared" si="1"/>
        <v>230379.88841476335</v>
      </c>
    </row>
    <row r="26" spans="2:7" ht="15" customHeight="1" x14ac:dyDescent="0.3">
      <c r="B26" s="51" t="s">
        <v>158</v>
      </c>
      <c r="D26" s="69">
        <f>+SUMIFS('Adj B - P'!N:N,'Adj B - P'!$Q:$Q,'Ref A - Income Statement'!$B26)</f>
        <v>62274.529999999992</v>
      </c>
      <c r="E26" s="69">
        <f>'Adj A'!X17</f>
        <v>8399.1493777787327</v>
      </c>
      <c r="F26" s="67" t="s">
        <v>197</v>
      </c>
      <c r="G26" s="69">
        <f t="shared" si="1"/>
        <v>70673.679377778724</v>
      </c>
    </row>
    <row r="27" spans="2:7" ht="15" customHeight="1" x14ac:dyDescent="0.3">
      <c r="B27" s="51" t="s">
        <v>4</v>
      </c>
      <c r="D27" s="69">
        <f>+SUMIFS('Adj B - P'!N:N,'Adj B - P'!$Q:$Q,'Ref A - Income Statement'!$B27)</f>
        <v>126086.22</v>
      </c>
      <c r="E27" s="69">
        <f>'Adj A'!X18</f>
        <v>72838.42733436558</v>
      </c>
      <c r="F27" s="67" t="s">
        <v>197</v>
      </c>
      <c r="G27" s="69">
        <f t="shared" si="1"/>
        <v>198924.64733436558</v>
      </c>
    </row>
    <row r="28" spans="2:7" ht="15" customHeight="1" x14ac:dyDescent="0.3">
      <c r="B28" s="51" t="s">
        <v>5</v>
      </c>
      <c r="D28" s="69">
        <f>+SUMIFS('Adj B - P'!N:N,'Adj B - P'!$Q:$Q,'Ref A - Income Statement'!$B28)</f>
        <v>10274.59</v>
      </c>
      <c r="E28" s="69">
        <v>0</v>
      </c>
      <c r="F28" s="67"/>
      <c r="G28" s="69">
        <f t="shared" si="1"/>
        <v>10274.59</v>
      </c>
    </row>
    <row r="29" spans="2:7" ht="15" customHeight="1" x14ac:dyDescent="0.3">
      <c r="B29" s="51" t="s">
        <v>6</v>
      </c>
      <c r="D29" s="69">
        <f>+SUMIFS('Adj B - P'!N:N,'Adj B - P'!$Q:$Q,'Ref A - Income Statement'!$B29)</f>
        <v>4690.09</v>
      </c>
      <c r="E29" s="69">
        <f>+'Adj A'!X21</f>
        <v>-2974.7381200000009</v>
      </c>
      <c r="F29" s="67" t="s">
        <v>197</v>
      </c>
      <c r="G29" s="69">
        <f t="shared" si="1"/>
        <v>1715.3518799999993</v>
      </c>
    </row>
    <row r="30" spans="2:7" ht="15" customHeight="1" x14ac:dyDescent="0.3">
      <c r="B30" s="70" t="s">
        <v>7</v>
      </c>
      <c r="D30" s="69">
        <f>+SUMIFS('Adj B - P'!N:N,'Adj B - P'!$Q:$Q,'Ref A - Income Statement'!$B30)</f>
        <v>20855.57</v>
      </c>
      <c r="E30" s="69">
        <f>+SUMIFS('Adj B - P'!P:P,'Adj B - P'!$Q:$Q,'Ref A - Income Statement'!$B30)-D30</f>
        <v>1344.4300000000003</v>
      </c>
      <c r="F30" s="67" t="s">
        <v>198</v>
      </c>
      <c r="G30" s="69">
        <f t="shared" si="1"/>
        <v>22200</v>
      </c>
    </row>
    <row r="31" spans="2:7" ht="15" customHeight="1" x14ac:dyDescent="0.3">
      <c r="B31" s="70" t="s">
        <v>13</v>
      </c>
      <c r="D31" s="69">
        <f>+SUMIFS('Adj B - P'!N:N,'Adj B - P'!$Q:$Q,'Ref A - Income Statement'!$B31)</f>
        <v>262456.71000000002</v>
      </c>
      <c r="E31" s="69">
        <f>+SUMIFS('Adj B - P'!P:P,'Adj B - P'!$Q:$Q,'Ref A - Income Statement'!$B31)-D31</f>
        <v>-25756.710000000021</v>
      </c>
      <c r="F31" s="67" t="s">
        <v>199</v>
      </c>
      <c r="G31" s="69">
        <f t="shared" si="1"/>
        <v>236700</v>
      </c>
    </row>
    <row r="32" spans="2:7" ht="15" customHeight="1" x14ac:dyDescent="0.3">
      <c r="B32" s="70" t="s">
        <v>223</v>
      </c>
      <c r="D32" s="69">
        <f>+SUMIFS('Adj B - P'!N:N,'Adj B - P'!$Q:$Q,'Ref A - Income Statement'!$B32)</f>
        <v>28540.05</v>
      </c>
      <c r="E32" s="69">
        <f>+SUMIFS('Adj B - P'!P:P,'Adj B - P'!$Q:$Q,'Ref A - Income Statement'!$B32)-D32</f>
        <v>2959.9500000000007</v>
      </c>
      <c r="F32" s="67" t="s">
        <v>200</v>
      </c>
      <c r="G32" s="69">
        <f t="shared" si="1"/>
        <v>31500</v>
      </c>
    </row>
    <row r="33" spans="2:7" ht="15" customHeight="1" x14ac:dyDescent="0.3">
      <c r="B33" s="70" t="s">
        <v>160</v>
      </c>
      <c r="D33" s="69">
        <f>+SUMIFS('Adj B - P'!N:N,'Adj B - P'!$Q:$Q,'Ref A - Income Statement'!$B33)</f>
        <v>15919.1</v>
      </c>
      <c r="E33" s="69">
        <f>+SUMIFS('Adj B - P'!P:P,'Adj B - P'!$Q:$Q,'Ref A - Income Statement'!$B33)-D33</f>
        <v>1380.8999999999996</v>
      </c>
      <c r="F33" s="67" t="s">
        <v>931</v>
      </c>
      <c r="G33" s="69">
        <f t="shared" si="1"/>
        <v>17300</v>
      </c>
    </row>
    <row r="34" spans="2:7" ht="15" customHeight="1" x14ac:dyDescent="0.3">
      <c r="B34" s="70" t="s">
        <v>224</v>
      </c>
      <c r="D34" s="69">
        <f>+SUMIFS('Adj B - P'!N:N,'Adj B - P'!$Q:$Q,'Ref A - Income Statement'!$B34)</f>
        <v>90678.6</v>
      </c>
      <c r="E34" s="69">
        <f>+SUMIFS('Adj B - P'!P:P,'Adj B - P'!$Q:$Q,'Ref A - Income Statement'!$B34)-D34</f>
        <v>93819.4</v>
      </c>
      <c r="F34" s="67" t="s">
        <v>932</v>
      </c>
      <c r="G34" s="69">
        <f t="shared" si="1"/>
        <v>184498</v>
      </c>
    </row>
    <row r="35" spans="2:7" ht="15" customHeight="1" x14ac:dyDescent="0.3">
      <c r="B35" s="70" t="s">
        <v>25</v>
      </c>
      <c r="D35" s="69">
        <f>+SUMIFS('Adj B - P'!N:N,'Adj B - P'!$Q:$Q,'Ref A - Income Statement'!$B35)</f>
        <v>63451.100000000006</v>
      </c>
      <c r="E35" s="69">
        <f>+SUMIFS('Adj B - P'!P:P,'Adj B - P'!$Q:$Q,'Ref A - Income Statement'!$B35)-D35</f>
        <v>24748.899999999994</v>
      </c>
      <c r="F35" s="67" t="s">
        <v>933</v>
      </c>
      <c r="G35" s="69">
        <f t="shared" si="1"/>
        <v>88200</v>
      </c>
    </row>
    <row r="36" spans="2:7" ht="15" customHeight="1" x14ac:dyDescent="0.3">
      <c r="B36" s="70" t="s">
        <v>225</v>
      </c>
      <c r="D36" s="69">
        <f>+SUMIFS('Adj B - P'!N:N,'Adj B - P'!$Q:$Q,'Ref A - Income Statement'!$B36)</f>
        <v>1320.47</v>
      </c>
      <c r="E36" s="69">
        <v>0</v>
      </c>
      <c r="F36" s="67"/>
      <c r="G36" s="69">
        <f t="shared" si="1"/>
        <v>1320.47</v>
      </c>
    </row>
    <row r="37" spans="2:7" ht="15" customHeight="1" x14ac:dyDescent="0.3">
      <c r="B37" s="70" t="s">
        <v>226</v>
      </c>
      <c r="D37" s="69">
        <f>+SUMIFS('Adj B - P'!N:N,'Adj B - P'!$Q:$Q,'Ref A - Income Statement'!$B37)</f>
        <v>15471.559999999998</v>
      </c>
      <c r="E37" s="69">
        <v>0</v>
      </c>
      <c r="F37" s="67"/>
      <c r="G37" s="69">
        <f t="shared" si="1"/>
        <v>15471.559999999998</v>
      </c>
    </row>
    <row r="38" spans="2:7" ht="15" customHeight="1" x14ac:dyDescent="0.3">
      <c r="B38" s="70" t="s">
        <v>14</v>
      </c>
      <c r="D38" s="69">
        <f>+SUMIFS('Adj B - P'!N:N,'Adj B - P'!$Q:$Q,'Ref A - Income Statement'!$B38)</f>
        <v>42513.85</v>
      </c>
      <c r="E38" s="69">
        <v>0</v>
      </c>
      <c r="F38" s="67"/>
      <c r="G38" s="69">
        <f t="shared" si="1"/>
        <v>42513.85</v>
      </c>
    </row>
    <row r="39" spans="2:7" ht="15" customHeight="1" x14ac:dyDescent="0.3">
      <c r="B39" s="70" t="s">
        <v>227</v>
      </c>
      <c r="D39" s="69">
        <f>+SUMIFS('Adj B - P'!N:N,'Adj B - P'!$Q:$Q,'Ref A - Income Statement'!$B39)</f>
        <v>6822.34</v>
      </c>
      <c r="E39" s="69">
        <v>0</v>
      </c>
      <c r="F39" s="67"/>
      <c r="G39" s="69">
        <f t="shared" si="1"/>
        <v>6822.34</v>
      </c>
    </row>
    <row r="40" spans="2:7" ht="15" customHeight="1" x14ac:dyDescent="0.3">
      <c r="B40" s="70" t="s">
        <v>228</v>
      </c>
      <c r="D40" s="69">
        <f>+SUMIFS('Adj B - P'!N:N,'Adj B - P'!$Q:$Q,'Ref A - Income Statement'!$B40)</f>
        <v>20760.010000000002</v>
      </c>
      <c r="E40" s="69">
        <f>+SUMIFS('Adj B - P'!P:P,'Adj B - P'!$Q:$Q,'Ref A - Income Statement'!$B40)-D40</f>
        <v>7139.989999999998</v>
      </c>
      <c r="F40" s="67" t="s">
        <v>934</v>
      </c>
      <c r="G40" s="69">
        <f t="shared" si="1"/>
        <v>27900</v>
      </c>
    </row>
    <row r="41" spans="2:7" ht="15" customHeight="1" x14ac:dyDescent="0.3">
      <c r="B41" s="70" t="s">
        <v>19</v>
      </c>
      <c r="D41" s="69">
        <f>+SUMIFS('Adj B - P'!N:N,'Adj B - P'!$Q:$Q,'Ref A - Income Statement'!$B41)</f>
        <v>401969.4</v>
      </c>
      <c r="E41" s="69">
        <f>+SUMIFS('Adj B - P'!P:P,'Adj B - P'!$Q:$Q,'Ref A - Income Statement'!$B41)-D41</f>
        <v>12410.282099999953</v>
      </c>
      <c r="F41" s="67" t="s">
        <v>935</v>
      </c>
      <c r="G41" s="69">
        <f>D41+E41</f>
        <v>414379.68209999998</v>
      </c>
    </row>
    <row r="42" spans="2:7" ht="15" customHeight="1" x14ac:dyDescent="0.3">
      <c r="B42" s="70" t="s">
        <v>10</v>
      </c>
      <c r="D42" s="69">
        <f>+SUMIFS('Adj B - P'!N:N,'Adj B - P'!$Q:$Q,'Ref A - Income Statement'!$B42)</f>
        <v>37017.68</v>
      </c>
      <c r="E42" s="69">
        <f>+SUMIFS('Adj B - P'!P:P,'Adj B - P'!$Q:$Q,'Ref A - Income Statement'!$B42)-D42</f>
        <v>12282.32</v>
      </c>
      <c r="F42" s="67" t="s">
        <v>938</v>
      </c>
      <c r="G42" s="69">
        <f t="shared" si="1"/>
        <v>49300</v>
      </c>
    </row>
    <row r="43" spans="2:7" ht="15" customHeight="1" x14ac:dyDescent="0.3">
      <c r="B43" s="70" t="s">
        <v>11</v>
      </c>
      <c r="D43" s="69">
        <f>+SUMIFS('Adj B - P'!N:N,'Adj B - P'!$Q:$Q,'Ref A - Income Statement'!$B43)</f>
        <v>2446.77</v>
      </c>
      <c r="E43" s="69">
        <v>0</v>
      </c>
      <c r="F43" s="67"/>
      <c r="G43" s="69">
        <f t="shared" si="1"/>
        <v>2446.77</v>
      </c>
    </row>
    <row r="44" spans="2:7" ht="15" customHeight="1" x14ac:dyDescent="0.3">
      <c r="B44" s="70" t="s">
        <v>229</v>
      </c>
      <c r="D44" s="69">
        <f>+SUMIFS('Adj B - P'!N:N,'Adj B - P'!$Q:$Q,'Ref A - Income Statement'!$B44)</f>
        <v>4654.2800000000007</v>
      </c>
      <c r="E44" s="69">
        <v>0</v>
      </c>
      <c r="F44" s="67"/>
      <c r="G44" s="69">
        <f t="shared" si="1"/>
        <v>4654.2800000000007</v>
      </c>
    </row>
    <row r="45" spans="2:7" ht="15" customHeight="1" x14ac:dyDescent="0.3">
      <c r="B45" s="70" t="s">
        <v>230</v>
      </c>
      <c r="D45" s="69">
        <f>+SUMIFS('Adj B - P'!N:N,'Adj B - P'!$Q:$Q,'Ref A - Income Statement'!$B45)</f>
        <v>11024.72</v>
      </c>
      <c r="E45" s="69">
        <v>0</v>
      </c>
      <c r="F45" s="67"/>
      <c r="G45" s="69">
        <f t="shared" si="1"/>
        <v>11024.72</v>
      </c>
    </row>
    <row r="46" spans="2:7" ht="15" customHeight="1" x14ac:dyDescent="0.3">
      <c r="B46" s="70" t="s">
        <v>15</v>
      </c>
      <c r="D46" s="69">
        <f>+SUMIFS('Adj B - P'!N:N,'Adj B - P'!$Q:$Q,'Ref A - Income Statement'!$B46)</f>
        <v>144</v>
      </c>
      <c r="E46" s="69">
        <v>0</v>
      </c>
      <c r="F46" s="67"/>
      <c r="G46" s="69">
        <f t="shared" si="1"/>
        <v>144</v>
      </c>
    </row>
    <row r="47" spans="2:7" ht="15" customHeight="1" x14ac:dyDescent="0.3">
      <c r="B47" s="70" t="s">
        <v>17</v>
      </c>
      <c r="D47" s="69">
        <f>+SUMIFS('Adj B - P'!N:N,'Adj B - P'!$Q:$Q,'Ref A - Income Statement'!$B47)</f>
        <v>2250</v>
      </c>
      <c r="E47" s="69">
        <v>0</v>
      </c>
      <c r="F47" s="67"/>
      <c r="G47" s="69">
        <f t="shared" si="1"/>
        <v>2250</v>
      </c>
    </row>
    <row r="48" spans="2:7" ht="15" customHeight="1" x14ac:dyDescent="0.3">
      <c r="B48" s="70" t="s">
        <v>202</v>
      </c>
      <c r="D48" s="69">
        <f>+SUMIFS('Adj B - P'!N:N,'Adj B - P'!$Q:$Q,'Ref A - Income Statement'!$B48)</f>
        <v>3594.64</v>
      </c>
      <c r="E48" s="69">
        <f>+SUMIFS('Adj B - P'!P:P,'Adj B - P'!$Q:$Q,'Ref A - Income Statement'!$B48)-D48</f>
        <v>2705.36</v>
      </c>
      <c r="F48" s="67" t="s">
        <v>939</v>
      </c>
      <c r="G48" s="69">
        <f t="shared" si="1"/>
        <v>6300</v>
      </c>
    </row>
    <row r="49" spans="2:10" ht="15" customHeight="1" x14ac:dyDescent="0.3">
      <c r="B49" s="70" t="s">
        <v>8</v>
      </c>
      <c r="D49" s="69">
        <f>+SUMIFS('Adj B - P'!N:N,'Adj B - P'!$Q:$Q,'Ref A - Income Statement'!$B49)</f>
        <v>8553.89</v>
      </c>
      <c r="E49" s="69">
        <v>0</v>
      </c>
      <c r="F49" s="67"/>
      <c r="G49" s="69">
        <f t="shared" si="1"/>
        <v>8553.89</v>
      </c>
    </row>
    <row r="50" spans="2:10" ht="15" customHeight="1" x14ac:dyDescent="0.3">
      <c r="B50" s="70" t="s">
        <v>9</v>
      </c>
      <c r="D50" s="69">
        <f>+SUMIFS('Adj B - P'!N:N,'Adj B - P'!$Q:$Q,'Ref A - Income Statement'!$B50)</f>
        <v>1337.81</v>
      </c>
      <c r="E50" s="69">
        <v>0</v>
      </c>
      <c r="F50" s="67"/>
      <c r="G50" s="69">
        <f t="shared" si="1"/>
        <v>1337.81</v>
      </c>
    </row>
    <row r="51" spans="2:10" ht="15" customHeight="1" x14ac:dyDescent="0.3">
      <c r="B51" s="70" t="s">
        <v>231</v>
      </c>
      <c r="D51" s="69">
        <f>+SUMIFS('Adj B - P'!N:N,'Adj B - P'!$Q:$Q,'Ref A - Income Statement'!$B51)</f>
        <v>3134.63</v>
      </c>
      <c r="E51" s="69">
        <v>0</v>
      </c>
      <c r="F51" s="67"/>
      <c r="G51" s="69">
        <f t="shared" si="1"/>
        <v>3134.63</v>
      </c>
    </row>
    <row r="52" spans="2:10" ht="15" customHeight="1" x14ac:dyDescent="0.3">
      <c r="B52" s="70" t="s">
        <v>12</v>
      </c>
      <c r="D52" s="69">
        <f>+SUMIFS('Adj B - P'!N:N,'Adj B - P'!$Q:$Q,'Ref A - Income Statement'!$B52)</f>
        <v>318.89</v>
      </c>
      <c r="E52" s="69">
        <v>0</v>
      </c>
      <c r="F52" s="67"/>
      <c r="G52" s="69">
        <f t="shared" si="1"/>
        <v>318.89</v>
      </c>
    </row>
    <row r="53" spans="2:10" ht="15" customHeight="1" x14ac:dyDescent="0.3">
      <c r="B53" s="70" t="s">
        <v>18</v>
      </c>
      <c r="D53" s="69">
        <f>+SUMIFS('Adj B - P'!N:N,'Adj B - P'!$Q:$Q,'Ref A - Income Statement'!$B53)</f>
        <v>4534.8900000000003</v>
      </c>
      <c r="E53" s="69">
        <v>0</v>
      </c>
      <c r="F53" s="67"/>
      <c r="G53" s="69">
        <f t="shared" si="1"/>
        <v>4534.8900000000003</v>
      </c>
    </row>
    <row r="54" spans="2:10" ht="15" customHeight="1" x14ac:dyDescent="0.3">
      <c r="B54" s="70" t="s">
        <v>232</v>
      </c>
      <c r="D54" s="69">
        <f>+SUMIFS('Adj B - P'!N:N,'Adj B - P'!$Q:$Q,'Ref A - Income Statement'!$B54)</f>
        <v>301.52999999999997</v>
      </c>
      <c r="E54" s="69">
        <v>0</v>
      </c>
      <c r="F54" s="67"/>
      <c r="G54" s="69">
        <f t="shared" si="1"/>
        <v>301.52999999999997</v>
      </c>
    </row>
    <row r="55" spans="2:10" ht="15" customHeight="1" x14ac:dyDescent="0.3">
      <c r="B55" s="70" t="s">
        <v>888</v>
      </c>
      <c r="D55" s="69">
        <f>+SUMIFS('Adj B - P'!N:N,'Adj B - P'!$Q:$Q,'Ref A - Income Statement'!$B55)</f>
        <v>-30672</v>
      </c>
      <c r="E55" s="69">
        <f>+SUMIFS('Adj B - P'!P:P,'Adj B - P'!$Q:$Q,'Ref A - Income Statement'!$B55)-D55</f>
        <v>-1643.4825257973607</v>
      </c>
      <c r="F55" s="67" t="s">
        <v>940</v>
      </c>
      <c r="G55" s="69">
        <f t="shared" si="1"/>
        <v>-32315.482525797361</v>
      </c>
    </row>
    <row r="56" spans="2:10" s="35" customFormat="1" ht="15" customHeight="1" x14ac:dyDescent="0.3">
      <c r="B56" s="72" t="s">
        <v>20</v>
      </c>
      <c r="D56" s="73">
        <f>SUM(D23:D55)</f>
        <v>2203583.2200000011</v>
      </c>
      <c r="E56" s="73">
        <f>SUM(E23:E55)</f>
        <v>390191.83730707283</v>
      </c>
      <c r="F56" s="74"/>
      <c r="G56" s="73">
        <f>SUM(G23:G55)</f>
        <v>2593775.0573070729</v>
      </c>
    </row>
    <row r="57" spans="2:10" ht="15" customHeight="1" x14ac:dyDescent="0.3">
      <c r="D57" s="75"/>
      <c r="E57" s="75"/>
      <c r="F57" s="76"/>
      <c r="G57" s="77"/>
    </row>
    <row r="58" spans="2:10" ht="15" customHeight="1" x14ac:dyDescent="0.3">
      <c r="B58" s="78" t="s">
        <v>218</v>
      </c>
      <c r="D58" s="79"/>
      <c r="E58" s="79"/>
      <c r="F58" s="79"/>
      <c r="G58" s="79"/>
    </row>
    <row r="59" spans="2:10" ht="15" customHeight="1" x14ac:dyDescent="0.3">
      <c r="B59" s="70" t="s">
        <v>937</v>
      </c>
      <c r="D59" s="79">
        <f>+D20-D56</f>
        <v>1786803.6799999992</v>
      </c>
      <c r="E59" s="79">
        <f>+E20-E56</f>
        <v>-390191.83730707283</v>
      </c>
      <c r="F59" s="76"/>
      <c r="G59" s="79">
        <f>+G20-G56</f>
        <v>1396611.8426929275</v>
      </c>
    </row>
    <row r="60" spans="2:10" ht="15" customHeight="1" x14ac:dyDescent="0.3">
      <c r="B60" s="70" t="s">
        <v>889</v>
      </c>
      <c r="D60" s="66">
        <f>+SUMIFS('Adj B - P'!N:N,'Adj B - P'!$Q:$Q,'Ref A - Income Statement'!$B60)</f>
        <v>1582405.07</v>
      </c>
      <c r="E60" s="66">
        <f>'Ref B - Depreciation'!J83</f>
        <v>94234.933956277513</v>
      </c>
      <c r="F60" s="67" t="s">
        <v>941</v>
      </c>
      <c r="G60" s="66">
        <f>D60+E60</f>
        <v>1676640.0039562776</v>
      </c>
    </row>
    <row r="61" spans="2:10" ht="15" customHeight="1" x14ac:dyDescent="0.3">
      <c r="B61" s="80" t="s">
        <v>218</v>
      </c>
      <c r="D61" s="73">
        <f>+D59-D60</f>
        <v>204398.60999999917</v>
      </c>
      <c r="E61" s="73">
        <f>+E59-E60</f>
        <v>-484426.77126335033</v>
      </c>
      <c r="F61" s="74"/>
      <c r="G61" s="73">
        <f>+G59-G60</f>
        <v>-280028.16126335016</v>
      </c>
      <c r="J61" s="81"/>
    </row>
    <row r="62" spans="2:10" ht="15" customHeight="1" x14ac:dyDescent="0.3">
      <c r="B62" s="82"/>
      <c r="D62" s="79"/>
      <c r="E62" s="79"/>
      <c r="F62" s="79"/>
      <c r="G62" s="79"/>
      <c r="J62" s="81"/>
    </row>
    <row r="63" spans="2:10" ht="15" customHeight="1" x14ac:dyDescent="0.3">
      <c r="B63" s="83" t="s">
        <v>1027</v>
      </c>
      <c r="D63" s="79"/>
      <c r="E63" s="79"/>
      <c r="F63" s="84"/>
      <c r="G63" s="76"/>
    </row>
    <row r="64" spans="2:10" ht="15" customHeight="1" x14ac:dyDescent="0.3">
      <c r="B64" s="70" t="s">
        <v>235</v>
      </c>
      <c r="D64" s="66">
        <f>+SUMIFS('Adj B - P'!N:N,'Adj B - P'!$Q:$Q,'Ref A - Income Statement'!$B64)</f>
        <v>141237.17000000001</v>
      </c>
      <c r="E64" s="66">
        <f>+SUMIFS('Adj B - P'!P:P,'Adj B - P'!$Q:$Q,'Ref A - Income Statement'!$B64)-D64</f>
        <v>74062.829999999987</v>
      </c>
      <c r="F64" s="67" t="s">
        <v>942</v>
      </c>
      <c r="G64" s="66">
        <f>D64+E64</f>
        <v>215300</v>
      </c>
    </row>
    <row r="65" spans="2:12" ht="15" customHeight="1" x14ac:dyDescent="0.3">
      <c r="B65" s="70" t="s">
        <v>866</v>
      </c>
      <c r="D65" s="85">
        <f>+SUMIFS('Adj B - P'!N:N,'Adj B - P'!$Q:$Q,'Ref A - Income Statement'!$B65)</f>
        <v>-42052.800000000003</v>
      </c>
      <c r="E65" s="85">
        <f>+SUMIFS('Adj B - P'!P:P,'Adj B - P'!$Q:$Q,'Ref A - Income Statement'!$B65)-D65</f>
        <v>42052.800000000003</v>
      </c>
      <c r="F65" s="67" t="s">
        <v>943</v>
      </c>
      <c r="G65" s="69">
        <f>D65+E65</f>
        <v>0</v>
      </c>
    </row>
    <row r="66" spans="2:12" ht="15" customHeight="1" x14ac:dyDescent="0.3">
      <c r="B66" s="70" t="s">
        <v>21</v>
      </c>
      <c r="D66" s="85">
        <f>-SUMIFS('Adj B - P'!N:N,'Adj B - P'!$Q:$Q,'Ref A - Income Statement'!$B66)</f>
        <v>-1322.2799999999997</v>
      </c>
      <c r="E66" s="85">
        <f>+SUMIFS('Adj B - P'!P:P,'Adj B - P'!$Q:$Q,'Ref A - Income Statement'!$B66)-D66</f>
        <v>1372.2799999999997</v>
      </c>
      <c r="F66" s="67" t="s">
        <v>944</v>
      </c>
      <c r="G66" s="69">
        <f>D66+E66</f>
        <v>50</v>
      </c>
      <c r="K66" s="44" t="s">
        <v>1028</v>
      </c>
      <c r="L66" s="44" t="s">
        <v>1029</v>
      </c>
    </row>
    <row r="67" spans="2:12" ht="15" customHeight="1" x14ac:dyDescent="0.3">
      <c r="B67" s="80" t="s">
        <v>31</v>
      </c>
      <c r="D67" s="73">
        <f>SUM(D64:D66)</f>
        <v>97862.090000000011</v>
      </c>
      <c r="E67" s="73">
        <f>SUM(E64:E66)</f>
        <v>117487.90999999999</v>
      </c>
      <c r="F67" s="74"/>
      <c r="G67" s="73">
        <f>SUM(G64:G66)</f>
        <v>215350</v>
      </c>
      <c r="J67" s="81" t="s">
        <v>1030</v>
      </c>
      <c r="K67" s="86">
        <f>+'Adj B - P'!N162</f>
        <v>302260.70000000019</v>
      </c>
      <c r="L67" s="53">
        <v>302261.21999999997</v>
      </c>
    </row>
    <row r="68" spans="2:12" ht="15" customHeight="1" x14ac:dyDescent="0.3">
      <c r="B68" s="80" t="s">
        <v>217</v>
      </c>
      <c r="D68" s="66">
        <f>+D61+D67</f>
        <v>302260.6999999992</v>
      </c>
      <c r="E68" s="66">
        <f>+E61+E67</f>
        <v>-366938.86126335035</v>
      </c>
      <c r="F68" s="87"/>
      <c r="G68" s="66">
        <f>+G61+G67</f>
        <v>-64678.161263350165</v>
      </c>
      <c r="J68" s="81" t="s">
        <v>619</v>
      </c>
      <c r="K68" s="68">
        <f>+K67-D68</f>
        <v>9.8953023552894592E-10</v>
      </c>
      <c r="L68" s="68">
        <f>+L67-D68</f>
        <v>0.52000000077532604</v>
      </c>
    </row>
    <row r="69" spans="2:12" ht="15" customHeight="1" x14ac:dyDescent="0.3">
      <c r="B69" s="80"/>
      <c r="D69" s="66"/>
      <c r="E69" s="66"/>
      <c r="F69" s="87"/>
      <c r="G69" s="87"/>
    </row>
    <row r="70" spans="2:12" ht="15" customHeight="1" x14ac:dyDescent="0.3">
      <c r="B70" s="64" t="s">
        <v>871</v>
      </c>
      <c r="D70" s="79">
        <f>+SUMIFS('Adj B - P'!N:N,'Adj B - P'!$Q:$Q,'Ref A - Income Statement'!$B70)</f>
        <v>0</v>
      </c>
      <c r="E70" s="79"/>
      <c r="F70" s="88"/>
      <c r="G70" s="53">
        <f>D70+E70</f>
        <v>0</v>
      </c>
    </row>
    <row r="71" spans="2:12" ht="15" customHeight="1" x14ac:dyDescent="0.3">
      <c r="B71" s="64" t="s">
        <v>1026</v>
      </c>
      <c r="D71" s="79">
        <v>466500</v>
      </c>
      <c r="E71" s="79">
        <f>-D71</f>
        <v>-466500</v>
      </c>
      <c r="F71" s="88"/>
      <c r="G71" s="53">
        <f>D71+E71</f>
        <v>0</v>
      </c>
    </row>
    <row r="72" spans="2:12" ht="15" customHeight="1" x14ac:dyDescent="0.3">
      <c r="B72" s="89"/>
      <c r="D72" s="79"/>
      <c r="E72" s="79"/>
      <c r="F72" s="88"/>
      <c r="G72" s="41"/>
    </row>
    <row r="73" spans="2:12" ht="15" customHeight="1" thickBot="1" x14ac:dyDescent="0.35">
      <c r="B73" s="57" t="s">
        <v>219</v>
      </c>
      <c r="D73" s="136">
        <f>+D68+D70+D71</f>
        <v>768760.69999999925</v>
      </c>
      <c r="E73" s="136">
        <f t="shared" ref="E73:G73" si="2">+E68+E70+E71</f>
        <v>-833438.86126335035</v>
      </c>
      <c r="F73" s="91"/>
      <c r="G73" s="90">
        <f t="shared" si="2"/>
        <v>-64678.161263350165</v>
      </c>
    </row>
    <row r="74" spans="2:12" ht="15" customHeight="1" thickTop="1" x14ac:dyDescent="0.3">
      <c r="D74" s="77"/>
      <c r="E74" s="76"/>
      <c r="F74" s="41"/>
      <c r="G74" s="41"/>
    </row>
    <row r="76" spans="2:12" ht="14.25" customHeight="1" x14ac:dyDescent="0.3">
      <c r="B76" s="35" t="s">
        <v>961</v>
      </c>
    </row>
    <row r="77" spans="2:12" ht="78.75" customHeight="1" x14ac:dyDescent="0.3">
      <c r="B77" s="92" t="s">
        <v>197</v>
      </c>
      <c r="C77" s="252" t="s">
        <v>1791</v>
      </c>
      <c r="D77" s="252"/>
      <c r="E77" s="252"/>
      <c r="F77" s="252"/>
      <c r="G77" s="252"/>
    </row>
    <row r="78" spans="2:12" ht="60.75" customHeight="1" x14ac:dyDescent="0.3">
      <c r="B78" s="92" t="s">
        <v>198</v>
      </c>
      <c r="C78" s="252" t="s">
        <v>1033</v>
      </c>
      <c r="D78" s="252"/>
      <c r="E78" s="252"/>
      <c r="F78" s="252"/>
      <c r="G78" s="252"/>
    </row>
    <row r="79" spans="2:12" ht="105" customHeight="1" x14ac:dyDescent="0.3">
      <c r="B79" s="92" t="s">
        <v>199</v>
      </c>
      <c r="C79" s="252" t="s">
        <v>1701</v>
      </c>
      <c r="D79" s="252"/>
      <c r="E79" s="252"/>
      <c r="F79" s="252"/>
      <c r="G79" s="252"/>
    </row>
    <row r="80" spans="2:12" ht="14" x14ac:dyDescent="0.3">
      <c r="B80" s="92" t="s">
        <v>200</v>
      </c>
      <c r="C80" s="252" t="s">
        <v>1759</v>
      </c>
      <c r="D80" s="252"/>
      <c r="E80" s="252"/>
      <c r="F80" s="252"/>
      <c r="G80" s="252"/>
    </row>
    <row r="81" spans="2:7" ht="14" x14ac:dyDescent="0.3">
      <c r="B81" s="92" t="s">
        <v>931</v>
      </c>
      <c r="C81" s="252" t="s">
        <v>1034</v>
      </c>
      <c r="D81" s="252"/>
      <c r="E81" s="252"/>
      <c r="F81" s="252"/>
      <c r="G81" s="252"/>
    </row>
    <row r="82" spans="2:7" ht="14" x14ac:dyDescent="0.3">
      <c r="B82" s="92" t="s">
        <v>932</v>
      </c>
      <c r="C82" s="252" t="s">
        <v>1760</v>
      </c>
      <c r="D82" s="252"/>
      <c r="E82" s="252"/>
      <c r="F82" s="252"/>
      <c r="G82" s="252"/>
    </row>
    <row r="83" spans="2:7" ht="14" x14ac:dyDescent="0.3">
      <c r="B83" s="92" t="s">
        <v>933</v>
      </c>
      <c r="C83" s="252" t="s">
        <v>1700</v>
      </c>
      <c r="D83" s="252"/>
      <c r="E83" s="252"/>
      <c r="F83" s="252"/>
      <c r="G83" s="252"/>
    </row>
    <row r="84" spans="2:7" ht="14" x14ac:dyDescent="0.3">
      <c r="B84" s="92" t="s">
        <v>934</v>
      </c>
      <c r="C84" s="252" t="s">
        <v>1035</v>
      </c>
      <c r="D84" s="252"/>
      <c r="E84" s="252"/>
      <c r="F84" s="252"/>
      <c r="G84" s="252"/>
    </row>
    <row r="85" spans="2:7" ht="14" x14ac:dyDescent="0.3">
      <c r="B85" s="92" t="s">
        <v>935</v>
      </c>
      <c r="C85" s="252" t="s">
        <v>1036</v>
      </c>
      <c r="D85" s="252"/>
      <c r="E85" s="252"/>
      <c r="F85" s="252"/>
      <c r="G85" s="252"/>
    </row>
    <row r="86" spans="2:7" ht="14" x14ac:dyDescent="0.3">
      <c r="B86" s="92" t="s">
        <v>938</v>
      </c>
      <c r="C86" s="252" t="s">
        <v>1702</v>
      </c>
      <c r="D86" s="252"/>
      <c r="E86" s="252"/>
      <c r="F86" s="252"/>
      <c r="G86" s="252"/>
    </row>
    <row r="87" spans="2:7" ht="14" x14ac:dyDescent="0.3">
      <c r="B87" s="92" t="s">
        <v>939</v>
      </c>
      <c r="C87" s="252" t="s">
        <v>1697</v>
      </c>
      <c r="D87" s="252"/>
      <c r="E87" s="252"/>
      <c r="F87" s="252"/>
      <c r="G87" s="252"/>
    </row>
    <row r="88" spans="2:7" ht="15" customHeight="1" x14ac:dyDescent="0.3">
      <c r="B88" s="92" t="s">
        <v>940</v>
      </c>
      <c r="C88" s="252" t="s">
        <v>1720</v>
      </c>
      <c r="D88" s="252"/>
      <c r="E88" s="252"/>
      <c r="F88" s="252"/>
      <c r="G88" s="252"/>
    </row>
    <row r="89" spans="2:7" ht="14" x14ac:dyDescent="0.3">
      <c r="B89" s="92" t="s">
        <v>941</v>
      </c>
      <c r="C89" s="252" t="s">
        <v>1042</v>
      </c>
      <c r="D89" s="252"/>
      <c r="E89" s="252"/>
      <c r="F89" s="252"/>
      <c r="G89" s="252"/>
    </row>
    <row r="90" spans="2:7" ht="14" x14ac:dyDescent="0.3">
      <c r="B90" s="92" t="s">
        <v>942</v>
      </c>
      <c r="C90" s="252" t="s">
        <v>1037</v>
      </c>
      <c r="D90" s="252"/>
      <c r="E90" s="252"/>
      <c r="F90" s="252"/>
      <c r="G90" s="252"/>
    </row>
    <row r="91" spans="2:7" ht="14" x14ac:dyDescent="0.3">
      <c r="B91" s="92" t="s">
        <v>943</v>
      </c>
      <c r="C91" s="93" t="s">
        <v>1038</v>
      </c>
      <c r="D91" s="93"/>
      <c r="E91" s="93"/>
      <c r="F91" s="93"/>
      <c r="G91" s="93"/>
    </row>
    <row r="92" spans="2:7" ht="14" x14ac:dyDescent="0.3">
      <c r="B92" s="92" t="s">
        <v>944</v>
      </c>
      <c r="C92" s="93" t="s">
        <v>1703</v>
      </c>
      <c r="D92" s="93"/>
      <c r="E92" s="93"/>
      <c r="F92" s="93"/>
      <c r="G92" s="93"/>
    </row>
    <row r="93" spans="2:7" ht="15" hidden="1" customHeight="1" outlineLevel="1" x14ac:dyDescent="0.3">
      <c r="B93" s="92" t="s">
        <v>963</v>
      </c>
      <c r="C93" s="252"/>
      <c r="D93" s="252"/>
      <c r="E93" s="252"/>
      <c r="F93" s="252"/>
      <c r="G93" s="252"/>
    </row>
    <row r="94" spans="2:7" ht="15" hidden="1" customHeight="1" outlineLevel="1" x14ac:dyDescent="0.3">
      <c r="B94" s="92" t="s">
        <v>968</v>
      </c>
      <c r="C94" s="252"/>
      <c r="D94" s="252"/>
      <c r="E94" s="252"/>
      <c r="F94" s="252"/>
      <c r="G94" s="252"/>
    </row>
    <row r="95" spans="2:7" ht="15" hidden="1" customHeight="1" outlineLevel="1" x14ac:dyDescent="0.3">
      <c r="B95" s="92" t="s">
        <v>964</v>
      </c>
      <c r="C95" s="252"/>
      <c r="D95" s="252"/>
      <c r="E95" s="252"/>
      <c r="F95" s="252"/>
      <c r="G95" s="252"/>
    </row>
    <row r="96" spans="2:7" ht="15" hidden="1" customHeight="1" outlineLevel="1" x14ac:dyDescent="0.3">
      <c r="B96" s="92" t="s">
        <v>965</v>
      </c>
      <c r="C96" s="252"/>
      <c r="D96" s="252"/>
      <c r="E96" s="252"/>
      <c r="F96" s="252"/>
      <c r="G96" s="252"/>
    </row>
    <row r="97" spans="2:7" ht="15" hidden="1" customHeight="1" outlineLevel="1" x14ac:dyDescent="0.3">
      <c r="B97" s="92" t="s">
        <v>966</v>
      </c>
      <c r="C97" s="252"/>
      <c r="D97" s="252"/>
      <c r="E97" s="252"/>
      <c r="F97" s="252"/>
      <c r="G97" s="252"/>
    </row>
    <row r="98" spans="2:7" ht="15" hidden="1" customHeight="1" outlineLevel="1" x14ac:dyDescent="0.3">
      <c r="B98" s="92" t="s">
        <v>967</v>
      </c>
      <c r="C98" s="252"/>
      <c r="D98" s="252"/>
      <c r="E98" s="252"/>
      <c r="F98" s="252"/>
      <c r="G98" s="252"/>
    </row>
    <row r="99" spans="2:7" ht="15" hidden="1" customHeight="1" outlineLevel="1" x14ac:dyDescent="0.3">
      <c r="B99" s="92" t="s">
        <v>969</v>
      </c>
      <c r="C99" s="252"/>
      <c r="D99" s="252"/>
      <c r="E99" s="252"/>
      <c r="F99" s="252"/>
      <c r="G99" s="252"/>
    </row>
    <row r="100" spans="2:7" ht="15" hidden="1" customHeight="1" outlineLevel="1" x14ac:dyDescent="0.3">
      <c r="B100" s="92" t="s">
        <v>970</v>
      </c>
      <c r="C100" s="252"/>
      <c r="D100" s="252"/>
      <c r="E100" s="252"/>
      <c r="F100" s="252"/>
      <c r="G100" s="252"/>
    </row>
    <row r="101" spans="2:7" ht="15" hidden="1" customHeight="1" outlineLevel="1" x14ac:dyDescent="0.3">
      <c r="B101" s="92" t="s">
        <v>971</v>
      </c>
      <c r="C101" s="252"/>
      <c r="D101" s="252"/>
      <c r="E101" s="252"/>
      <c r="F101" s="252"/>
      <c r="G101" s="252"/>
    </row>
    <row r="102" spans="2:7" ht="15" hidden="1" customHeight="1" outlineLevel="1" x14ac:dyDescent="0.3">
      <c r="B102" s="92" t="s">
        <v>972</v>
      </c>
    </row>
    <row r="103" spans="2:7" ht="15" customHeight="1" collapsed="1" x14ac:dyDescent="0.3"/>
  </sheetData>
  <mergeCells count="24">
    <mergeCell ref="C83:G83"/>
    <mergeCell ref="C84:G84"/>
    <mergeCell ref="C85:G85"/>
    <mergeCell ref="C78:G78"/>
    <mergeCell ref="C79:G79"/>
    <mergeCell ref="C80:G80"/>
    <mergeCell ref="C81:G81"/>
    <mergeCell ref="C82:G82"/>
    <mergeCell ref="C99:G99"/>
    <mergeCell ref="C100:G100"/>
    <mergeCell ref="C101:G101"/>
    <mergeCell ref="B10:C10"/>
    <mergeCell ref="C93:G93"/>
    <mergeCell ref="C94:G94"/>
    <mergeCell ref="C95:G95"/>
    <mergeCell ref="C96:G96"/>
    <mergeCell ref="C97:G97"/>
    <mergeCell ref="C98:G98"/>
    <mergeCell ref="C87:G87"/>
    <mergeCell ref="C88:G88"/>
    <mergeCell ref="C90:G90"/>
    <mergeCell ref="C89:G89"/>
    <mergeCell ref="C86:G86"/>
    <mergeCell ref="C77:G77"/>
  </mergeCells>
  <pageMargins left="0.75" right="0.75" top="1" bottom="1" header="0.5" footer="0.5"/>
  <pageSetup scale="42" orientation="portrait" blackAndWhite="1" r:id="rId1"/>
  <headerFooter alignWithMargins="0">
    <oddHeader>&amp;CAttachment 4a - SAO Reference A - Income Statement
Hardin County Water District No. 1 - Radcliff Sewer Utility
Alternative Rate Filing Application</oddHeader>
    <oddFooter>&amp;C8/11/2023</oddFooter>
  </headerFooter>
  <rowBreaks count="1" manualBreakCount="1">
    <brk id="75" max="16383" man="1"/>
  </rowBreaks>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79998168889431442"/>
    <pageSetUpPr fitToPage="1"/>
  </sheetPr>
  <dimension ref="A1:O85"/>
  <sheetViews>
    <sheetView topLeftCell="A42" zoomScale="85" zoomScaleNormal="85" zoomScaleSheetLayoutView="55" zoomScalePageLayoutView="55" workbookViewId="0">
      <selection activeCell="C59" sqref="C59"/>
    </sheetView>
  </sheetViews>
  <sheetFormatPr defaultColWidth="90.81640625" defaultRowHeight="15" customHeight="1" x14ac:dyDescent="0.3"/>
  <cols>
    <col min="1" max="1" width="4.7265625" style="36" customWidth="1"/>
    <col min="2" max="2" width="98.453125" style="36" customWidth="1"/>
    <col min="3" max="3" width="14" style="36" customWidth="1"/>
    <col min="4" max="6" width="12.7265625" style="36" customWidth="1"/>
    <col min="7" max="7" width="14.453125" style="36" customWidth="1"/>
    <col min="8" max="8" width="12.7265625" style="36" customWidth="1"/>
    <col min="9" max="10" width="14.1796875" style="36" bestFit="1" customWidth="1"/>
    <col min="11" max="11" width="3.26953125" style="36" customWidth="1"/>
    <col min="12" max="16384" width="90.81640625" style="36"/>
  </cols>
  <sheetData>
    <row r="1" spans="1:15" ht="15" customHeight="1" x14ac:dyDescent="0.3">
      <c r="A1" s="35"/>
      <c r="B1" s="35"/>
    </row>
    <row r="2" spans="1:15" ht="15" customHeight="1" x14ac:dyDescent="0.3">
      <c r="A2" s="35"/>
      <c r="B2" s="35" t="s">
        <v>1672</v>
      </c>
    </row>
    <row r="3" spans="1:15" ht="15" customHeight="1" x14ac:dyDescent="0.3">
      <c r="A3" s="35"/>
      <c r="B3" s="36" t="s">
        <v>898</v>
      </c>
      <c r="J3" s="94"/>
      <c r="L3" s="94"/>
    </row>
    <row r="4" spans="1:15" ht="15" customHeight="1" x14ac:dyDescent="0.3">
      <c r="B4" s="36" t="s">
        <v>974</v>
      </c>
    </row>
    <row r="5" spans="1:15" ht="15" customHeight="1" x14ac:dyDescent="0.3">
      <c r="H5" s="44"/>
      <c r="I5" s="44"/>
    </row>
    <row r="6" spans="1:15" ht="15" customHeight="1" x14ac:dyDescent="0.3">
      <c r="B6" s="35"/>
      <c r="C6" s="35"/>
      <c r="D6" s="95" t="s">
        <v>975</v>
      </c>
      <c r="E6" s="95" t="s">
        <v>29</v>
      </c>
      <c r="F6" s="95"/>
      <c r="G6" s="95"/>
      <c r="H6" s="95"/>
      <c r="I6" s="95"/>
      <c r="J6" s="95"/>
    </row>
    <row r="7" spans="1:15" ht="15" customHeight="1" x14ac:dyDescent="0.3">
      <c r="B7" s="35"/>
      <c r="C7" s="35"/>
      <c r="D7" s="95" t="s">
        <v>0</v>
      </c>
      <c r="E7" s="95" t="s">
        <v>0</v>
      </c>
      <c r="F7" s="95"/>
      <c r="G7" s="95"/>
      <c r="H7" s="95" t="s">
        <v>982</v>
      </c>
      <c r="I7" s="95" t="s">
        <v>983</v>
      </c>
      <c r="J7" s="95"/>
    </row>
    <row r="8" spans="1:15" ht="15" customHeight="1" x14ac:dyDescent="0.3">
      <c r="B8" s="35"/>
      <c r="C8" s="46" t="s">
        <v>979</v>
      </c>
      <c r="D8" s="95" t="s">
        <v>957</v>
      </c>
      <c r="E8" s="95" t="s">
        <v>957</v>
      </c>
      <c r="F8" s="95" t="s">
        <v>980</v>
      </c>
      <c r="G8" s="95" t="s">
        <v>201</v>
      </c>
      <c r="H8" s="95" t="s">
        <v>979</v>
      </c>
      <c r="I8" s="95" t="s">
        <v>29</v>
      </c>
      <c r="J8" s="95" t="s">
        <v>29</v>
      </c>
    </row>
    <row r="9" spans="1:15" ht="21.75" customHeight="1" x14ac:dyDescent="0.6">
      <c r="B9" s="172" t="s">
        <v>962</v>
      </c>
      <c r="C9" s="48" t="s">
        <v>978</v>
      </c>
      <c r="D9" s="173">
        <v>44926</v>
      </c>
      <c r="E9" s="96" t="s">
        <v>960</v>
      </c>
      <c r="F9" s="96" t="s">
        <v>981</v>
      </c>
      <c r="G9" s="96" t="s">
        <v>29</v>
      </c>
      <c r="H9" s="96" t="s">
        <v>959</v>
      </c>
      <c r="I9" s="96" t="s">
        <v>959</v>
      </c>
      <c r="J9" s="96" t="s">
        <v>897</v>
      </c>
    </row>
    <row r="10" spans="1:15" ht="15" customHeight="1" x14ac:dyDescent="0.3">
      <c r="B10" s="97" t="s">
        <v>984</v>
      </c>
      <c r="C10" s="98"/>
      <c r="D10" s="98"/>
      <c r="E10" s="98"/>
      <c r="F10" s="98"/>
      <c r="G10" s="98"/>
      <c r="H10" s="98"/>
      <c r="I10" s="98"/>
      <c r="J10" s="98"/>
    </row>
    <row r="11" spans="1:15" ht="15" customHeight="1" x14ac:dyDescent="0.3">
      <c r="B11" s="99" t="s">
        <v>985</v>
      </c>
      <c r="C11" s="100">
        <v>2022</v>
      </c>
      <c r="D11" s="101">
        <v>16850</v>
      </c>
      <c r="E11" s="101">
        <v>1965.83</v>
      </c>
      <c r="F11" s="102">
        <v>5</v>
      </c>
      <c r="G11" s="103">
        <f t="shared" ref="G11:G54" si="0">D11/(F11*12)</f>
        <v>280.83333333333331</v>
      </c>
      <c r="H11" s="104">
        <v>12</v>
      </c>
      <c r="I11" s="101">
        <f>+G11*H11</f>
        <v>3370</v>
      </c>
      <c r="J11" s="86">
        <f>+I11-E11</f>
        <v>1404.17</v>
      </c>
      <c r="O11" s="68"/>
    </row>
    <row r="12" spans="1:15" ht="15" customHeight="1" x14ac:dyDescent="0.3">
      <c r="B12" s="99" t="s">
        <v>986</v>
      </c>
      <c r="C12" s="100">
        <v>2022</v>
      </c>
      <c r="D12" s="105">
        <v>19500</v>
      </c>
      <c r="E12" s="105">
        <v>975</v>
      </c>
      <c r="F12" s="102">
        <v>10</v>
      </c>
      <c r="G12" s="55">
        <f t="shared" si="0"/>
        <v>162.5</v>
      </c>
      <c r="H12" s="104">
        <v>12</v>
      </c>
      <c r="I12" s="105">
        <f t="shared" ref="I12:I54" si="1">+G12*H12</f>
        <v>1950</v>
      </c>
      <c r="J12" s="54">
        <f t="shared" ref="J12:J54" si="2">+I12-E12</f>
        <v>975</v>
      </c>
      <c r="O12" s="68"/>
    </row>
    <row r="13" spans="1:15" ht="15" customHeight="1" x14ac:dyDescent="0.3">
      <c r="B13" s="99" t="s">
        <v>987</v>
      </c>
      <c r="C13" s="100">
        <v>2022</v>
      </c>
      <c r="D13" s="105">
        <v>5000</v>
      </c>
      <c r="E13" s="105">
        <v>500</v>
      </c>
      <c r="F13" s="102">
        <v>5</v>
      </c>
      <c r="G13" s="55">
        <f t="shared" si="0"/>
        <v>83.333333333333329</v>
      </c>
      <c r="H13" s="104">
        <v>12</v>
      </c>
      <c r="I13" s="105">
        <f t="shared" si="1"/>
        <v>1000</v>
      </c>
      <c r="J13" s="54">
        <f t="shared" si="2"/>
        <v>500</v>
      </c>
      <c r="O13" s="68"/>
    </row>
    <row r="14" spans="1:15" ht="15" customHeight="1" x14ac:dyDescent="0.3">
      <c r="B14" s="99" t="s">
        <v>988</v>
      </c>
      <c r="C14" s="100">
        <v>2022</v>
      </c>
      <c r="D14" s="105">
        <v>16997.689999999999</v>
      </c>
      <c r="E14" s="105">
        <v>283.29000000000002</v>
      </c>
      <c r="F14" s="102">
        <v>50</v>
      </c>
      <c r="G14" s="55">
        <f t="shared" si="0"/>
        <v>28.329483333333332</v>
      </c>
      <c r="H14" s="104">
        <v>12</v>
      </c>
      <c r="I14" s="105">
        <f t="shared" si="1"/>
        <v>339.9538</v>
      </c>
      <c r="J14" s="54">
        <f t="shared" si="2"/>
        <v>56.663799999999981</v>
      </c>
      <c r="O14" s="68"/>
    </row>
    <row r="15" spans="1:15" ht="15" customHeight="1" x14ac:dyDescent="0.3">
      <c r="B15" s="99" t="s">
        <v>989</v>
      </c>
      <c r="C15" s="100">
        <v>2022</v>
      </c>
      <c r="D15" s="105">
        <v>968887.58</v>
      </c>
      <c r="E15" s="105">
        <v>16148.13</v>
      </c>
      <c r="F15" s="102">
        <v>50</v>
      </c>
      <c r="G15" s="55">
        <f t="shared" si="0"/>
        <v>1614.8126333333332</v>
      </c>
      <c r="H15" s="104">
        <v>12</v>
      </c>
      <c r="I15" s="105">
        <f t="shared" si="1"/>
        <v>19377.7516</v>
      </c>
      <c r="J15" s="54">
        <f t="shared" si="2"/>
        <v>3229.6216000000004</v>
      </c>
      <c r="O15" s="68"/>
    </row>
    <row r="16" spans="1:15" ht="15" customHeight="1" x14ac:dyDescent="0.3">
      <c r="B16" s="99" t="s">
        <v>990</v>
      </c>
      <c r="C16" s="100">
        <v>2022</v>
      </c>
      <c r="D16" s="105">
        <v>12080.66</v>
      </c>
      <c r="E16" s="105">
        <v>335.57</v>
      </c>
      <c r="F16" s="102">
        <v>30</v>
      </c>
      <c r="G16" s="55">
        <f t="shared" si="0"/>
        <v>33.557388888888887</v>
      </c>
      <c r="H16" s="104">
        <v>12</v>
      </c>
      <c r="I16" s="105">
        <f t="shared" si="1"/>
        <v>402.68866666666668</v>
      </c>
      <c r="J16" s="54">
        <f t="shared" si="2"/>
        <v>67.118666666666684</v>
      </c>
      <c r="O16" s="68"/>
    </row>
    <row r="17" spans="2:15" ht="15" customHeight="1" x14ac:dyDescent="0.3">
      <c r="B17" s="99" t="s">
        <v>991</v>
      </c>
      <c r="C17" s="100">
        <v>2022</v>
      </c>
      <c r="D17" s="105">
        <v>60648.6</v>
      </c>
      <c r="E17" s="105">
        <v>0</v>
      </c>
      <c r="F17" s="102">
        <v>30</v>
      </c>
      <c r="G17" s="55">
        <f t="shared" si="0"/>
        <v>168.46833333333333</v>
      </c>
      <c r="H17" s="104">
        <v>12</v>
      </c>
      <c r="I17" s="105">
        <f t="shared" si="1"/>
        <v>2021.62</v>
      </c>
      <c r="J17" s="54">
        <f t="shared" si="2"/>
        <v>2021.62</v>
      </c>
      <c r="O17" s="68"/>
    </row>
    <row r="18" spans="2:15" ht="15" customHeight="1" x14ac:dyDescent="0.3">
      <c r="B18" s="99" t="s">
        <v>992</v>
      </c>
      <c r="C18" s="100">
        <v>2022</v>
      </c>
      <c r="D18" s="105">
        <v>126351.4</v>
      </c>
      <c r="E18" s="105">
        <v>0</v>
      </c>
      <c r="F18" s="102">
        <v>50</v>
      </c>
      <c r="G18" s="55">
        <f t="shared" si="0"/>
        <v>210.58566666666667</v>
      </c>
      <c r="H18" s="104">
        <v>12</v>
      </c>
      <c r="I18" s="105">
        <f t="shared" si="1"/>
        <v>2527.0280000000002</v>
      </c>
      <c r="J18" s="54">
        <f t="shared" si="2"/>
        <v>2527.0280000000002</v>
      </c>
      <c r="O18" s="68"/>
    </row>
    <row r="19" spans="2:15" ht="15" customHeight="1" x14ac:dyDescent="0.3">
      <c r="B19" s="99" t="s">
        <v>993</v>
      </c>
      <c r="C19" s="100">
        <v>2022</v>
      </c>
      <c r="D19" s="105">
        <v>45400</v>
      </c>
      <c r="E19" s="105">
        <v>0</v>
      </c>
      <c r="F19" s="102">
        <v>30</v>
      </c>
      <c r="G19" s="55">
        <f t="shared" si="0"/>
        <v>126.11111111111111</v>
      </c>
      <c r="H19" s="104">
        <v>12</v>
      </c>
      <c r="I19" s="105">
        <f t="shared" si="1"/>
        <v>1513.3333333333335</v>
      </c>
      <c r="J19" s="54">
        <f t="shared" si="2"/>
        <v>1513.3333333333335</v>
      </c>
      <c r="O19" s="68"/>
    </row>
    <row r="20" spans="2:15" ht="15" customHeight="1" x14ac:dyDescent="0.3">
      <c r="B20" s="99" t="s">
        <v>994</v>
      </c>
      <c r="C20" s="100">
        <v>2022</v>
      </c>
      <c r="D20" s="105">
        <v>181600</v>
      </c>
      <c r="E20" s="105">
        <v>0</v>
      </c>
      <c r="F20" s="102">
        <v>50</v>
      </c>
      <c r="G20" s="55">
        <f t="shared" si="0"/>
        <v>302.66666666666669</v>
      </c>
      <c r="H20" s="104">
        <v>12</v>
      </c>
      <c r="I20" s="105">
        <f t="shared" si="1"/>
        <v>3632</v>
      </c>
      <c r="J20" s="54">
        <f t="shared" si="2"/>
        <v>3632</v>
      </c>
      <c r="O20" s="68"/>
    </row>
    <row r="21" spans="2:15" ht="15" customHeight="1" x14ac:dyDescent="0.3">
      <c r="B21" s="99" t="s">
        <v>995</v>
      </c>
      <c r="C21" s="100">
        <v>2022</v>
      </c>
      <c r="D21" s="105">
        <v>15594</v>
      </c>
      <c r="E21" s="105">
        <v>0</v>
      </c>
      <c r="F21" s="102">
        <v>30</v>
      </c>
      <c r="G21" s="55">
        <f t="shared" si="0"/>
        <v>43.31666666666667</v>
      </c>
      <c r="H21" s="104">
        <v>12</v>
      </c>
      <c r="I21" s="105">
        <f t="shared" si="1"/>
        <v>519.80000000000007</v>
      </c>
      <c r="J21" s="54">
        <f t="shared" si="2"/>
        <v>519.80000000000007</v>
      </c>
      <c r="O21" s="68"/>
    </row>
    <row r="22" spans="2:15" ht="15" customHeight="1" x14ac:dyDescent="0.3">
      <c r="B22" s="99" t="s">
        <v>995</v>
      </c>
      <c r="C22" s="100">
        <v>2022</v>
      </c>
      <c r="D22" s="105">
        <v>36906</v>
      </c>
      <c r="E22" s="105">
        <v>0</v>
      </c>
      <c r="F22" s="102">
        <v>50</v>
      </c>
      <c r="G22" s="55">
        <f t="shared" si="0"/>
        <v>61.51</v>
      </c>
      <c r="H22" s="104">
        <v>12</v>
      </c>
      <c r="I22" s="105">
        <f t="shared" si="1"/>
        <v>738.12</v>
      </c>
      <c r="J22" s="54">
        <f t="shared" si="2"/>
        <v>738.12</v>
      </c>
      <c r="O22" s="68"/>
    </row>
    <row r="23" spans="2:15" ht="15" customHeight="1" x14ac:dyDescent="0.3">
      <c r="B23" s="99" t="s">
        <v>996</v>
      </c>
      <c r="C23" s="100">
        <v>2022</v>
      </c>
      <c r="D23" s="105">
        <v>4830.66</v>
      </c>
      <c r="E23" s="105">
        <v>201.28</v>
      </c>
      <c r="F23" s="102">
        <v>10</v>
      </c>
      <c r="G23" s="55">
        <f t="shared" si="0"/>
        <v>40.255499999999998</v>
      </c>
      <c r="H23" s="104">
        <v>12</v>
      </c>
      <c r="I23" s="105">
        <f t="shared" si="1"/>
        <v>483.06599999999997</v>
      </c>
      <c r="J23" s="54">
        <f t="shared" si="2"/>
        <v>281.78599999999994</v>
      </c>
      <c r="O23" s="68"/>
    </row>
    <row r="24" spans="2:15" ht="15" customHeight="1" x14ac:dyDescent="0.3">
      <c r="B24" s="99" t="s">
        <v>997</v>
      </c>
      <c r="C24" s="100">
        <v>2022</v>
      </c>
      <c r="D24" s="105">
        <v>1118.5999999999999</v>
      </c>
      <c r="E24" s="105">
        <v>65.25</v>
      </c>
      <c r="F24" s="102">
        <v>10</v>
      </c>
      <c r="G24" s="55">
        <f t="shared" si="0"/>
        <v>9.3216666666666654</v>
      </c>
      <c r="H24" s="104">
        <v>12</v>
      </c>
      <c r="I24" s="105">
        <f t="shared" si="1"/>
        <v>111.85999999999999</v>
      </c>
      <c r="J24" s="54">
        <f t="shared" si="2"/>
        <v>46.609999999999985</v>
      </c>
      <c r="O24" s="68"/>
    </row>
    <row r="25" spans="2:15" ht="15" customHeight="1" x14ac:dyDescent="0.3">
      <c r="B25" s="99" t="s">
        <v>998</v>
      </c>
      <c r="C25" s="100">
        <v>2022</v>
      </c>
      <c r="D25" s="105">
        <v>34199</v>
      </c>
      <c r="E25" s="105">
        <v>1139.97</v>
      </c>
      <c r="F25" s="102">
        <v>10</v>
      </c>
      <c r="G25" s="55">
        <f t="shared" si="0"/>
        <v>284.99166666666667</v>
      </c>
      <c r="H25" s="104">
        <v>12</v>
      </c>
      <c r="I25" s="105">
        <f t="shared" si="1"/>
        <v>3419.9</v>
      </c>
      <c r="J25" s="54">
        <f t="shared" si="2"/>
        <v>2279.9300000000003</v>
      </c>
      <c r="O25" s="68"/>
    </row>
    <row r="26" spans="2:15" ht="15" customHeight="1" x14ac:dyDescent="0.3">
      <c r="B26" s="99" t="s">
        <v>999</v>
      </c>
      <c r="C26" s="100">
        <v>2022</v>
      </c>
      <c r="D26" s="105">
        <v>14323.25</v>
      </c>
      <c r="E26" s="105">
        <v>102.31</v>
      </c>
      <c r="F26" s="102">
        <v>35</v>
      </c>
      <c r="G26" s="55">
        <f t="shared" si="0"/>
        <v>34.102976190476191</v>
      </c>
      <c r="H26" s="104">
        <v>12</v>
      </c>
      <c r="I26" s="105">
        <f t="shared" si="1"/>
        <v>409.23571428571427</v>
      </c>
      <c r="J26" s="54">
        <f t="shared" si="2"/>
        <v>306.92571428571426</v>
      </c>
      <c r="O26" s="68"/>
    </row>
    <row r="27" spans="2:15" ht="15" customHeight="1" x14ac:dyDescent="0.3">
      <c r="B27" s="99" t="s">
        <v>1000</v>
      </c>
      <c r="C27" s="100">
        <v>2022</v>
      </c>
      <c r="D27" s="105">
        <v>18127.07</v>
      </c>
      <c r="E27" s="105">
        <v>86.32</v>
      </c>
      <c r="F27" s="102">
        <v>35</v>
      </c>
      <c r="G27" s="55">
        <f t="shared" si="0"/>
        <v>43.159690476190477</v>
      </c>
      <c r="H27" s="104">
        <v>12</v>
      </c>
      <c r="I27" s="105">
        <f t="shared" si="1"/>
        <v>517.91628571428578</v>
      </c>
      <c r="J27" s="54">
        <f t="shared" si="2"/>
        <v>431.59628571428578</v>
      </c>
      <c r="O27" s="68"/>
    </row>
    <row r="28" spans="2:15" ht="15" customHeight="1" x14ac:dyDescent="0.3">
      <c r="B28" s="99" t="s">
        <v>1001</v>
      </c>
      <c r="C28" s="100">
        <v>2022</v>
      </c>
      <c r="D28" s="105">
        <v>16567.009999999998</v>
      </c>
      <c r="E28" s="105">
        <v>78.89</v>
      </c>
      <c r="F28" s="102">
        <v>35</v>
      </c>
      <c r="G28" s="55">
        <f t="shared" si="0"/>
        <v>39.4452619047619</v>
      </c>
      <c r="H28" s="104">
        <v>12</v>
      </c>
      <c r="I28" s="105">
        <f t="shared" si="1"/>
        <v>473.34314285714277</v>
      </c>
      <c r="J28" s="54">
        <f t="shared" si="2"/>
        <v>394.45314285714278</v>
      </c>
      <c r="O28" s="68"/>
    </row>
    <row r="29" spans="2:15" ht="15" customHeight="1" x14ac:dyDescent="0.3">
      <c r="B29" s="99" t="s">
        <v>1002</v>
      </c>
      <c r="C29" s="100">
        <v>2022</v>
      </c>
      <c r="D29" s="105">
        <v>3410</v>
      </c>
      <c r="E29" s="105">
        <v>341</v>
      </c>
      <c r="F29" s="102">
        <v>5</v>
      </c>
      <c r="G29" s="55">
        <f t="shared" si="0"/>
        <v>56.833333333333336</v>
      </c>
      <c r="H29" s="104">
        <v>12</v>
      </c>
      <c r="I29" s="105">
        <f t="shared" si="1"/>
        <v>682</v>
      </c>
      <c r="J29" s="54">
        <f t="shared" si="2"/>
        <v>341</v>
      </c>
      <c r="O29" s="68"/>
    </row>
    <row r="30" spans="2:15" ht="15" customHeight="1" x14ac:dyDescent="0.3">
      <c r="B30" s="99" t="s">
        <v>1003</v>
      </c>
      <c r="C30" s="100">
        <v>2022</v>
      </c>
      <c r="D30" s="105">
        <v>274219.55</v>
      </c>
      <c r="E30" s="105">
        <v>9140.65</v>
      </c>
      <c r="F30" s="102">
        <v>25</v>
      </c>
      <c r="G30" s="55">
        <f t="shared" si="0"/>
        <v>914.06516666666664</v>
      </c>
      <c r="H30" s="104">
        <v>12</v>
      </c>
      <c r="I30" s="105">
        <f t="shared" si="1"/>
        <v>10968.781999999999</v>
      </c>
      <c r="J30" s="54">
        <f t="shared" si="2"/>
        <v>1828.1319999999996</v>
      </c>
      <c r="O30" s="68"/>
    </row>
    <row r="31" spans="2:15" ht="15" customHeight="1" x14ac:dyDescent="0.3">
      <c r="B31" s="99" t="s">
        <v>1004</v>
      </c>
      <c r="C31" s="100">
        <v>2022</v>
      </c>
      <c r="D31" s="105">
        <v>2219.52</v>
      </c>
      <c r="E31" s="105">
        <v>203.46</v>
      </c>
      <c r="F31" s="102">
        <v>10</v>
      </c>
      <c r="G31" s="55">
        <f t="shared" si="0"/>
        <v>18.495999999999999</v>
      </c>
      <c r="H31" s="104">
        <v>12</v>
      </c>
      <c r="I31" s="105">
        <f t="shared" si="1"/>
        <v>221.952</v>
      </c>
      <c r="J31" s="54">
        <f t="shared" si="2"/>
        <v>18.49199999999999</v>
      </c>
      <c r="O31" s="68"/>
    </row>
    <row r="32" spans="2:15" ht="15" customHeight="1" x14ac:dyDescent="0.3">
      <c r="B32" s="99" t="s">
        <v>890</v>
      </c>
      <c r="C32" s="100">
        <v>2022</v>
      </c>
      <c r="D32" s="105">
        <v>22851.08</v>
      </c>
      <c r="E32" s="105">
        <v>4189.3599999999997</v>
      </c>
      <c r="F32" s="102">
        <v>5</v>
      </c>
      <c r="G32" s="55">
        <f t="shared" si="0"/>
        <v>380.85133333333334</v>
      </c>
      <c r="H32" s="104">
        <v>12</v>
      </c>
      <c r="I32" s="105">
        <f t="shared" si="1"/>
        <v>4570.2160000000003</v>
      </c>
      <c r="J32" s="54">
        <f t="shared" si="2"/>
        <v>380.85600000000068</v>
      </c>
      <c r="O32" s="68"/>
    </row>
    <row r="33" spans="2:10" ht="15" customHeight="1" x14ac:dyDescent="0.3">
      <c r="B33" s="99" t="s">
        <v>1005</v>
      </c>
      <c r="C33" s="100">
        <v>2022</v>
      </c>
      <c r="D33" s="105">
        <v>686.12</v>
      </c>
      <c r="E33" s="105">
        <v>91.48</v>
      </c>
      <c r="F33" s="102">
        <v>5</v>
      </c>
      <c r="G33" s="55">
        <f t="shared" si="0"/>
        <v>11.435333333333334</v>
      </c>
      <c r="H33" s="104">
        <v>12</v>
      </c>
      <c r="I33" s="105">
        <f t="shared" si="1"/>
        <v>137.22400000000002</v>
      </c>
      <c r="J33" s="54">
        <f>+I33-E33</f>
        <v>45.744000000000014</v>
      </c>
    </row>
    <row r="34" spans="2:10" ht="15" customHeight="1" x14ac:dyDescent="0.3">
      <c r="B34" s="99" t="s">
        <v>1006</v>
      </c>
      <c r="C34" s="100">
        <v>2022</v>
      </c>
      <c r="D34" s="105">
        <v>1046.1600000000001</v>
      </c>
      <c r="E34" s="105">
        <v>52.31</v>
      </c>
      <c r="F34" s="102">
        <v>10</v>
      </c>
      <c r="G34" s="55">
        <f t="shared" si="0"/>
        <v>8.718</v>
      </c>
      <c r="H34" s="104">
        <v>12</v>
      </c>
      <c r="I34" s="105">
        <f t="shared" si="1"/>
        <v>104.616</v>
      </c>
      <c r="J34" s="54">
        <f t="shared" si="2"/>
        <v>52.305999999999997</v>
      </c>
    </row>
    <row r="35" spans="2:10" ht="15" customHeight="1" x14ac:dyDescent="0.3">
      <c r="B35" s="99" t="s">
        <v>1007</v>
      </c>
      <c r="C35" s="100">
        <v>2022</v>
      </c>
      <c r="D35" s="105">
        <v>54330.59</v>
      </c>
      <c r="E35" s="105">
        <v>1131.8900000000001</v>
      </c>
      <c r="F35" s="102">
        <v>20</v>
      </c>
      <c r="G35" s="55">
        <f t="shared" si="0"/>
        <v>226.37745833333332</v>
      </c>
      <c r="H35" s="104">
        <v>12</v>
      </c>
      <c r="I35" s="105">
        <f t="shared" si="1"/>
        <v>2716.5294999999996</v>
      </c>
      <c r="J35" s="54">
        <f t="shared" si="2"/>
        <v>1584.6394999999995</v>
      </c>
    </row>
    <row r="36" spans="2:10" ht="15" customHeight="1" x14ac:dyDescent="0.3">
      <c r="B36" s="99" t="s">
        <v>1008</v>
      </c>
      <c r="C36" s="100">
        <v>2022</v>
      </c>
      <c r="D36" s="105">
        <v>676.58</v>
      </c>
      <c r="E36" s="105">
        <v>45.11</v>
      </c>
      <c r="F36" s="102">
        <v>5</v>
      </c>
      <c r="G36" s="55">
        <f t="shared" si="0"/>
        <v>11.276333333333334</v>
      </c>
      <c r="H36" s="104">
        <v>12</v>
      </c>
      <c r="I36" s="105">
        <f t="shared" si="1"/>
        <v>135.316</v>
      </c>
      <c r="J36" s="54">
        <f t="shared" si="2"/>
        <v>90.206000000000003</v>
      </c>
    </row>
    <row r="37" spans="2:10" ht="15" customHeight="1" x14ac:dyDescent="0.3">
      <c r="B37" s="99" t="s">
        <v>1009</v>
      </c>
      <c r="C37" s="100">
        <v>2022</v>
      </c>
      <c r="D37" s="105">
        <v>773.24</v>
      </c>
      <c r="E37" s="105">
        <v>51.55</v>
      </c>
      <c r="F37" s="102">
        <v>5</v>
      </c>
      <c r="G37" s="55">
        <f t="shared" si="0"/>
        <v>12.887333333333334</v>
      </c>
      <c r="H37" s="104">
        <v>12</v>
      </c>
      <c r="I37" s="105">
        <f t="shared" si="1"/>
        <v>154.64800000000002</v>
      </c>
      <c r="J37" s="54">
        <f t="shared" si="2"/>
        <v>103.09800000000003</v>
      </c>
    </row>
    <row r="38" spans="2:10" ht="15" customHeight="1" x14ac:dyDescent="0.3">
      <c r="B38" s="99" t="s">
        <v>1010</v>
      </c>
      <c r="C38" s="100">
        <v>2022</v>
      </c>
      <c r="D38" s="105">
        <v>484.24</v>
      </c>
      <c r="E38" s="105">
        <v>32.28</v>
      </c>
      <c r="F38" s="102">
        <v>5</v>
      </c>
      <c r="G38" s="55">
        <f t="shared" si="0"/>
        <v>8.070666666666666</v>
      </c>
      <c r="H38" s="104">
        <v>12</v>
      </c>
      <c r="I38" s="105">
        <f t="shared" si="1"/>
        <v>96.847999999999985</v>
      </c>
      <c r="J38" s="54">
        <f t="shared" si="2"/>
        <v>64.567999999999984</v>
      </c>
    </row>
    <row r="39" spans="2:10" ht="15" customHeight="1" x14ac:dyDescent="0.3">
      <c r="B39" s="99" t="s">
        <v>1011</v>
      </c>
      <c r="C39" s="100">
        <v>2022</v>
      </c>
      <c r="D39" s="105">
        <v>2019.21</v>
      </c>
      <c r="E39" s="105">
        <v>134.61000000000001</v>
      </c>
      <c r="F39" s="102">
        <v>5</v>
      </c>
      <c r="G39" s="55">
        <f t="shared" si="0"/>
        <v>33.653500000000001</v>
      </c>
      <c r="H39" s="104">
        <v>12</v>
      </c>
      <c r="I39" s="105">
        <f t="shared" si="1"/>
        <v>403.84199999999998</v>
      </c>
      <c r="J39" s="54">
        <f t="shared" si="2"/>
        <v>269.23199999999997</v>
      </c>
    </row>
    <row r="40" spans="2:10" ht="15" customHeight="1" x14ac:dyDescent="0.3">
      <c r="B40" s="99" t="s">
        <v>1012</v>
      </c>
      <c r="C40" s="100">
        <v>2022</v>
      </c>
      <c r="D40" s="105">
        <v>1248.75</v>
      </c>
      <c r="E40" s="105">
        <v>83.25</v>
      </c>
      <c r="F40" s="102">
        <v>5</v>
      </c>
      <c r="G40" s="55">
        <f t="shared" si="0"/>
        <v>20.8125</v>
      </c>
      <c r="H40" s="104">
        <v>12</v>
      </c>
      <c r="I40" s="105">
        <f t="shared" si="1"/>
        <v>249.75</v>
      </c>
      <c r="J40" s="54">
        <f t="shared" si="2"/>
        <v>166.5</v>
      </c>
    </row>
    <row r="41" spans="2:10" ht="15" customHeight="1" x14ac:dyDescent="0.3">
      <c r="B41" s="99" t="s">
        <v>1013</v>
      </c>
      <c r="C41" s="100">
        <v>2022</v>
      </c>
      <c r="D41" s="105">
        <v>1248.75</v>
      </c>
      <c r="E41" s="105">
        <v>83.25</v>
      </c>
      <c r="F41" s="102">
        <v>5</v>
      </c>
      <c r="G41" s="55">
        <f t="shared" si="0"/>
        <v>20.8125</v>
      </c>
      <c r="H41" s="104">
        <v>12</v>
      </c>
      <c r="I41" s="105">
        <f t="shared" si="1"/>
        <v>249.75</v>
      </c>
      <c r="J41" s="54">
        <f t="shared" si="2"/>
        <v>166.5</v>
      </c>
    </row>
    <row r="42" spans="2:10" ht="15" customHeight="1" x14ac:dyDescent="0.3">
      <c r="B42" s="99" t="s">
        <v>1014</v>
      </c>
      <c r="C42" s="100">
        <v>2022</v>
      </c>
      <c r="D42" s="105">
        <v>1248.75</v>
      </c>
      <c r="E42" s="105">
        <v>83.25</v>
      </c>
      <c r="F42" s="102">
        <v>5</v>
      </c>
      <c r="G42" s="55">
        <f t="shared" si="0"/>
        <v>20.8125</v>
      </c>
      <c r="H42" s="104">
        <v>12</v>
      </c>
      <c r="I42" s="105">
        <f t="shared" si="1"/>
        <v>249.75</v>
      </c>
      <c r="J42" s="54">
        <f t="shared" si="2"/>
        <v>166.5</v>
      </c>
    </row>
    <row r="43" spans="2:10" ht="15" customHeight="1" x14ac:dyDescent="0.3">
      <c r="B43" s="99" t="s">
        <v>1015</v>
      </c>
      <c r="C43" s="100">
        <v>2022</v>
      </c>
      <c r="D43" s="105">
        <v>1248.75</v>
      </c>
      <c r="E43" s="105">
        <v>83.25</v>
      </c>
      <c r="F43" s="102">
        <v>5</v>
      </c>
      <c r="G43" s="55">
        <f t="shared" si="0"/>
        <v>20.8125</v>
      </c>
      <c r="H43" s="104">
        <v>12</v>
      </c>
      <c r="I43" s="105">
        <f t="shared" si="1"/>
        <v>249.75</v>
      </c>
      <c r="J43" s="54">
        <f t="shared" si="2"/>
        <v>166.5</v>
      </c>
    </row>
    <row r="44" spans="2:10" ht="15" customHeight="1" x14ac:dyDescent="0.3">
      <c r="B44" s="99" t="s">
        <v>1016</v>
      </c>
      <c r="C44" s="100">
        <v>2022</v>
      </c>
      <c r="D44" s="105">
        <v>1248.75</v>
      </c>
      <c r="E44" s="105">
        <v>83.25</v>
      </c>
      <c r="F44" s="102">
        <v>5</v>
      </c>
      <c r="G44" s="55">
        <f t="shared" si="0"/>
        <v>20.8125</v>
      </c>
      <c r="H44" s="104">
        <v>12</v>
      </c>
      <c r="I44" s="105">
        <f t="shared" si="1"/>
        <v>249.75</v>
      </c>
      <c r="J44" s="54">
        <f t="shared" si="2"/>
        <v>166.5</v>
      </c>
    </row>
    <row r="45" spans="2:10" ht="15" customHeight="1" x14ac:dyDescent="0.3">
      <c r="B45" s="99" t="s">
        <v>891</v>
      </c>
      <c r="C45" s="100">
        <v>2022</v>
      </c>
      <c r="D45" s="105">
        <v>1248.75</v>
      </c>
      <c r="E45" s="105">
        <v>83.25</v>
      </c>
      <c r="F45" s="102">
        <v>5</v>
      </c>
      <c r="G45" s="55">
        <f t="shared" si="0"/>
        <v>20.8125</v>
      </c>
      <c r="H45" s="104">
        <v>12</v>
      </c>
      <c r="I45" s="105">
        <f t="shared" si="1"/>
        <v>249.75</v>
      </c>
      <c r="J45" s="54">
        <f t="shared" si="2"/>
        <v>166.5</v>
      </c>
    </row>
    <row r="46" spans="2:10" ht="15" customHeight="1" x14ac:dyDescent="0.3">
      <c r="B46" s="99" t="s">
        <v>1017</v>
      </c>
      <c r="C46" s="100">
        <v>2022</v>
      </c>
      <c r="D46" s="105">
        <v>7019.28</v>
      </c>
      <c r="E46" s="105">
        <v>175.48</v>
      </c>
      <c r="F46" s="102">
        <v>10</v>
      </c>
      <c r="G46" s="55">
        <f t="shared" si="0"/>
        <v>58.494</v>
      </c>
      <c r="H46" s="104">
        <v>12</v>
      </c>
      <c r="I46" s="105">
        <f t="shared" si="1"/>
        <v>701.928</v>
      </c>
      <c r="J46" s="54">
        <f t="shared" si="2"/>
        <v>526.44799999999998</v>
      </c>
    </row>
    <row r="47" spans="2:10" ht="15" customHeight="1" x14ac:dyDescent="0.3">
      <c r="B47" s="99" t="s">
        <v>1018</v>
      </c>
      <c r="C47" s="100">
        <v>2022</v>
      </c>
      <c r="D47" s="105">
        <v>408.1</v>
      </c>
      <c r="E47" s="105">
        <v>6.8</v>
      </c>
      <c r="F47" s="102">
        <v>10</v>
      </c>
      <c r="G47" s="55">
        <f t="shared" si="0"/>
        <v>3.4008333333333334</v>
      </c>
      <c r="H47" s="104">
        <v>12</v>
      </c>
      <c r="I47" s="105">
        <f t="shared" si="1"/>
        <v>40.81</v>
      </c>
      <c r="J47" s="54">
        <f t="shared" si="2"/>
        <v>34.010000000000005</v>
      </c>
    </row>
    <row r="48" spans="2:10" ht="15" customHeight="1" x14ac:dyDescent="0.3">
      <c r="B48" s="99" t="s">
        <v>1019</v>
      </c>
      <c r="C48" s="100">
        <v>2022</v>
      </c>
      <c r="D48" s="105">
        <v>161.38999999999999</v>
      </c>
      <c r="E48" s="105">
        <v>2.69</v>
      </c>
      <c r="F48" s="102">
        <v>10</v>
      </c>
      <c r="G48" s="55">
        <f t="shared" si="0"/>
        <v>1.3449166666666665</v>
      </c>
      <c r="H48" s="104">
        <v>12</v>
      </c>
      <c r="I48" s="105">
        <f t="shared" si="1"/>
        <v>16.138999999999999</v>
      </c>
      <c r="J48" s="54">
        <f t="shared" si="2"/>
        <v>13.449</v>
      </c>
    </row>
    <row r="49" spans="2:12" ht="15" customHeight="1" x14ac:dyDescent="0.3">
      <c r="B49" s="99" t="s">
        <v>1020</v>
      </c>
      <c r="C49" s="100">
        <v>2022</v>
      </c>
      <c r="D49" s="105">
        <v>4027.71</v>
      </c>
      <c r="E49" s="105">
        <v>302.08</v>
      </c>
      <c r="F49" s="102">
        <v>10</v>
      </c>
      <c r="G49" s="55">
        <f t="shared" si="0"/>
        <v>33.564250000000001</v>
      </c>
      <c r="H49" s="104">
        <v>12</v>
      </c>
      <c r="I49" s="105">
        <f t="shared" si="1"/>
        <v>402.77100000000002</v>
      </c>
      <c r="J49" s="54">
        <f t="shared" si="2"/>
        <v>100.69100000000003</v>
      </c>
    </row>
    <row r="50" spans="2:12" ht="15" customHeight="1" x14ac:dyDescent="0.3">
      <c r="B50" s="99" t="s">
        <v>1021</v>
      </c>
      <c r="C50" s="100">
        <v>2022</v>
      </c>
      <c r="D50" s="105">
        <v>17010</v>
      </c>
      <c r="E50" s="105">
        <v>202.5</v>
      </c>
      <c r="F50" s="102">
        <v>7</v>
      </c>
      <c r="G50" s="55">
        <f t="shared" si="0"/>
        <v>202.5</v>
      </c>
      <c r="H50" s="104">
        <v>12</v>
      </c>
      <c r="I50" s="105">
        <f t="shared" si="1"/>
        <v>2430</v>
      </c>
      <c r="J50" s="54">
        <f t="shared" si="2"/>
        <v>2227.5</v>
      </c>
    </row>
    <row r="51" spans="2:12" ht="15" customHeight="1" x14ac:dyDescent="0.3">
      <c r="B51" s="99" t="s">
        <v>1022</v>
      </c>
      <c r="C51" s="100">
        <v>2022</v>
      </c>
      <c r="D51" s="105">
        <v>1989.13</v>
      </c>
      <c r="E51" s="105">
        <v>82.88</v>
      </c>
      <c r="F51" s="102">
        <v>10</v>
      </c>
      <c r="G51" s="55">
        <f t="shared" si="0"/>
        <v>16.576083333333333</v>
      </c>
      <c r="H51" s="104">
        <v>12</v>
      </c>
      <c r="I51" s="105">
        <f t="shared" si="1"/>
        <v>198.91300000000001</v>
      </c>
      <c r="J51" s="54">
        <f t="shared" si="2"/>
        <v>116.03300000000002</v>
      </c>
    </row>
    <row r="52" spans="2:12" ht="15" customHeight="1" x14ac:dyDescent="0.3">
      <c r="B52" s="99" t="s">
        <v>1023</v>
      </c>
      <c r="C52" s="100">
        <v>2022</v>
      </c>
      <c r="D52" s="105">
        <v>312695.26</v>
      </c>
      <c r="E52" s="105">
        <v>26057.94</v>
      </c>
      <c r="F52" s="102">
        <v>10</v>
      </c>
      <c r="G52" s="55">
        <f t="shared" si="0"/>
        <v>2605.7938333333336</v>
      </c>
      <c r="H52" s="104">
        <v>12</v>
      </c>
      <c r="I52" s="105">
        <f t="shared" si="1"/>
        <v>31269.526000000005</v>
      </c>
      <c r="J52" s="54">
        <f t="shared" si="2"/>
        <v>5211.5860000000066</v>
      </c>
    </row>
    <row r="53" spans="2:12" ht="15" customHeight="1" x14ac:dyDescent="0.3">
      <c r="B53" s="99" t="s">
        <v>1024</v>
      </c>
      <c r="C53" s="100">
        <v>2022</v>
      </c>
      <c r="D53" s="105">
        <v>397026.55</v>
      </c>
      <c r="E53" s="105">
        <v>13234.22</v>
      </c>
      <c r="F53" s="102">
        <v>25</v>
      </c>
      <c r="G53" s="55">
        <f t="shared" si="0"/>
        <v>1323.4218333333333</v>
      </c>
      <c r="H53" s="104">
        <v>12</v>
      </c>
      <c r="I53" s="105">
        <f t="shared" si="1"/>
        <v>15881.062</v>
      </c>
      <c r="J53" s="54">
        <f t="shared" si="2"/>
        <v>2646.8420000000006</v>
      </c>
    </row>
    <row r="54" spans="2:12" ht="15" customHeight="1" x14ac:dyDescent="0.3">
      <c r="B54" s="99" t="s">
        <v>1025</v>
      </c>
      <c r="C54" s="100">
        <v>2022</v>
      </c>
      <c r="D54" s="105">
        <v>268105.43</v>
      </c>
      <c r="E54" s="105">
        <v>6383.46</v>
      </c>
      <c r="F54" s="102">
        <v>35</v>
      </c>
      <c r="G54" s="55">
        <f t="shared" si="0"/>
        <v>638.34626190476183</v>
      </c>
      <c r="H54" s="104">
        <v>12</v>
      </c>
      <c r="I54" s="105">
        <f t="shared" si="1"/>
        <v>7660.155142857142</v>
      </c>
      <c r="J54" s="54">
        <f t="shared" si="2"/>
        <v>1276.6951428571419</v>
      </c>
    </row>
    <row r="55" spans="2:12" ht="15" customHeight="1" x14ac:dyDescent="0.3">
      <c r="B55" s="97" t="s">
        <v>976</v>
      </c>
      <c r="C55" s="106"/>
      <c r="D55" s="107">
        <f>+SUM(D11:D54)</f>
        <v>2973633.16</v>
      </c>
      <c r="E55" s="107">
        <f>+SUM(E11:E54)</f>
        <v>84243.090000000011</v>
      </c>
      <c r="F55" s="108"/>
      <c r="G55" s="107">
        <f>+SUM(G11:G54)</f>
        <v>10258.282848809524</v>
      </c>
      <c r="H55" s="109"/>
      <c r="I55" s="107">
        <f>+SUM(I11:I54)</f>
        <v>123099.39418571428</v>
      </c>
      <c r="J55" s="107">
        <f>+SUM(J11:J54)</f>
        <v>38856.304185714289</v>
      </c>
    </row>
    <row r="56" spans="2:12" ht="15" customHeight="1" x14ac:dyDescent="0.3">
      <c r="B56" s="40"/>
      <c r="C56" s="110"/>
      <c r="D56" s="86"/>
      <c r="E56" s="44"/>
      <c r="F56" s="44"/>
      <c r="G56" s="103"/>
      <c r="H56" s="44"/>
      <c r="I56" s="44"/>
      <c r="J56" s="86"/>
      <c r="L56" s="42"/>
    </row>
    <row r="57" spans="2:12" ht="15" customHeight="1" x14ac:dyDescent="0.3">
      <c r="B57" s="97" t="s">
        <v>1039</v>
      </c>
      <c r="C57" s="110"/>
      <c r="D57" s="86"/>
      <c r="E57" s="44"/>
      <c r="F57" s="44"/>
      <c r="G57" s="103"/>
      <c r="H57" s="44"/>
      <c r="I57" s="44"/>
      <c r="J57" s="86"/>
      <c r="L57" s="42"/>
    </row>
    <row r="58" spans="2:12" ht="15" customHeight="1" x14ac:dyDescent="0.3">
      <c r="B58" s="51" t="s">
        <v>1739</v>
      </c>
      <c r="C58" s="111">
        <v>2022</v>
      </c>
      <c r="D58" s="86">
        <v>0</v>
      </c>
      <c r="E58" s="101">
        <v>0</v>
      </c>
      <c r="F58" s="112">
        <v>35</v>
      </c>
      <c r="G58" s="103">
        <f t="shared" ref="G58:G80" si="3">D58/(F58*12)</f>
        <v>0</v>
      </c>
      <c r="H58" s="104">
        <v>12</v>
      </c>
      <c r="I58" s="101">
        <f>+G58*H58</f>
        <v>0</v>
      </c>
      <c r="J58" s="86">
        <f t="shared" ref="J58:J80" si="4">+I58-E58</f>
        <v>0</v>
      </c>
      <c r="L58" s="42"/>
    </row>
    <row r="59" spans="2:12" ht="15" customHeight="1" x14ac:dyDescent="0.3">
      <c r="B59" s="51" t="s">
        <v>894</v>
      </c>
      <c r="C59" s="111">
        <v>2023</v>
      </c>
      <c r="D59" s="54">
        <v>65153.699062824868</v>
      </c>
      <c r="E59" s="105">
        <v>0</v>
      </c>
      <c r="F59" s="44">
        <v>35</v>
      </c>
      <c r="G59" s="55">
        <f t="shared" si="3"/>
        <v>155.12785491148779</v>
      </c>
      <c r="H59" s="104">
        <v>12</v>
      </c>
      <c r="I59" s="105">
        <f t="shared" ref="I59:I80" si="5">+G59*H59</f>
        <v>1861.5342589378533</v>
      </c>
      <c r="J59" s="54">
        <f t="shared" si="4"/>
        <v>1861.5342589378533</v>
      </c>
      <c r="L59" s="42"/>
    </row>
    <row r="60" spans="2:12" ht="15" customHeight="1" x14ac:dyDescent="0.3">
      <c r="B60" s="51" t="s">
        <v>895</v>
      </c>
      <c r="C60" s="111">
        <v>2023</v>
      </c>
      <c r="D60" s="54">
        <v>39483.784786907592</v>
      </c>
      <c r="E60" s="105">
        <v>0</v>
      </c>
      <c r="F60" s="44">
        <v>25</v>
      </c>
      <c r="G60" s="55">
        <f t="shared" si="3"/>
        <v>131.61261595635864</v>
      </c>
      <c r="H60" s="104">
        <v>12</v>
      </c>
      <c r="I60" s="105">
        <f t="shared" si="5"/>
        <v>1579.3513914763037</v>
      </c>
      <c r="J60" s="54">
        <f t="shared" si="4"/>
        <v>1579.3513914763037</v>
      </c>
      <c r="L60" s="42"/>
    </row>
    <row r="61" spans="2:12" ht="15" customHeight="1" x14ac:dyDescent="0.3">
      <c r="B61" s="51" t="s">
        <v>616</v>
      </c>
      <c r="C61" s="111">
        <v>2023</v>
      </c>
      <c r="D61" s="54">
        <v>174405.87823645963</v>
      </c>
      <c r="E61" s="105">
        <v>0</v>
      </c>
      <c r="F61" s="44">
        <v>5</v>
      </c>
      <c r="G61" s="55">
        <f t="shared" si="3"/>
        <v>2906.764637274327</v>
      </c>
      <c r="H61" s="104">
        <v>12</v>
      </c>
      <c r="I61" s="105">
        <f t="shared" si="5"/>
        <v>34881.175647291922</v>
      </c>
      <c r="J61" s="54">
        <f t="shared" si="4"/>
        <v>34881.175647291922</v>
      </c>
      <c r="L61" s="42"/>
    </row>
    <row r="62" spans="2:12" ht="15" customHeight="1" x14ac:dyDescent="0.3">
      <c r="B62" s="51" t="s">
        <v>896</v>
      </c>
      <c r="C62" s="111">
        <v>2023</v>
      </c>
      <c r="D62" s="54">
        <v>75000</v>
      </c>
      <c r="E62" s="105">
        <v>0</v>
      </c>
      <c r="F62" s="44">
        <v>50</v>
      </c>
      <c r="G62" s="55">
        <f t="shared" si="3"/>
        <v>125</v>
      </c>
      <c r="H62" s="104">
        <v>12</v>
      </c>
      <c r="I62" s="105">
        <f t="shared" si="5"/>
        <v>1500</v>
      </c>
      <c r="J62" s="54">
        <f t="shared" si="4"/>
        <v>1500</v>
      </c>
      <c r="L62" s="42"/>
    </row>
    <row r="63" spans="2:12" ht="15" customHeight="1" x14ac:dyDescent="0.3">
      <c r="B63" s="51" t="s">
        <v>892</v>
      </c>
      <c r="C63" s="111">
        <v>2023</v>
      </c>
      <c r="D63" s="54">
        <v>6541</v>
      </c>
      <c r="E63" s="105">
        <v>0</v>
      </c>
      <c r="F63" s="44">
        <v>20</v>
      </c>
      <c r="G63" s="55">
        <f t="shared" si="3"/>
        <v>27.254166666666666</v>
      </c>
      <c r="H63" s="104">
        <v>12</v>
      </c>
      <c r="I63" s="105">
        <f t="shared" si="5"/>
        <v>327.05</v>
      </c>
      <c r="J63" s="54">
        <f t="shared" si="4"/>
        <v>327.05</v>
      </c>
      <c r="L63" s="42"/>
    </row>
    <row r="64" spans="2:12" ht="15" customHeight="1" x14ac:dyDescent="0.3">
      <c r="B64" s="51" t="s">
        <v>1740</v>
      </c>
      <c r="C64" s="111">
        <v>2023</v>
      </c>
      <c r="D64" s="71">
        <f>12161.15*0.23</f>
        <v>2797.0645</v>
      </c>
      <c r="E64" s="105">
        <v>0</v>
      </c>
      <c r="F64" s="112">
        <v>10</v>
      </c>
      <c r="G64" s="55">
        <f t="shared" si="3"/>
        <v>23.308870833333334</v>
      </c>
      <c r="H64" s="104">
        <v>12</v>
      </c>
      <c r="I64" s="105">
        <f t="shared" si="5"/>
        <v>279.70645000000002</v>
      </c>
      <c r="J64" s="54">
        <f t="shared" si="4"/>
        <v>279.70645000000002</v>
      </c>
      <c r="L64" s="42"/>
    </row>
    <row r="65" spans="2:12" ht="15" customHeight="1" x14ac:dyDescent="0.3">
      <c r="B65" s="51" t="s">
        <v>1741</v>
      </c>
      <c r="C65" s="111">
        <v>2023</v>
      </c>
      <c r="D65" s="54">
        <v>1140</v>
      </c>
      <c r="E65" s="105">
        <v>0</v>
      </c>
      <c r="F65" s="112">
        <v>20</v>
      </c>
      <c r="G65" s="55">
        <f t="shared" si="3"/>
        <v>4.75</v>
      </c>
      <c r="H65" s="104">
        <v>12</v>
      </c>
      <c r="I65" s="105">
        <f t="shared" si="5"/>
        <v>57</v>
      </c>
      <c r="J65" s="54">
        <f t="shared" si="4"/>
        <v>57</v>
      </c>
      <c r="L65" s="42"/>
    </row>
    <row r="66" spans="2:12" ht="15" customHeight="1" x14ac:dyDescent="0.3">
      <c r="B66" s="51" t="s">
        <v>1742</v>
      </c>
      <c r="C66" s="111">
        <v>2023</v>
      </c>
      <c r="D66" s="54">
        <v>20296.170000000002</v>
      </c>
      <c r="E66" s="105">
        <v>0</v>
      </c>
      <c r="F66" s="112">
        <v>10</v>
      </c>
      <c r="G66" s="55">
        <f t="shared" si="3"/>
        <v>169.13475000000003</v>
      </c>
      <c r="H66" s="104">
        <v>12</v>
      </c>
      <c r="I66" s="105">
        <f t="shared" si="5"/>
        <v>2029.6170000000002</v>
      </c>
      <c r="J66" s="54">
        <f t="shared" si="4"/>
        <v>2029.6170000000002</v>
      </c>
      <c r="L66" s="42"/>
    </row>
    <row r="67" spans="2:12" ht="15" customHeight="1" x14ac:dyDescent="0.3">
      <c r="B67" s="51" t="s">
        <v>1743</v>
      </c>
      <c r="C67" s="111">
        <v>2023</v>
      </c>
      <c r="D67" s="54">
        <v>3159</v>
      </c>
      <c r="E67" s="105">
        <v>0</v>
      </c>
      <c r="F67" s="112">
        <v>10</v>
      </c>
      <c r="G67" s="55">
        <f t="shared" si="3"/>
        <v>26.324999999999999</v>
      </c>
      <c r="H67" s="104">
        <v>12</v>
      </c>
      <c r="I67" s="105">
        <f t="shared" si="5"/>
        <v>315.89999999999998</v>
      </c>
      <c r="J67" s="54">
        <f t="shared" si="4"/>
        <v>315.89999999999998</v>
      </c>
      <c r="L67" s="42"/>
    </row>
    <row r="68" spans="2:12" ht="15" customHeight="1" x14ac:dyDescent="0.3">
      <c r="B68" s="51" t="s">
        <v>1744</v>
      </c>
      <c r="C68" s="111">
        <v>2023</v>
      </c>
      <c r="D68" s="54">
        <v>1350</v>
      </c>
      <c r="E68" s="105">
        <v>0</v>
      </c>
      <c r="F68" s="112">
        <v>10</v>
      </c>
      <c r="G68" s="55">
        <f t="shared" si="3"/>
        <v>11.25</v>
      </c>
      <c r="H68" s="104">
        <v>12</v>
      </c>
      <c r="I68" s="105">
        <f t="shared" si="5"/>
        <v>135</v>
      </c>
      <c r="J68" s="54">
        <f t="shared" si="4"/>
        <v>135</v>
      </c>
      <c r="L68" s="42"/>
    </row>
    <row r="69" spans="2:12" ht="15" customHeight="1" x14ac:dyDescent="0.3">
      <c r="B69" s="51" t="s">
        <v>1745</v>
      </c>
      <c r="C69" s="111">
        <v>2023</v>
      </c>
      <c r="D69" s="54">
        <v>1551</v>
      </c>
      <c r="E69" s="105">
        <v>0</v>
      </c>
      <c r="F69" s="112">
        <v>10</v>
      </c>
      <c r="G69" s="55">
        <f t="shared" si="3"/>
        <v>12.925000000000001</v>
      </c>
      <c r="H69" s="104">
        <v>12</v>
      </c>
      <c r="I69" s="105">
        <f t="shared" si="5"/>
        <v>155.10000000000002</v>
      </c>
      <c r="J69" s="54">
        <f t="shared" si="4"/>
        <v>155.10000000000002</v>
      </c>
      <c r="L69" s="42"/>
    </row>
    <row r="70" spans="2:12" ht="15" customHeight="1" x14ac:dyDescent="0.3">
      <c r="B70" s="51" t="s">
        <v>1746</v>
      </c>
      <c r="C70" s="111">
        <v>2023</v>
      </c>
      <c r="D70" s="54">
        <v>0</v>
      </c>
      <c r="E70" s="105">
        <v>0</v>
      </c>
      <c r="F70" s="112">
        <v>35</v>
      </c>
      <c r="G70" s="55">
        <f t="shared" si="3"/>
        <v>0</v>
      </c>
      <c r="H70" s="104">
        <v>12</v>
      </c>
      <c r="I70" s="105">
        <f t="shared" si="5"/>
        <v>0</v>
      </c>
      <c r="J70" s="54">
        <f t="shared" si="4"/>
        <v>0</v>
      </c>
      <c r="L70" s="42"/>
    </row>
    <row r="71" spans="2:12" ht="15" customHeight="1" x14ac:dyDescent="0.3">
      <c r="B71" s="51" t="s">
        <v>1747</v>
      </c>
      <c r="C71" s="111">
        <v>2023</v>
      </c>
      <c r="D71" s="54">
        <v>51523</v>
      </c>
      <c r="E71" s="105">
        <v>0</v>
      </c>
      <c r="F71" s="112">
        <v>10</v>
      </c>
      <c r="G71" s="55">
        <f t="shared" si="3"/>
        <v>429.35833333333335</v>
      </c>
      <c r="H71" s="104">
        <v>12</v>
      </c>
      <c r="I71" s="105">
        <f t="shared" si="5"/>
        <v>5152.3</v>
      </c>
      <c r="J71" s="54">
        <f t="shared" si="4"/>
        <v>5152.3</v>
      </c>
      <c r="L71" s="42"/>
    </row>
    <row r="72" spans="2:12" ht="15" customHeight="1" x14ac:dyDescent="0.3">
      <c r="B72" s="51" t="s">
        <v>1748</v>
      </c>
      <c r="C72" s="111">
        <v>2023</v>
      </c>
      <c r="D72" s="54">
        <v>4530</v>
      </c>
      <c r="E72" s="105">
        <v>0</v>
      </c>
      <c r="F72" s="112">
        <v>50</v>
      </c>
      <c r="G72" s="55">
        <f t="shared" si="3"/>
        <v>7.55</v>
      </c>
      <c r="H72" s="104">
        <v>12</v>
      </c>
      <c r="I72" s="105">
        <f t="shared" si="5"/>
        <v>90.6</v>
      </c>
      <c r="J72" s="54">
        <f t="shared" si="4"/>
        <v>90.6</v>
      </c>
      <c r="L72" s="42"/>
    </row>
    <row r="73" spans="2:12" ht="15" customHeight="1" x14ac:dyDescent="0.3">
      <c r="B73" s="51" t="s">
        <v>1749</v>
      </c>
      <c r="C73" s="111">
        <v>2023</v>
      </c>
      <c r="D73" s="54">
        <v>10385.08</v>
      </c>
      <c r="E73" s="105">
        <v>0</v>
      </c>
      <c r="F73" s="112">
        <v>10</v>
      </c>
      <c r="G73" s="55">
        <f t="shared" si="3"/>
        <v>86.542333333333332</v>
      </c>
      <c r="H73" s="104">
        <v>12</v>
      </c>
      <c r="I73" s="105">
        <f t="shared" si="5"/>
        <v>1038.508</v>
      </c>
      <c r="J73" s="54">
        <f t="shared" si="4"/>
        <v>1038.508</v>
      </c>
      <c r="L73" s="42"/>
    </row>
    <row r="74" spans="2:12" ht="15" customHeight="1" x14ac:dyDescent="0.3">
      <c r="B74" s="51" t="s">
        <v>1750</v>
      </c>
      <c r="C74" s="111">
        <v>2023</v>
      </c>
      <c r="D74" s="54">
        <v>30750</v>
      </c>
      <c r="E74" s="105">
        <v>0</v>
      </c>
      <c r="F74" s="112">
        <v>10</v>
      </c>
      <c r="G74" s="55">
        <f t="shared" si="3"/>
        <v>256.25</v>
      </c>
      <c r="H74" s="104">
        <v>12</v>
      </c>
      <c r="I74" s="105">
        <f t="shared" si="5"/>
        <v>3075</v>
      </c>
      <c r="J74" s="54">
        <f t="shared" si="4"/>
        <v>3075</v>
      </c>
      <c r="L74" s="42"/>
    </row>
    <row r="75" spans="2:12" ht="15" customHeight="1" x14ac:dyDescent="0.3">
      <c r="B75" s="51" t="s">
        <v>1751</v>
      </c>
      <c r="C75" s="111">
        <v>2023</v>
      </c>
      <c r="D75" s="54">
        <v>894.7</v>
      </c>
      <c r="E75" s="105">
        <v>0</v>
      </c>
      <c r="F75" s="112">
        <v>10</v>
      </c>
      <c r="G75" s="55">
        <f t="shared" si="3"/>
        <v>7.4558333333333335</v>
      </c>
      <c r="H75" s="104">
        <v>12</v>
      </c>
      <c r="I75" s="105">
        <f t="shared" si="5"/>
        <v>89.47</v>
      </c>
      <c r="J75" s="54">
        <f t="shared" si="4"/>
        <v>89.47</v>
      </c>
      <c r="L75" s="42"/>
    </row>
    <row r="76" spans="2:12" ht="15" customHeight="1" x14ac:dyDescent="0.3">
      <c r="B76" s="51" t="s">
        <v>1752</v>
      </c>
      <c r="C76" s="111">
        <v>2023</v>
      </c>
      <c r="D76" s="54">
        <v>1185.6500000000001</v>
      </c>
      <c r="E76" s="105">
        <v>0</v>
      </c>
      <c r="F76" s="112">
        <v>10</v>
      </c>
      <c r="G76" s="55">
        <f t="shared" si="3"/>
        <v>9.8804166666666671</v>
      </c>
      <c r="H76" s="104">
        <v>12</v>
      </c>
      <c r="I76" s="105">
        <f t="shared" si="5"/>
        <v>118.565</v>
      </c>
      <c r="J76" s="54">
        <f t="shared" si="4"/>
        <v>118.565</v>
      </c>
      <c r="L76" s="42"/>
    </row>
    <row r="77" spans="2:12" ht="15" customHeight="1" x14ac:dyDescent="0.3">
      <c r="B77" s="51" t="s">
        <v>1753</v>
      </c>
      <c r="C77" s="111">
        <v>2023</v>
      </c>
      <c r="D77" s="54">
        <v>3591.9743999999996</v>
      </c>
      <c r="E77" s="105">
        <v>0</v>
      </c>
      <c r="F77" s="112">
        <v>5</v>
      </c>
      <c r="G77" s="55">
        <f t="shared" si="3"/>
        <v>59.866239999999991</v>
      </c>
      <c r="H77" s="104">
        <v>12</v>
      </c>
      <c r="I77" s="105">
        <f t="shared" si="5"/>
        <v>718.39487999999983</v>
      </c>
      <c r="J77" s="54">
        <f t="shared" si="4"/>
        <v>718.39487999999983</v>
      </c>
      <c r="L77" s="42"/>
    </row>
    <row r="78" spans="2:12" ht="15" customHeight="1" x14ac:dyDescent="0.3">
      <c r="B78" s="51" t="s">
        <v>893</v>
      </c>
      <c r="C78" s="111">
        <v>2023</v>
      </c>
      <c r="D78" s="54">
        <v>7600</v>
      </c>
      <c r="E78" s="105">
        <v>0</v>
      </c>
      <c r="F78" s="112">
        <v>7</v>
      </c>
      <c r="G78" s="55">
        <f t="shared" si="3"/>
        <v>90.476190476190482</v>
      </c>
      <c r="H78" s="104">
        <v>12</v>
      </c>
      <c r="I78" s="105">
        <f t="shared" si="5"/>
        <v>1085.7142857142858</v>
      </c>
      <c r="J78" s="54">
        <f t="shared" si="4"/>
        <v>1085.7142857142858</v>
      </c>
      <c r="L78" s="42"/>
    </row>
    <row r="79" spans="2:12" ht="15" customHeight="1" x14ac:dyDescent="0.3">
      <c r="B79" s="51" t="s">
        <v>1754</v>
      </c>
      <c r="C79" s="111">
        <v>2023</v>
      </c>
      <c r="D79" s="54">
        <v>11830</v>
      </c>
      <c r="E79" s="105">
        <v>0</v>
      </c>
      <c r="F79" s="112">
        <v>20</v>
      </c>
      <c r="G79" s="55">
        <f t="shared" si="3"/>
        <v>49.291666666666664</v>
      </c>
      <c r="H79" s="104">
        <v>12</v>
      </c>
      <c r="I79" s="105">
        <f t="shared" si="5"/>
        <v>591.5</v>
      </c>
      <c r="J79" s="54">
        <f t="shared" si="4"/>
        <v>591.5</v>
      </c>
      <c r="L79" s="42"/>
    </row>
    <row r="80" spans="2:12" ht="15" customHeight="1" x14ac:dyDescent="0.3">
      <c r="B80" s="51" t="s">
        <v>1755</v>
      </c>
      <c r="C80" s="111">
        <v>2023</v>
      </c>
      <c r="D80" s="54">
        <v>10400</v>
      </c>
      <c r="E80" s="105">
        <v>0</v>
      </c>
      <c r="F80" s="112">
        <v>35</v>
      </c>
      <c r="G80" s="55">
        <f t="shared" si="3"/>
        <v>24.761904761904763</v>
      </c>
      <c r="H80" s="104">
        <v>12</v>
      </c>
      <c r="I80" s="105">
        <f t="shared" si="5"/>
        <v>297.14285714285717</v>
      </c>
      <c r="J80" s="54">
        <f t="shared" si="4"/>
        <v>297.14285714285717</v>
      </c>
      <c r="L80" s="42"/>
    </row>
    <row r="81" spans="2:12" ht="15" customHeight="1" x14ac:dyDescent="0.3">
      <c r="B81" s="97" t="s">
        <v>977</v>
      </c>
      <c r="C81" s="106"/>
      <c r="D81" s="107">
        <f>+SUM(D58:D80)</f>
        <v>523568.00098619214</v>
      </c>
      <c r="E81" s="107">
        <f>+SUM(E58:E80)</f>
        <v>0</v>
      </c>
      <c r="F81" s="108"/>
      <c r="G81" s="107">
        <f>+SUM(G58:G80)</f>
        <v>4614.8858142136041</v>
      </c>
      <c r="H81" s="109"/>
      <c r="I81" s="107">
        <f>+SUM(I58:I80)</f>
        <v>55378.629770563224</v>
      </c>
      <c r="J81" s="107">
        <f>+SUM(J58:J80)</f>
        <v>55378.629770563224</v>
      </c>
      <c r="L81" s="42"/>
    </row>
    <row r="82" spans="2:12" ht="15" customHeight="1" x14ac:dyDescent="0.3">
      <c r="B82" s="40"/>
    </row>
    <row r="83" spans="2:12" ht="15" customHeight="1" x14ac:dyDescent="0.3">
      <c r="B83" s="57" t="s">
        <v>1040</v>
      </c>
      <c r="C83" s="113"/>
      <c r="D83" s="58">
        <f>+D55+D81</f>
        <v>3497201.1609861925</v>
      </c>
      <c r="E83" s="58">
        <f>+E55+E81</f>
        <v>84243.090000000011</v>
      </c>
      <c r="F83" s="58"/>
      <c r="G83" s="58">
        <f>+G55+G81</f>
        <v>14873.168663023127</v>
      </c>
      <c r="H83" s="58">
        <f>+H55+H81</f>
        <v>0</v>
      </c>
      <c r="I83" s="58">
        <f>+I55+I81</f>
        <v>178478.0239562775</v>
      </c>
      <c r="J83" s="58">
        <f>+J55+J81</f>
        <v>94234.933956277513</v>
      </c>
      <c r="K83" s="58"/>
      <c r="L83" s="42"/>
    </row>
    <row r="84" spans="2:12" ht="15" customHeight="1" x14ac:dyDescent="0.3">
      <c r="C84" s="86"/>
      <c r="D84" s="86"/>
      <c r="E84" s="44"/>
      <c r="F84" s="44"/>
      <c r="G84" s="44"/>
      <c r="H84" s="44"/>
      <c r="I84" s="44"/>
    </row>
    <row r="85" spans="2:12" ht="15" customHeight="1" x14ac:dyDescent="0.3">
      <c r="C85" s="86"/>
      <c r="D85" s="86"/>
      <c r="E85" s="44"/>
      <c r="F85" s="44"/>
      <c r="G85" s="44"/>
      <c r="H85" s="44"/>
      <c r="I85" s="44"/>
    </row>
  </sheetData>
  <pageMargins left="0.7" right="0.7" top="0.75" bottom="0.75" header="0.3" footer="0.3"/>
  <pageSetup scale="38" orientation="landscape" blackAndWhite="1" r:id="rId1"/>
  <headerFooter>
    <oddHeader>&amp;CAttachment 4b - SAO Reference B - Depreciation Adjustment
Hardin County Water District No. 1 - Radcliff Sewer Utility
Alternative Rate Filing Application</oddHeader>
    <oddFooter>&amp;C8/11/2023</oddFooter>
  </headerFooter>
  <rowBreaks count="1" manualBreakCount="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8"/>
  </sheetPr>
  <dimension ref="B2:I27"/>
  <sheetViews>
    <sheetView topLeftCell="A9" zoomScale="115" zoomScaleNormal="115" zoomScaleSheetLayoutView="85" zoomScalePageLayoutView="85" workbookViewId="0">
      <selection activeCell="C25" sqref="C25"/>
    </sheetView>
  </sheetViews>
  <sheetFormatPr defaultColWidth="9.1796875" defaultRowHeight="15" customHeight="1" x14ac:dyDescent="0.3"/>
  <cols>
    <col min="1" max="1" width="3.1796875" style="36" customWidth="1"/>
    <col min="2" max="2" width="71.1796875" style="36" customWidth="1"/>
    <col min="3" max="3" width="16" style="36" bestFit="1" customWidth="1"/>
    <col min="4" max="4" width="1.54296875" style="36" customWidth="1"/>
    <col min="5" max="5" width="11.7265625" style="36" customWidth="1"/>
    <col min="6" max="6" width="7" style="36" bestFit="1" customWidth="1"/>
    <col min="7" max="7" width="11.7265625" style="36" customWidth="1"/>
    <col min="8" max="9" width="12.26953125" style="36" bestFit="1" customWidth="1"/>
    <col min="10" max="16384" width="9.1796875" style="36"/>
  </cols>
  <sheetData>
    <row r="2" spans="2:9" ht="15" customHeight="1" x14ac:dyDescent="0.3">
      <c r="B2" s="35" t="s">
        <v>1041</v>
      </c>
    </row>
    <row r="3" spans="2:9" ht="15" customHeight="1" x14ac:dyDescent="0.3">
      <c r="B3" s="36" t="s">
        <v>1043</v>
      </c>
    </row>
    <row r="4" spans="2:9" ht="15" customHeight="1" x14ac:dyDescent="0.3">
      <c r="C4" s="114"/>
      <c r="D4" s="114"/>
    </row>
    <row r="5" spans="2:9" ht="15" customHeight="1" x14ac:dyDescent="0.3">
      <c r="C5" s="114"/>
      <c r="D5" s="114"/>
    </row>
    <row r="6" spans="2:9" ht="15" customHeight="1" x14ac:dyDescent="0.3">
      <c r="C6" s="114"/>
      <c r="D6" s="114"/>
    </row>
    <row r="7" spans="2:9" ht="19.5" customHeight="1" x14ac:dyDescent="0.6">
      <c r="B7" s="38" t="s">
        <v>962</v>
      </c>
      <c r="C7" s="48" t="s">
        <v>1690</v>
      </c>
    </row>
    <row r="8" spans="2:9" ht="15" customHeight="1" x14ac:dyDescent="0.3">
      <c r="B8" s="40" t="s">
        <v>916</v>
      </c>
      <c r="C8" s="53">
        <f>'4 - Stmt of Adj Ops'!F33</f>
        <v>4270415.0612633517</v>
      </c>
      <c r="D8" s="150"/>
      <c r="F8" s="115"/>
      <c r="H8" s="68"/>
      <c r="I8" s="68"/>
    </row>
    <row r="9" spans="2:9" ht="15" customHeight="1" x14ac:dyDescent="0.3">
      <c r="B9" s="51" t="s">
        <v>917</v>
      </c>
      <c r="C9" s="40">
        <v>0.88</v>
      </c>
      <c r="D9" s="40"/>
      <c r="F9" s="44"/>
    </row>
    <row r="10" spans="2:9" ht="15" customHeight="1" x14ac:dyDescent="0.3">
      <c r="B10" s="116" t="s">
        <v>918</v>
      </c>
      <c r="C10" s="56">
        <f>C8/C9</f>
        <v>4852744.387799263</v>
      </c>
      <c r="D10" s="60"/>
      <c r="F10" s="115"/>
    </row>
    <row r="11" spans="2:9" ht="15" customHeight="1" x14ac:dyDescent="0.3">
      <c r="B11" s="51" t="s">
        <v>919</v>
      </c>
      <c r="C11" s="53">
        <f>-C8</f>
        <v>-4270415.0612633517</v>
      </c>
      <c r="D11" s="53"/>
      <c r="F11" s="115"/>
    </row>
    <row r="12" spans="2:9" ht="15" customHeight="1" x14ac:dyDescent="0.3">
      <c r="B12" s="116" t="s">
        <v>920</v>
      </c>
      <c r="C12" s="56">
        <f>SUM(C10:C11)</f>
        <v>582329.3265359113</v>
      </c>
      <c r="D12" s="60"/>
      <c r="F12" s="115"/>
    </row>
    <row r="13" spans="2:9" ht="15" customHeight="1" x14ac:dyDescent="0.3">
      <c r="B13" s="51" t="s">
        <v>921</v>
      </c>
      <c r="C13" s="53">
        <v>0</v>
      </c>
      <c r="D13" s="53"/>
      <c r="F13" s="44"/>
    </row>
    <row r="14" spans="2:9" ht="15" customHeight="1" x14ac:dyDescent="0.3">
      <c r="B14" s="51" t="s">
        <v>21</v>
      </c>
      <c r="C14" s="53">
        <f>-'Ref A - Income Statement'!G66</f>
        <v>-50</v>
      </c>
      <c r="D14" s="150"/>
      <c r="F14" s="115"/>
    </row>
    <row r="15" spans="2:9" ht="15" customHeight="1" x14ac:dyDescent="0.3">
      <c r="B15" s="51" t="s">
        <v>922</v>
      </c>
      <c r="C15" s="53">
        <f>C8</f>
        <v>4270415.0612633517</v>
      </c>
      <c r="D15" s="53"/>
    </row>
    <row r="16" spans="2:9" ht="15" customHeight="1" x14ac:dyDescent="0.3">
      <c r="B16" s="51" t="s">
        <v>1721</v>
      </c>
      <c r="C16" s="53">
        <v>0</v>
      </c>
      <c r="D16" s="53"/>
      <c r="G16" s="117"/>
    </row>
    <row r="17" spans="2:8" ht="15" customHeight="1" x14ac:dyDescent="0.3">
      <c r="B17" s="116" t="s">
        <v>39</v>
      </c>
      <c r="C17" s="56">
        <f>SUM(C12:C16)</f>
        <v>4852694.387799263</v>
      </c>
      <c r="D17" s="60"/>
      <c r="G17" s="81"/>
    </row>
    <row r="18" spans="2:8" ht="15" customHeight="1" x14ac:dyDescent="0.3">
      <c r="B18" s="51" t="s">
        <v>923</v>
      </c>
      <c r="C18" s="53">
        <f>-'4 - Stmt of Adj Ops'!F17</f>
        <v>-226950.27999999997</v>
      </c>
      <c r="D18" s="151"/>
      <c r="G18" s="81"/>
    </row>
    <row r="19" spans="2:8" ht="15" customHeight="1" x14ac:dyDescent="0.3">
      <c r="B19" s="51" t="s">
        <v>924</v>
      </c>
      <c r="C19" s="53">
        <f>-'4 - Stmt of Adj Ops'!F22</f>
        <v>-8534.7099999999991</v>
      </c>
      <c r="D19" s="151"/>
      <c r="G19" s="81"/>
    </row>
    <row r="20" spans="2:8" ht="15" customHeight="1" x14ac:dyDescent="0.3">
      <c r="B20" s="51" t="s">
        <v>925</v>
      </c>
      <c r="C20" s="53">
        <f>-'Ref A - Income Statement'!G64</f>
        <v>-215300</v>
      </c>
      <c r="D20" s="151"/>
    </row>
    <row r="21" spans="2:8" ht="15" customHeight="1" x14ac:dyDescent="0.3">
      <c r="B21" s="116" t="s">
        <v>926</v>
      </c>
      <c r="C21" s="56">
        <f>SUM(C17:C20)</f>
        <v>4401909.3977992628</v>
      </c>
      <c r="D21" s="60"/>
    </row>
    <row r="22" spans="2:8" ht="15" customHeight="1" x14ac:dyDescent="0.3">
      <c r="B22" s="40" t="s">
        <v>927</v>
      </c>
      <c r="C22" s="53">
        <f>-'4 - Stmt of Adj Ops'!F14</f>
        <v>-3754901.91</v>
      </c>
      <c r="D22" s="53"/>
    </row>
    <row r="23" spans="2:8" ht="15" customHeight="1" x14ac:dyDescent="0.3">
      <c r="B23" s="118" t="s">
        <v>161</v>
      </c>
      <c r="C23" s="59">
        <f>SUM(C21:C22)</f>
        <v>647007.48779926263</v>
      </c>
      <c r="D23" s="119"/>
      <c r="H23" s="68"/>
    </row>
    <row r="24" spans="2:8" ht="15" customHeight="1" x14ac:dyDescent="0.3">
      <c r="B24" s="57"/>
      <c r="C24" s="35"/>
      <c r="D24" s="35"/>
    </row>
    <row r="25" spans="2:8" ht="15" customHeight="1" x14ac:dyDescent="0.3">
      <c r="B25" s="57" t="s">
        <v>1698</v>
      </c>
      <c r="C25" s="120">
        <f>C23/-C22</f>
        <v>0.17231009046498968</v>
      </c>
      <c r="D25" s="120"/>
    </row>
    <row r="27" spans="2:8" ht="15" customHeight="1" x14ac:dyDescent="0.3">
      <c r="B27" s="35"/>
    </row>
  </sheetData>
  <pageMargins left="0.7" right="0.7" top="0.75" bottom="0.75" header="0.3" footer="0.3"/>
  <pageSetup orientation="portrait" blackAndWhite="1" r:id="rId1"/>
  <headerFooter>
    <oddHeader>&amp;CAttachment 5 - Revenue Requirement (Operating Ratio Method)
Hardin County Water District No. 1 - Radcliff Sewer Utility
Alternative Rate Filing Application</oddHeader>
    <oddFooter>&amp;C8/11/2023</oddFooter>
  </headerFooter>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8"/>
    <pageSetUpPr fitToPage="1"/>
  </sheetPr>
  <dimension ref="B2:P745"/>
  <sheetViews>
    <sheetView zoomScale="85" zoomScaleNormal="85" zoomScaleSheetLayoutView="85" zoomScalePageLayoutView="70" workbookViewId="0">
      <selection activeCell="F1" sqref="F1"/>
    </sheetView>
  </sheetViews>
  <sheetFormatPr defaultColWidth="9.1796875" defaultRowHeight="15" customHeight="1" x14ac:dyDescent="0.3"/>
  <cols>
    <col min="1" max="1" width="3.7265625" style="36" customWidth="1"/>
    <col min="2" max="16" width="11.453125" style="36" customWidth="1"/>
    <col min="17" max="17" width="10.26953125" style="36" customWidth="1"/>
    <col min="18" max="16384" width="9.1796875" style="36"/>
  </cols>
  <sheetData>
    <row r="2" spans="2:16" ht="15" customHeight="1" x14ac:dyDescent="0.3">
      <c r="B2" s="35" t="s">
        <v>1044</v>
      </c>
      <c r="C2" s="35"/>
    </row>
    <row r="3" spans="2:16" ht="15" customHeight="1" x14ac:dyDescent="0.3">
      <c r="B3" s="36" t="s">
        <v>1773</v>
      </c>
      <c r="M3" s="81"/>
      <c r="N3" s="175"/>
    </row>
    <row r="4" spans="2:16" ht="15" customHeight="1" x14ac:dyDescent="0.3">
      <c r="B4" s="121"/>
      <c r="C4" s="121"/>
      <c r="M4" s="81"/>
      <c r="N4" s="175"/>
    </row>
    <row r="5" spans="2:16" ht="15" customHeight="1" x14ac:dyDescent="0.3">
      <c r="B5" s="121"/>
      <c r="C5" s="121"/>
      <c r="M5" s="81"/>
      <c r="N5" s="175"/>
    </row>
    <row r="6" spans="2:16" ht="15" customHeight="1" x14ac:dyDescent="0.3">
      <c r="B6" s="121"/>
      <c r="C6" s="121"/>
      <c r="M6" s="81"/>
      <c r="N6" s="175"/>
    </row>
    <row r="7" spans="2:16" ht="15" customHeight="1" x14ac:dyDescent="0.3">
      <c r="M7" s="81"/>
      <c r="N7" s="53"/>
    </row>
    <row r="8" spans="2:16" ht="15" customHeight="1" x14ac:dyDescent="0.3">
      <c r="M8" s="81"/>
      <c r="N8" s="53"/>
    </row>
    <row r="9" spans="2:16" ht="15" customHeight="1" x14ac:dyDescent="0.3">
      <c r="H9" s="81" t="s">
        <v>1772</v>
      </c>
      <c r="I9" s="42">
        <f>+'3 - Current-Proposed Rates'!D9</f>
        <v>19.63</v>
      </c>
      <c r="J9" s="42">
        <f>+'3 - Current-Proposed Rates'!D10</f>
        <v>6.4</v>
      </c>
      <c r="K9" s="42">
        <f>+'3 - Current-Proposed Rates'!D11</f>
        <v>5.76</v>
      </c>
      <c r="M9" s="81"/>
      <c r="N9" s="43"/>
    </row>
    <row r="10" spans="2:16" ht="15" customHeight="1" x14ac:dyDescent="0.3">
      <c r="C10" s="81" t="s">
        <v>1775</v>
      </c>
      <c r="D10" s="178">
        <v>0.05</v>
      </c>
      <c r="L10" s="42"/>
    </row>
    <row r="11" spans="2:16" ht="16.5" customHeight="1" x14ac:dyDescent="0.3">
      <c r="B11" s="92" t="s">
        <v>201</v>
      </c>
      <c r="C11" s="92"/>
      <c r="D11" s="92" t="s">
        <v>1774</v>
      </c>
      <c r="E11" s="254" t="s">
        <v>1768</v>
      </c>
      <c r="F11" s="254"/>
      <c r="G11" s="254"/>
      <c r="H11" s="254"/>
      <c r="I11" s="254" t="s">
        <v>1762</v>
      </c>
      <c r="J11" s="254"/>
      <c r="K11" s="254"/>
      <c r="L11" s="254"/>
      <c r="M11" s="254" t="s">
        <v>1780</v>
      </c>
      <c r="N11" s="254"/>
      <c r="O11" s="254"/>
      <c r="P11" s="254"/>
    </row>
    <row r="12" spans="2:16" ht="16.5" customHeight="1" x14ac:dyDescent="0.3">
      <c r="B12" s="92" t="s">
        <v>1761</v>
      </c>
      <c r="C12" s="92" t="s">
        <v>37</v>
      </c>
      <c r="D12" s="92" t="s">
        <v>37</v>
      </c>
      <c r="E12" s="92" t="s">
        <v>1764</v>
      </c>
      <c r="F12" s="170" t="s">
        <v>1769</v>
      </c>
      <c r="G12" s="92" t="s">
        <v>1765</v>
      </c>
      <c r="H12" s="92" t="s">
        <v>24</v>
      </c>
      <c r="I12" s="92" t="s">
        <v>1764</v>
      </c>
      <c r="J12" s="170" t="s">
        <v>1769</v>
      </c>
      <c r="K12" s="92" t="s">
        <v>1765</v>
      </c>
      <c r="L12" s="92" t="s">
        <v>24</v>
      </c>
      <c r="M12" s="92" t="s">
        <v>1764</v>
      </c>
      <c r="N12" s="170" t="s">
        <v>1769</v>
      </c>
      <c r="O12" s="92" t="s">
        <v>1765</v>
      </c>
      <c r="P12" s="92" t="s">
        <v>24</v>
      </c>
    </row>
    <row r="13" spans="2:16" ht="16.5" customHeight="1" x14ac:dyDescent="0.3">
      <c r="B13" s="169" t="s">
        <v>1763</v>
      </c>
      <c r="C13" s="169" t="s">
        <v>1767</v>
      </c>
      <c r="D13" s="169" t="s">
        <v>1767</v>
      </c>
      <c r="E13" s="169" t="s">
        <v>1763</v>
      </c>
      <c r="F13" s="169" t="s">
        <v>1763</v>
      </c>
      <c r="G13" s="169" t="s">
        <v>1763</v>
      </c>
      <c r="H13" s="169" t="s">
        <v>1763</v>
      </c>
      <c r="I13" s="169" t="s">
        <v>1766</v>
      </c>
      <c r="J13" s="169" t="s">
        <v>1766</v>
      </c>
      <c r="K13" s="169" t="s">
        <v>1766</v>
      </c>
      <c r="L13" s="169" t="s">
        <v>1766</v>
      </c>
      <c r="M13" s="169" t="s">
        <v>1766</v>
      </c>
      <c r="N13" s="169" t="s">
        <v>1766</v>
      </c>
      <c r="O13" s="169" t="s">
        <v>1766</v>
      </c>
      <c r="P13" s="169" t="s">
        <v>1766</v>
      </c>
    </row>
    <row r="14" spans="2:16" ht="14" x14ac:dyDescent="0.3">
      <c r="B14" s="164">
        <v>0</v>
      </c>
      <c r="C14" s="165">
        <v>9207</v>
      </c>
      <c r="D14" s="165">
        <f>+C14*(1+$D$10)</f>
        <v>9667.35</v>
      </c>
      <c r="E14" s="54">
        <f t="shared" ref="E14:E77" si="0">+IF($B14&gt;2,2,$B14)*$D14</f>
        <v>0</v>
      </c>
      <c r="F14" s="54">
        <v>0</v>
      </c>
      <c r="G14" s="54">
        <v>0</v>
      </c>
      <c r="H14" s="54">
        <f>+SUM(E14:G14)</f>
        <v>0</v>
      </c>
      <c r="I14" s="40">
        <f t="shared" ref="I14:I77" si="1">+$I$9</f>
        <v>19.63</v>
      </c>
      <c r="J14" s="40">
        <v>0</v>
      </c>
      <c r="K14" s="179"/>
      <c r="L14" s="179">
        <f>+SUM(I14:K14)</f>
        <v>19.63</v>
      </c>
      <c r="M14" s="54">
        <f>+I14*$D14</f>
        <v>189770.08050000001</v>
      </c>
      <c r="N14" s="54">
        <f>+J14*$D14</f>
        <v>0</v>
      </c>
      <c r="O14" s="54">
        <f>+K14*$D14</f>
        <v>0</v>
      </c>
      <c r="P14" s="54">
        <f>+SUM(M14:O14)</f>
        <v>189770.08050000001</v>
      </c>
    </row>
    <row r="15" spans="2:16" ht="15" customHeight="1" x14ac:dyDescent="0.3">
      <c r="B15" s="164">
        <v>1</v>
      </c>
      <c r="C15" s="165">
        <v>19705</v>
      </c>
      <c r="D15" s="165">
        <f t="shared" ref="D15:D78" si="2">+C15*(1+$D$10)</f>
        <v>20690.25</v>
      </c>
      <c r="E15" s="54">
        <f t="shared" si="0"/>
        <v>20690.25</v>
      </c>
      <c r="F15" s="54">
        <v>0</v>
      </c>
      <c r="G15" s="54">
        <v>0</v>
      </c>
      <c r="H15" s="54">
        <f t="shared" ref="H15:H78" si="3">+SUM(E15:G15)</f>
        <v>20690.25</v>
      </c>
      <c r="I15" s="40">
        <f t="shared" si="1"/>
        <v>19.63</v>
      </c>
      <c r="J15" s="40">
        <v>0</v>
      </c>
      <c r="K15" s="179"/>
      <c r="L15" s="179">
        <f t="shared" ref="L15:L78" si="4">+SUM(I15:K15)</f>
        <v>19.63</v>
      </c>
      <c r="M15" s="54">
        <f t="shared" ref="M15:M78" si="5">+I15*$D15</f>
        <v>406149.60749999998</v>
      </c>
      <c r="N15" s="54">
        <f t="shared" ref="N15:N78" si="6">+J15*$D15</f>
        <v>0</v>
      </c>
      <c r="O15" s="54">
        <f t="shared" ref="O15:O78" si="7">+K15*$D15</f>
        <v>0</v>
      </c>
      <c r="P15" s="54">
        <f t="shared" ref="P15:P78" si="8">+SUM(M15:O15)</f>
        <v>406149.60749999998</v>
      </c>
    </row>
    <row r="16" spans="2:16" ht="15" customHeight="1" x14ac:dyDescent="0.3">
      <c r="B16" s="166">
        <v>2</v>
      </c>
      <c r="C16" s="167">
        <v>21864</v>
      </c>
      <c r="D16" s="167">
        <f t="shared" si="2"/>
        <v>22957.200000000001</v>
      </c>
      <c r="E16" s="171">
        <f t="shared" si="0"/>
        <v>45914.400000000001</v>
      </c>
      <c r="F16" s="171">
        <v>0</v>
      </c>
      <c r="G16" s="171">
        <v>0</v>
      </c>
      <c r="H16" s="171">
        <f t="shared" si="3"/>
        <v>45914.400000000001</v>
      </c>
      <c r="I16" s="182">
        <f t="shared" si="1"/>
        <v>19.63</v>
      </c>
      <c r="J16" s="182">
        <v>0</v>
      </c>
      <c r="K16" s="180"/>
      <c r="L16" s="180">
        <f t="shared" si="4"/>
        <v>19.63</v>
      </c>
      <c r="M16" s="171">
        <f t="shared" si="5"/>
        <v>450649.83600000001</v>
      </c>
      <c r="N16" s="171">
        <f t="shared" si="6"/>
        <v>0</v>
      </c>
      <c r="O16" s="171">
        <f t="shared" si="7"/>
        <v>0</v>
      </c>
      <c r="P16" s="171">
        <f t="shared" si="8"/>
        <v>450649.83600000001</v>
      </c>
    </row>
    <row r="17" spans="2:16" ht="15" customHeight="1" x14ac:dyDescent="0.3">
      <c r="B17" s="164">
        <v>3</v>
      </c>
      <c r="C17" s="165">
        <v>18733</v>
      </c>
      <c r="D17" s="165">
        <f t="shared" si="2"/>
        <v>19669.650000000001</v>
      </c>
      <c r="E17" s="54">
        <f>+IF($B17&gt;2,2,$B17)*$D17</f>
        <v>39339.300000000003</v>
      </c>
      <c r="F17" s="54">
        <f t="shared" ref="F17:F80" si="9">+IF($B17&gt;15,13,$B17-2)*$D17</f>
        <v>19669.650000000001</v>
      </c>
      <c r="G17" s="54">
        <f t="shared" ref="G17:G80" si="10">+IF($B17&gt;15,$B17-15,0)*$D17</f>
        <v>0</v>
      </c>
      <c r="H17" s="54">
        <f t="shared" si="3"/>
        <v>59008.950000000004</v>
      </c>
      <c r="I17" s="40">
        <f t="shared" si="1"/>
        <v>19.63</v>
      </c>
      <c r="J17" s="40">
        <f t="shared" ref="J17:J80" si="11">+IF($B17&gt;15,13,$B17-2)*$J$9</f>
        <v>6.4</v>
      </c>
      <c r="K17" s="40">
        <f t="shared" ref="K17:K80" si="12">+IF($B17&gt;15,$B17-15,0)*$K$9</f>
        <v>0</v>
      </c>
      <c r="L17" s="179">
        <f t="shared" si="4"/>
        <v>26.03</v>
      </c>
      <c r="M17" s="54">
        <f t="shared" si="5"/>
        <v>386115.22950000002</v>
      </c>
      <c r="N17" s="54">
        <f t="shared" si="6"/>
        <v>125885.76000000001</v>
      </c>
      <c r="O17" s="54">
        <f t="shared" si="7"/>
        <v>0</v>
      </c>
      <c r="P17" s="54">
        <f t="shared" si="8"/>
        <v>512000.98950000003</v>
      </c>
    </row>
    <row r="18" spans="2:16" ht="15" customHeight="1" x14ac:dyDescent="0.3">
      <c r="B18" s="164">
        <v>4</v>
      </c>
      <c r="C18" s="165">
        <v>12622</v>
      </c>
      <c r="D18" s="165">
        <f t="shared" si="2"/>
        <v>13253.1</v>
      </c>
      <c r="E18" s="54">
        <f t="shared" si="0"/>
        <v>26506.2</v>
      </c>
      <c r="F18" s="54">
        <f t="shared" si="9"/>
        <v>26506.2</v>
      </c>
      <c r="G18" s="54">
        <f t="shared" si="10"/>
        <v>0</v>
      </c>
      <c r="H18" s="54">
        <f t="shared" si="3"/>
        <v>53012.4</v>
      </c>
      <c r="I18" s="40">
        <f t="shared" si="1"/>
        <v>19.63</v>
      </c>
      <c r="J18" s="40">
        <f t="shared" si="11"/>
        <v>12.8</v>
      </c>
      <c r="K18" s="40">
        <f t="shared" si="12"/>
        <v>0</v>
      </c>
      <c r="L18" s="179">
        <f t="shared" si="4"/>
        <v>32.43</v>
      </c>
      <c r="M18" s="54">
        <f t="shared" si="5"/>
        <v>260158.353</v>
      </c>
      <c r="N18" s="54">
        <f t="shared" si="6"/>
        <v>169639.68000000002</v>
      </c>
      <c r="O18" s="54">
        <f t="shared" si="7"/>
        <v>0</v>
      </c>
      <c r="P18" s="54">
        <f t="shared" si="8"/>
        <v>429798.03300000005</v>
      </c>
    </row>
    <row r="19" spans="2:16" ht="15" customHeight="1" x14ac:dyDescent="0.3">
      <c r="B19" s="164">
        <v>5</v>
      </c>
      <c r="C19" s="165">
        <v>7621</v>
      </c>
      <c r="D19" s="165">
        <f t="shared" si="2"/>
        <v>8002.05</v>
      </c>
      <c r="E19" s="54">
        <f t="shared" si="0"/>
        <v>16004.1</v>
      </c>
      <c r="F19" s="54">
        <f t="shared" si="9"/>
        <v>24006.15</v>
      </c>
      <c r="G19" s="54">
        <f t="shared" si="10"/>
        <v>0</v>
      </c>
      <c r="H19" s="54">
        <f t="shared" si="3"/>
        <v>40010.25</v>
      </c>
      <c r="I19" s="40">
        <f t="shared" si="1"/>
        <v>19.63</v>
      </c>
      <c r="J19" s="40">
        <f t="shared" si="11"/>
        <v>19.200000000000003</v>
      </c>
      <c r="K19" s="40">
        <f t="shared" si="12"/>
        <v>0</v>
      </c>
      <c r="L19" s="179">
        <f t="shared" si="4"/>
        <v>38.83</v>
      </c>
      <c r="M19" s="54">
        <f t="shared" si="5"/>
        <v>157080.2415</v>
      </c>
      <c r="N19" s="54">
        <f t="shared" si="6"/>
        <v>153639.36000000002</v>
      </c>
      <c r="O19" s="54">
        <f t="shared" si="7"/>
        <v>0</v>
      </c>
      <c r="P19" s="54">
        <f t="shared" si="8"/>
        <v>310719.60149999999</v>
      </c>
    </row>
    <row r="20" spans="2:16" ht="15" customHeight="1" x14ac:dyDescent="0.3">
      <c r="B20" s="164">
        <v>6</v>
      </c>
      <c r="C20" s="165">
        <v>4549</v>
      </c>
      <c r="D20" s="165">
        <f t="shared" si="2"/>
        <v>4776.45</v>
      </c>
      <c r="E20" s="54">
        <f t="shared" si="0"/>
        <v>9552.9</v>
      </c>
      <c r="F20" s="54">
        <f t="shared" si="9"/>
        <v>19105.8</v>
      </c>
      <c r="G20" s="54">
        <f t="shared" si="10"/>
        <v>0</v>
      </c>
      <c r="H20" s="54">
        <f t="shared" si="3"/>
        <v>28658.699999999997</v>
      </c>
      <c r="I20" s="40">
        <f t="shared" si="1"/>
        <v>19.63</v>
      </c>
      <c r="J20" s="40">
        <f t="shared" si="11"/>
        <v>25.6</v>
      </c>
      <c r="K20" s="40">
        <f t="shared" si="12"/>
        <v>0</v>
      </c>
      <c r="L20" s="179">
        <f t="shared" si="4"/>
        <v>45.230000000000004</v>
      </c>
      <c r="M20" s="54">
        <f t="shared" si="5"/>
        <v>93761.713499999998</v>
      </c>
      <c r="N20" s="54">
        <f t="shared" si="6"/>
        <v>122277.12</v>
      </c>
      <c r="O20" s="54">
        <f t="shared" si="7"/>
        <v>0</v>
      </c>
      <c r="P20" s="54">
        <f t="shared" si="8"/>
        <v>216038.83350000001</v>
      </c>
    </row>
    <row r="21" spans="2:16" ht="15" customHeight="1" x14ac:dyDescent="0.3">
      <c r="B21" s="164">
        <v>7</v>
      </c>
      <c r="C21" s="165">
        <v>2650</v>
      </c>
      <c r="D21" s="165">
        <f t="shared" si="2"/>
        <v>2782.5</v>
      </c>
      <c r="E21" s="54">
        <f t="shared" si="0"/>
        <v>5565</v>
      </c>
      <c r="F21" s="54">
        <f t="shared" si="9"/>
        <v>13912.5</v>
      </c>
      <c r="G21" s="54">
        <f t="shared" si="10"/>
        <v>0</v>
      </c>
      <c r="H21" s="54">
        <f t="shared" si="3"/>
        <v>19477.5</v>
      </c>
      <c r="I21" s="40">
        <f t="shared" si="1"/>
        <v>19.63</v>
      </c>
      <c r="J21" s="40">
        <f t="shared" si="11"/>
        <v>32</v>
      </c>
      <c r="K21" s="40">
        <f t="shared" si="12"/>
        <v>0</v>
      </c>
      <c r="L21" s="179">
        <f t="shared" si="4"/>
        <v>51.629999999999995</v>
      </c>
      <c r="M21" s="54">
        <f t="shared" si="5"/>
        <v>54620.474999999999</v>
      </c>
      <c r="N21" s="54">
        <f t="shared" si="6"/>
        <v>89040</v>
      </c>
      <c r="O21" s="54">
        <f t="shared" si="7"/>
        <v>0</v>
      </c>
      <c r="P21" s="54">
        <f t="shared" si="8"/>
        <v>143660.47500000001</v>
      </c>
    </row>
    <row r="22" spans="2:16" ht="15" customHeight="1" x14ac:dyDescent="0.3">
      <c r="B22" s="164">
        <v>8</v>
      </c>
      <c r="C22" s="165">
        <v>1642</v>
      </c>
      <c r="D22" s="165">
        <f t="shared" si="2"/>
        <v>1724.1000000000001</v>
      </c>
      <c r="E22" s="54">
        <f t="shared" si="0"/>
        <v>3448.2000000000003</v>
      </c>
      <c r="F22" s="54">
        <f t="shared" si="9"/>
        <v>10344.6</v>
      </c>
      <c r="G22" s="54">
        <f t="shared" si="10"/>
        <v>0</v>
      </c>
      <c r="H22" s="54">
        <f t="shared" si="3"/>
        <v>13792.800000000001</v>
      </c>
      <c r="I22" s="40">
        <f t="shared" si="1"/>
        <v>19.63</v>
      </c>
      <c r="J22" s="40">
        <f t="shared" si="11"/>
        <v>38.400000000000006</v>
      </c>
      <c r="K22" s="40">
        <f t="shared" si="12"/>
        <v>0</v>
      </c>
      <c r="L22" s="179">
        <f t="shared" si="4"/>
        <v>58.03</v>
      </c>
      <c r="M22" s="54">
        <f t="shared" si="5"/>
        <v>33844.082999999999</v>
      </c>
      <c r="N22" s="54">
        <f t="shared" si="6"/>
        <v>66205.440000000017</v>
      </c>
      <c r="O22" s="54">
        <f t="shared" si="7"/>
        <v>0</v>
      </c>
      <c r="P22" s="54">
        <f t="shared" si="8"/>
        <v>100049.52300000002</v>
      </c>
    </row>
    <row r="23" spans="2:16" ht="15" customHeight="1" x14ac:dyDescent="0.3">
      <c r="B23" s="164">
        <v>9</v>
      </c>
      <c r="C23" s="165">
        <v>1021</v>
      </c>
      <c r="D23" s="165">
        <f t="shared" si="2"/>
        <v>1072.05</v>
      </c>
      <c r="E23" s="54">
        <f t="shared" si="0"/>
        <v>2144.1</v>
      </c>
      <c r="F23" s="54">
        <f t="shared" si="9"/>
        <v>7504.3499999999995</v>
      </c>
      <c r="G23" s="54">
        <f t="shared" si="10"/>
        <v>0</v>
      </c>
      <c r="H23" s="54">
        <f t="shared" si="3"/>
        <v>9648.4499999999989</v>
      </c>
      <c r="I23" s="40">
        <f t="shared" si="1"/>
        <v>19.63</v>
      </c>
      <c r="J23" s="40">
        <f t="shared" si="11"/>
        <v>44.800000000000004</v>
      </c>
      <c r="K23" s="40">
        <f t="shared" si="12"/>
        <v>0</v>
      </c>
      <c r="L23" s="179">
        <f t="shared" si="4"/>
        <v>64.430000000000007</v>
      </c>
      <c r="M23" s="54">
        <f t="shared" si="5"/>
        <v>21044.341499999999</v>
      </c>
      <c r="N23" s="54">
        <f t="shared" si="6"/>
        <v>48027.840000000004</v>
      </c>
      <c r="O23" s="54">
        <f t="shared" si="7"/>
        <v>0</v>
      </c>
      <c r="P23" s="54">
        <f t="shared" si="8"/>
        <v>69072.181500000006</v>
      </c>
    </row>
    <row r="24" spans="2:16" ht="15" customHeight="1" x14ac:dyDescent="0.3">
      <c r="B24" s="164">
        <v>10</v>
      </c>
      <c r="C24" s="165">
        <v>743</v>
      </c>
      <c r="D24" s="165">
        <f t="shared" si="2"/>
        <v>780.15</v>
      </c>
      <c r="E24" s="54">
        <f t="shared" si="0"/>
        <v>1560.3</v>
      </c>
      <c r="F24" s="54">
        <f t="shared" si="9"/>
        <v>6241.2</v>
      </c>
      <c r="G24" s="54">
        <f t="shared" si="10"/>
        <v>0</v>
      </c>
      <c r="H24" s="54">
        <f t="shared" si="3"/>
        <v>7801.5</v>
      </c>
      <c r="I24" s="40">
        <f t="shared" si="1"/>
        <v>19.63</v>
      </c>
      <c r="J24" s="40">
        <f t="shared" si="11"/>
        <v>51.2</v>
      </c>
      <c r="K24" s="40">
        <f t="shared" si="12"/>
        <v>0</v>
      </c>
      <c r="L24" s="179">
        <f t="shared" si="4"/>
        <v>70.83</v>
      </c>
      <c r="M24" s="54">
        <f t="shared" si="5"/>
        <v>15314.344499999999</v>
      </c>
      <c r="N24" s="54">
        <f t="shared" si="6"/>
        <v>39943.68</v>
      </c>
      <c r="O24" s="54">
        <f t="shared" si="7"/>
        <v>0</v>
      </c>
      <c r="P24" s="54">
        <f t="shared" si="8"/>
        <v>55258.0245</v>
      </c>
    </row>
    <row r="25" spans="2:16" ht="15" customHeight="1" x14ac:dyDescent="0.3">
      <c r="B25" s="164">
        <v>11</v>
      </c>
      <c r="C25" s="165">
        <v>528</v>
      </c>
      <c r="D25" s="165">
        <f t="shared" si="2"/>
        <v>554.4</v>
      </c>
      <c r="E25" s="54">
        <f t="shared" si="0"/>
        <v>1108.8</v>
      </c>
      <c r="F25" s="54">
        <f t="shared" si="9"/>
        <v>4989.5999999999995</v>
      </c>
      <c r="G25" s="54">
        <f t="shared" si="10"/>
        <v>0</v>
      </c>
      <c r="H25" s="54">
        <f t="shared" si="3"/>
        <v>6098.4</v>
      </c>
      <c r="I25" s="40">
        <f t="shared" si="1"/>
        <v>19.63</v>
      </c>
      <c r="J25" s="40">
        <f t="shared" si="11"/>
        <v>57.6</v>
      </c>
      <c r="K25" s="40">
        <f t="shared" si="12"/>
        <v>0</v>
      </c>
      <c r="L25" s="179">
        <f t="shared" si="4"/>
        <v>77.23</v>
      </c>
      <c r="M25" s="54">
        <f t="shared" si="5"/>
        <v>10882.871999999999</v>
      </c>
      <c r="N25" s="54">
        <f t="shared" si="6"/>
        <v>31933.439999999999</v>
      </c>
      <c r="O25" s="54">
        <f t="shared" si="7"/>
        <v>0</v>
      </c>
      <c r="P25" s="54">
        <f t="shared" si="8"/>
        <v>42816.311999999998</v>
      </c>
    </row>
    <row r="26" spans="2:16" ht="14" x14ac:dyDescent="0.3">
      <c r="B26" s="164">
        <v>12</v>
      </c>
      <c r="C26" s="165">
        <v>403</v>
      </c>
      <c r="D26" s="165">
        <f t="shared" si="2"/>
        <v>423.15000000000003</v>
      </c>
      <c r="E26" s="54">
        <f t="shared" si="0"/>
        <v>846.30000000000007</v>
      </c>
      <c r="F26" s="54">
        <f t="shared" si="9"/>
        <v>4231.5</v>
      </c>
      <c r="G26" s="54">
        <f t="shared" si="10"/>
        <v>0</v>
      </c>
      <c r="H26" s="54">
        <f t="shared" si="3"/>
        <v>5077.8</v>
      </c>
      <c r="I26" s="40">
        <f t="shared" si="1"/>
        <v>19.63</v>
      </c>
      <c r="J26" s="40">
        <f t="shared" si="11"/>
        <v>64</v>
      </c>
      <c r="K26" s="40">
        <f t="shared" si="12"/>
        <v>0</v>
      </c>
      <c r="L26" s="179">
        <f t="shared" si="4"/>
        <v>83.63</v>
      </c>
      <c r="M26" s="54">
        <f t="shared" si="5"/>
        <v>8306.4344999999994</v>
      </c>
      <c r="N26" s="54">
        <f t="shared" si="6"/>
        <v>27081.600000000002</v>
      </c>
      <c r="O26" s="54">
        <f t="shared" si="7"/>
        <v>0</v>
      </c>
      <c r="P26" s="54">
        <f t="shared" si="8"/>
        <v>35388.034500000002</v>
      </c>
    </row>
    <row r="27" spans="2:16" ht="15" customHeight="1" x14ac:dyDescent="0.3">
      <c r="B27" s="164">
        <v>13</v>
      </c>
      <c r="C27" s="165">
        <v>317</v>
      </c>
      <c r="D27" s="165">
        <f t="shared" si="2"/>
        <v>332.85</v>
      </c>
      <c r="E27" s="54">
        <f t="shared" si="0"/>
        <v>665.7</v>
      </c>
      <c r="F27" s="54">
        <f t="shared" si="9"/>
        <v>3661.3500000000004</v>
      </c>
      <c r="G27" s="54">
        <f t="shared" si="10"/>
        <v>0</v>
      </c>
      <c r="H27" s="54">
        <f t="shared" si="3"/>
        <v>4327.05</v>
      </c>
      <c r="I27" s="40">
        <f t="shared" si="1"/>
        <v>19.63</v>
      </c>
      <c r="J27" s="40">
        <f t="shared" si="11"/>
        <v>70.400000000000006</v>
      </c>
      <c r="K27" s="40">
        <f t="shared" si="12"/>
        <v>0</v>
      </c>
      <c r="L27" s="179">
        <f t="shared" si="4"/>
        <v>90.03</v>
      </c>
      <c r="M27" s="54">
        <f t="shared" si="5"/>
        <v>6533.8455000000004</v>
      </c>
      <c r="N27" s="54">
        <f t="shared" si="6"/>
        <v>23432.640000000003</v>
      </c>
      <c r="O27" s="54">
        <f t="shared" si="7"/>
        <v>0</v>
      </c>
      <c r="P27" s="54">
        <f t="shared" si="8"/>
        <v>29966.485500000003</v>
      </c>
    </row>
    <row r="28" spans="2:16" ht="15" customHeight="1" x14ac:dyDescent="0.3">
      <c r="B28" s="164">
        <v>14</v>
      </c>
      <c r="C28" s="165">
        <v>254</v>
      </c>
      <c r="D28" s="165">
        <f t="shared" si="2"/>
        <v>266.7</v>
      </c>
      <c r="E28" s="54">
        <f t="shared" si="0"/>
        <v>533.4</v>
      </c>
      <c r="F28" s="54">
        <f t="shared" si="9"/>
        <v>3200.3999999999996</v>
      </c>
      <c r="G28" s="54">
        <f t="shared" si="10"/>
        <v>0</v>
      </c>
      <c r="H28" s="54">
        <f t="shared" si="3"/>
        <v>3733.7999999999997</v>
      </c>
      <c r="I28" s="40">
        <f t="shared" si="1"/>
        <v>19.63</v>
      </c>
      <c r="J28" s="40">
        <f t="shared" si="11"/>
        <v>76.800000000000011</v>
      </c>
      <c r="K28" s="40">
        <f t="shared" si="12"/>
        <v>0</v>
      </c>
      <c r="L28" s="179">
        <f t="shared" si="4"/>
        <v>96.43</v>
      </c>
      <c r="M28" s="54">
        <f t="shared" si="5"/>
        <v>5235.3209999999999</v>
      </c>
      <c r="N28" s="54">
        <f t="shared" si="6"/>
        <v>20482.560000000001</v>
      </c>
      <c r="O28" s="54">
        <f t="shared" si="7"/>
        <v>0</v>
      </c>
      <c r="P28" s="54">
        <f t="shared" si="8"/>
        <v>25717.881000000001</v>
      </c>
    </row>
    <row r="29" spans="2:16" ht="15" customHeight="1" x14ac:dyDescent="0.3">
      <c r="B29" s="166">
        <v>15</v>
      </c>
      <c r="C29" s="167">
        <v>211</v>
      </c>
      <c r="D29" s="167">
        <f t="shared" si="2"/>
        <v>221.55</v>
      </c>
      <c r="E29" s="171">
        <f t="shared" si="0"/>
        <v>443.1</v>
      </c>
      <c r="F29" s="171">
        <f t="shared" si="9"/>
        <v>2880.15</v>
      </c>
      <c r="G29" s="171">
        <f t="shared" si="10"/>
        <v>0</v>
      </c>
      <c r="H29" s="171">
        <f t="shared" si="3"/>
        <v>3323.25</v>
      </c>
      <c r="I29" s="182">
        <f t="shared" si="1"/>
        <v>19.63</v>
      </c>
      <c r="J29" s="182">
        <f t="shared" si="11"/>
        <v>83.2</v>
      </c>
      <c r="K29" s="182">
        <f t="shared" si="12"/>
        <v>0</v>
      </c>
      <c r="L29" s="180">
        <f t="shared" si="4"/>
        <v>102.83</v>
      </c>
      <c r="M29" s="171">
        <f t="shared" si="5"/>
        <v>4349.0264999999999</v>
      </c>
      <c r="N29" s="171">
        <f t="shared" si="6"/>
        <v>18432.960000000003</v>
      </c>
      <c r="O29" s="171">
        <f t="shared" si="7"/>
        <v>0</v>
      </c>
      <c r="P29" s="171">
        <f t="shared" si="8"/>
        <v>22781.986500000003</v>
      </c>
    </row>
    <row r="30" spans="2:16" ht="15" customHeight="1" x14ac:dyDescent="0.3">
      <c r="B30" s="164">
        <v>16</v>
      </c>
      <c r="C30" s="165">
        <v>183</v>
      </c>
      <c r="D30" s="165">
        <f t="shared" si="2"/>
        <v>192.15</v>
      </c>
      <c r="E30" s="54">
        <f t="shared" si="0"/>
        <v>384.3</v>
      </c>
      <c r="F30" s="54">
        <f t="shared" si="9"/>
        <v>2497.9500000000003</v>
      </c>
      <c r="G30" s="54">
        <f t="shared" si="10"/>
        <v>192.15</v>
      </c>
      <c r="H30" s="54">
        <f t="shared" si="3"/>
        <v>3074.4000000000005</v>
      </c>
      <c r="I30" s="40">
        <f t="shared" si="1"/>
        <v>19.63</v>
      </c>
      <c r="J30" s="40">
        <f t="shared" si="11"/>
        <v>83.2</v>
      </c>
      <c r="K30" s="40">
        <f t="shared" si="12"/>
        <v>5.76</v>
      </c>
      <c r="L30" s="179">
        <f t="shared" si="4"/>
        <v>108.59</v>
      </c>
      <c r="M30" s="54">
        <f t="shared" si="5"/>
        <v>3771.9045000000001</v>
      </c>
      <c r="N30" s="54">
        <f t="shared" si="6"/>
        <v>15986.880000000001</v>
      </c>
      <c r="O30" s="54">
        <f t="shared" si="7"/>
        <v>1106.7840000000001</v>
      </c>
      <c r="P30" s="54">
        <f t="shared" si="8"/>
        <v>20865.568500000001</v>
      </c>
    </row>
    <row r="31" spans="2:16" ht="15" customHeight="1" x14ac:dyDescent="0.3">
      <c r="B31" s="164">
        <v>17</v>
      </c>
      <c r="C31" s="165">
        <v>130</v>
      </c>
      <c r="D31" s="165">
        <f t="shared" si="2"/>
        <v>136.5</v>
      </c>
      <c r="E31" s="54">
        <f t="shared" si="0"/>
        <v>273</v>
      </c>
      <c r="F31" s="54">
        <f t="shared" si="9"/>
        <v>1774.5</v>
      </c>
      <c r="G31" s="54">
        <f t="shared" si="10"/>
        <v>273</v>
      </c>
      <c r="H31" s="54">
        <f t="shared" si="3"/>
        <v>2320.5</v>
      </c>
      <c r="I31" s="40">
        <f t="shared" si="1"/>
        <v>19.63</v>
      </c>
      <c r="J31" s="40">
        <f t="shared" si="11"/>
        <v>83.2</v>
      </c>
      <c r="K31" s="40">
        <f t="shared" si="12"/>
        <v>11.52</v>
      </c>
      <c r="L31" s="179">
        <f t="shared" si="4"/>
        <v>114.35</v>
      </c>
      <c r="M31" s="54">
        <f t="shared" si="5"/>
        <v>2679.4949999999999</v>
      </c>
      <c r="N31" s="54">
        <f t="shared" si="6"/>
        <v>11356.800000000001</v>
      </c>
      <c r="O31" s="54">
        <f t="shared" si="7"/>
        <v>1572.48</v>
      </c>
      <c r="P31" s="54">
        <f t="shared" si="8"/>
        <v>15608.775000000001</v>
      </c>
    </row>
    <row r="32" spans="2:16" ht="15" customHeight="1" x14ac:dyDescent="0.3">
      <c r="B32" s="164">
        <v>18</v>
      </c>
      <c r="C32" s="165">
        <v>123</v>
      </c>
      <c r="D32" s="165">
        <f t="shared" si="2"/>
        <v>129.15</v>
      </c>
      <c r="E32" s="54">
        <f t="shared" si="0"/>
        <v>258.3</v>
      </c>
      <c r="F32" s="54">
        <f t="shared" si="9"/>
        <v>1678.95</v>
      </c>
      <c r="G32" s="54">
        <f t="shared" si="10"/>
        <v>387.45000000000005</v>
      </c>
      <c r="H32" s="54">
        <f t="shared" si="3"/>
        <v>2324.6999999999998</v>
      </c>
      <c r="I32" s="40">
        <f t="shared" si="1"/>
        <v>19.63</v>
      </c>
      <c r="J32" s="40">
        <f t="shared" si="11"/>
        <v>83.2</v>
      </c>
      <c r="K32" s="40">
        <f t="shared" si="12"/>
        <v>17.28</v>
      </c>
      <c r="L32" s="179">
        <f t="shared" si="4"/>
        <v>120.11</v>
      </c>
      <c r="M32" s="54">
        <f t="shared" si="5"/>
        <v>2535.2145</v>
      </c>
      <c r="N32" s="54">
        <f t="shared" si="6"/>
        <v>10745.28</v>
      </c>
      <c r="O32" s="54">
        <f t="shared" si="7"/>
        <v>2231.7120000000004</v>
      </c>
      <c r="P32" s="54">
        <f t="shared" si="8"/>
        <v>15512.2065</v>
      </c>
    </row>
    <row r="33" spans="2:16" ht="15" customHeight="1" x14ac:dyDescent="0.3">
      <c r="B33" s="164">
        <v>19</v>
      </c>
      <c r="C33" s="165">
        <v>78</v>
      </c>
      <c r="D33" s="165">
        <f t="shared" si="2"/>
        <v>81.900000000000006</v>
      </c>
      <c r="E33" s="54">
        <f t="shared" si="0"/>
        <v>163.80000000000001</v>
      </c>
      <c r="F33" s="54">
        <f t="shared" si="9"/>
        <v>1064.7</v>
      </c>
      <c r="G33" s="54">
        <f t="shared" si="10"/>
        <v>327.60000000000002</v>
      </c>
      <c r="H33" s="54">
        <f t="shared" si="3"/>
        <v>1556.1</v>
      </c>
      <c r="I33" s="40">
        <f t="shared" si="1"/>
        <v>19.63</v>
      </c>
      <c r="J33" s="40">
        <f t="shared" si="11"/>
        <v>83.2</v>
      </c>
      <c r="K33" s="40">
        <f t="shared" si="12"/>
        <v>23.04</v>
      </c>
      <c r="L33" s="179">
        <f t="shared" si="4"/>
        <v>125.87</v>
      </c>
      <c r="M33" s="54">
        <f t="shared" si="5"/>
        <v>1607.6970000000001</v>
      </c>
      <c r="N33" s="54">
        <f t="shared" si="6"/>
        <v>6814.0800000000008</v>
      </c>
      <c r="O33" s="54">
        <f t="shared" si="7"/>
        <v>1886.9760000000001</v>
      </c>
      <c r="P33" s="54">
        <f t="shared" si="8"/>
        <v>10308.753000000002</v>
      </c>
    </row>
    <row r="34" spans="2:16" ht="15" customHeight="1" x14ac:dyDescent="0.3">
      <c r="B34" s="164">
        <v>20</v>
      </c>
      <c r="C34" s="165">
        <v>107</v>
      </c>
      <c r="D34" s="165">
        <f t="shared" si="2"/>
        <v>112.35000000000001</v>
      </c>
      <c r="E34" s="54">
        <f t="shared" si="0"/>
        <v>224.70000000000002</v>
      </c>
      <c r="F34" s="54">
        <f t="shared" si="9"/>
        <v>1460.5500000000002</v>
      </c>
      <c r="G34" s="54">
        <f t="shared" si="10"/>
        <v>561.75</v>
      </c>
      <c r="H34" s="54">
        <f t="shared" si="3"/>
        <v>2247</v>
      </c>
      <c r="I34" s="40">
        <f t="shared" si="1"/>
        <v>19.63</v>
      </c>
      <c r="J34" s="40">
        <f t="shared" si="11"/>
        <v>83.2</v>
      </c>
      <c r="K34" s="40">
        <f t="shared" si="12"/>
        <v>28.799999999999997</v>
      </c>
      <c r="L34" s="179">
        <f t="shared" si="4"/>
        <v>131.63</v>
      </c>
      <c r="M34" s="54">
        <f t="shared" si="5"/>
        <v>2205.4304999999999</v>
      </c>
      <c r="N34" s="54">
        <f t="shared" si="6"/>
        <v>9347.52</v>
      </c>
      <c r="O34" s="54">
        <f t="shared" si="7"/>
        <v>3235.68</v>
      </c>
      <c r="P34" s="54">
        <f t="shared" si="8"/>
        <v>14788.630500000001</v>
      </c>
    </row>
    <row r="35" spans="2:16" ht="15" customHeight="1" x14ac:dyDescent="0.3">
      <c r="B35" s="164">
        <v>21</v>
      </c>
      <c r="C35" s="165">
        <v>84</v>
      </c>
      <c r="D35" s="165">
        <f t="shared" si="2"/>
        <v>88.2</v>
      </c>
      <c r="E35" s="54">
        <f t="shared" si="0"/>
        <v>176.4</v>
      </c>
      <c r="F35" s="54">
        <f t="shared" si="9"/>
        <v>1146.6000000000001</v>
      </c>
      <c r="G35" s="54">
        <f t="shared" si="10"/>
        <v>529.20000000000005</v>
      </c>
      <c r="H35" s="54">
        <f t="shared" si="3"/>
        <v>1852.2000000000003</v>
      </c>
      <c r="I35" s="40">
        <f t="shared" si="1"/>
        <v>19.63</v>
      </c>
      <c r="J35" s="40">
        <f t="shared" si="11"/>
        <v>83.2</v>
      </c>
      <c r="K35" s="40">
        <f t="shared" si="12"/>
        <v>34.56</v>
      </c>
      <c r="L35" s="179">
        <f t="shared" si="4"/>
        <v>137.38999999999999</v>
      </c>
      <c r="M35" s="54">
        <f t="shared" si="5"/>
        <v>1731.366</v>
      </c>
      <c r="N35" s="54">
        <f t="shared" si="6"/>
        <v>7338.2400000000007</v>
      </c>
      <c r="O35" s="54">
        <f t="shared" si="7"/>
        <v>3048.1920000000005</v>
      </c>
      <c r="P35" s="54">
        <f t="shared" si="8"/>
        <v>12117.798000000001</v>
      </c>
    </row>
    <row r="36" spans="2:16" ht="15" customHeight="1" x14ac:dyDescent="0.3">
      <c r="B36" s="164">
        <v>22</v>
      </c>
      <c r="C36" s="165">
        <v>69</v>
      </c>
      <c r="D36" s="165">
        <f t="shared" si="2"/>
        <v>72.45</v>
      </c>
      <c r="E36" s="54">
        <f t="shared" si="0"/>
        <v>144.9</v>
      </c>
      <c r="F36" s="54">
        <f t="shared" si="9"/>
        <v>941.85</v>
      </c>
      <c r="G36" s="54">
        <f t="shared" si="10"/>
        <v>507.15000000000003</v>
      </c>
      <c r="H36" s="54">
        <f t="shared" si="3"/>
        <v>1593.9</v>
      </c>
      <c r="I36" s="40">
        <f t="shared" si="1"/>
        <v>19.63</v>
      </c>
      <c r="J36" s="40">
        <f t="shared" si="11"/>
        <v>83.2</v>
      </c>
      <c r="K36" s="40">
        <f t="shared" si="12"/>
        <v>40.32</v>
      </c>
      <c r="L36" s="179">
        <f t="shared" si="4"/>
        <v>143.15</v>
      </c>
      <c r="M36" s="54">
        <f t="shared" si="5"/>
        <v>1422.1935000000001</v>
      </c>
      <c r="N36" s="54">
        <f t="shared" si="6"/>
        <v>6027.84</v>
      </c>
      <c r="O36" s="54">
        <f t="shared" si="7"/>
        <v>2921.1840000000002</v>
      </c>
      <c r="P36" s="54">
        <f t="shared" si="8"/>
        <v>10371.217500000001</v>
      </c>
    </row>
    <row r="37" spans="2:16" ht="15" customHeight="1" x14ac:dyDescent="0.3">
      <c r="B37" s="164">
        <v>23</v>
      </c>
      <c r="C37" s="165">
        <v>84</v>
      </c>
      <c r="D37" s="165">
        <f t="shared" si="2"/>
        <v>88.2</v>
      </c>
      <c r="E37" s="54">
        <f t="shared" si="0"/>
        <v>176.4</v>
      </c>
      <c r="F37" s="54">
        <f t="shared" si="9"/>
        <v>1146.6000000000001</v>
      </c>
      <c r="G37" s="54">
        <f t="shared" si="10"/>
        <v>705.6</v>
      </c>
      <c r="H37" s="54">
        <f t="shared" si="3"/>
        <v>2028.6000000000004</v>
      </c>
      <c r="I37" s="40">
        <f t="shared" si="1"/>
        <v>19.63</v>
      </c>
      <c r="J37" s="40">
        <f t="shared" si="11"/>
        <v>83.2</v>
      </c>
      <c r="K37" s="40">
        <f t="shared" si="12"/>
        <v>46.08</v>
      </c>
      <c r="L37" s="179">
        <f t="shared" si="4"/>
        <v>148.91</v>
      </c>
      <c r="M37" s="54">
        <f t="shared" si="5"/>
        <v>1731.366</v>
      </c>
      <c r="N37" s="54">
        <f t="shared" si="6"/>
        <v>7338.2400000000007</v>
      </c>
      <c r="O37" s="54">
        <f t="shared" si="7"/>
        <v>4064.2559999999999</v>
      </c>
      <c r="P37" s="54">
        <f t="shared" si="8"/>
        <v>13133.861999999999</v>
      </c>
    </row>
    <row r="38" spans="2:16" ht="15" customHeight="1" x14ac:dyDescent="0.3">
      <c r="B38" s="164">
        <v>24</v>
      </c>
      <c r="C38" s="165">
        <v>65</v>
      </c>
      <c r="D38" s="165">
        <f t="shared" si="2"/>
        <v>68.25</v>
      </c>
      <c r="E38" s="54">
        <f t="shared" si="0"/>
        <v>136.5</v>
      </c>
      <c r="F38" s="54">
        <f t="shared" si="9"/>
        <v>887.25</v>
      </c>
      <c r="G38" s="54">
        <f t="shared" si="10"/>
        <v>614.25</v>
      </c>
      <c r="H38" s="54">
        <f t="shared" si="3"/>
        <v>1638</v>
      </c>
      <c r="I38" s="40">
        <f t="shared" si="1"/>
        <v>19.63</v>
      </c>
      <c r="J38" s="40">
        <f t="shared" si="11"/>
        <v>83.2</v>
      </c>
      <c r="K38" s="40">
        <f t="shared" si="12"/>
        <v>51.839999999999996</v>
      </c>
      <c r="L38" s="179">
        <f t="shared" si="4"/>
        <v>154.66999999999999</v>
      </c>
      <c r="M38" s="54">
        <f t="shared" si="5"/>
        <v>1339.7474999999999</v>
      </c>
      <c r="N38" s="54">
        <f t="shared" si="6"/>
        <v>5678.4000000000005</v>
      </c>
      <c r="O38" s="54">
        <f t="shared" si="7"/>
        <v>3538.08</v>
      </c>
      <c r="P38" s="54">
        <f t="shared" si="8"/>
        <v>10556.227500000001</v>
      </c>
    </row>
    <row r="39" spans="2:16" ht="15" customHeight="1" x14ac:dyDescent="0.3">
      <c r="B39" s="164">
        <v>25</v>
      </c>
      <c r="C39" s="165">
        <v>50</v>
      </c>
      <c r="D39" s="165">
        <f t="shared" si="2"/>
        <v>52.5</v>
      </c>
      <c r="E39" s="54">
        <f t="shared" si="0"/>
        <v>105</v>
      </c>
      <c r="F39" s="54">
        <f t="shared" si="9"/>
        <v>682.5</v>
      </c>
      <c r="G39" s="54">
        <f t="shared" si="10"/>
        <v>525</v>
      </c>
      <c r="H39" s="54">
        <f t="shared" si="3"/>
        <v>1312.5</v>
      </c>
      <c r="I39" s="40">
        <f t="shared" si="1"/>
        <v>19.63</v>
      </c>
      <c r="J39" s="40">
        <f t="shared" si="11"/>
        <v>83.2</v>
      </c>
      <c r="K39" s="40">
        <f t="shared" si="12"/>
        <v>57.599999999999994</v>
      </c>
      <c r="L39" s="179">
        <f t="shared" si="4"/>
        <v>160.43</v>
      </c>
      <c r="M39" s="54">
        <f t="shared" si="5"/>
        <v>1030.575</v>
      </c>
      <c r="N39" s="54">
        <f t="shared" si="6"/>
        <v>4368</v>
      </c>
      <c r="O39" s="54">
        <f t="shared" si="7"/>
        <v>3023.9999999999995</v>
      </c>
      <c r="P39" s="54">
        <f t="shared" si="8"/>
        <v>8422.5749999999989</v>
      </c>
    </row>
    <row r="40" spans="2:16" ht="15" customHeight="1" x14ac:dyDescent="0.3">
      <c r="B40" s="164">
        <v>26</v>
      </c>
      <c r="C40" s="165">
        <v>45</v>
      </c>
      <c r="D40" s="165">
        <f t="shared" si="2"/>
        <v>47.25</v>
      </c>
      <c r="E40" s="54">
        <f t="shared" si="0"/>
        <v>94.5</v>
      </c>
      <c r="F40" s="54">
        <f t="shared" si="9"/>
        <v>614.25</v>
      </c>
      <c r="G40" s="54">
        <f t="shared" si="10"/>
        <v>519.75</v>
      </c>
      <c r="H40" s="54">
        <f t="shared" si="3"/>
        <v>1228.5</v>
      </c>
      <c r="I40" s="40">
        <f t="shared" si="1"/>
        <v>19.63</v>
      </c>
      <c r="J40" s="40">
        <f t="shared" si="11"/>
        <v>83.2</v>
      </c>
      <c r="K40" s="40">
        <f t="shared" si="12"/>
        <v>63.36</v>
      </c>
      <c r="L40" s="179">
        <f t="shared" si="4"/>
        <v>166.19</v>
      </c>
      <c r="M40" s="54">
        <f t="shared" si="5"/>
        <v>927.51749999999993</v>
      </c>
      <c r="N40" s="54">
        <f t="shared" si="6"/>
        <v>3931.2000000000003</v>
      </c>
      <c r="O40" s="54">
        <f t="shared" si="7"/>
        <v>2993.7599999999998</v>
      </c>
      <c r="P40" s="54">
        <f t="shared" si="8"/>
        <v>7852.4775000000009</v>
      </c>
    </row>
    <row r="41" spans="2:16" ht="15" customHeight="1" x14ac:dyDescent="0.3">
      <c r="B41" s="164">
        <v>27</v>
      </c>
      <c r="C41" s="165">
        <v>49</v>
      </c>
      <c r="D41" s="165">
        <f t="shared" si="2"/>
        <v>51.45</v>
      </c>
      <c r="E41" s="54">
        <f t="shared" si="0"/>
        <v>102.9</v>
      </c>
      <c r="F41" s="54">
        <f t="shared" si="9"/>
        <v>668.85</v>
      </c>
      <c r="G41" s="54">
        <f t="shared" si="10"/>
        <v>617.40000000000009</v>
      </c>
      <c r="H41" s="54">
        <f t="shared" si="3"/>
        <v>1389.15</v>
      </c>
      <c r="I41" s="40">
        <f t="shared" si="1"/>
        <v>19.63</v>
      </c>
      <c r="J41" s="40">
        <f t="shared" si="11"/>
        <v>83.2</v>
      </c>
      <c r="K41" s="40">
        <f t="shared" si="12"/>
        <v>69.12</v>
      </c>
      <c r="L41" s="179">
        <f t="shared" si="4"/>
        <v>171.95</v>
      </c>
      <c r="M41" s="54">
        <f t="shared" si="5"/>
        <v>1009.9635</v>
      </c>
      <c r="N41" s="54">
        <f t="shared" si="6"/>
        <v>4280.6400000000003</v>
      </c>
      <c r="O41" s="54">
        <f t="shared" si="7"/>
        <v>3556.2240000000006</v>
      </c>
      <c r="P41" s="54">
        <f t="shared" si="8"/>
        <v>8846.8275000000012</v>
      </c>
    </row>
    <row r="42" spans="2:16" ht="15" customHeight="1" x14ac:dyDescent="0.3">
      <c r="B42" s="164">
        <v>28</v>
      </c>
      <c r="C42" s="165">
        <v>44</v>
      </c>
      <c r="D42" s="165">
        <f t="shared" si="2"/>
        <v>46.2</v>
      </c>
      <c r="E42" s="54">
        <f t="shared" si="0"/>
        <v>92.4</v>
      </c>
      <c r="F42" s="54">
        <f t="shared" si="9"/>
        <v>600.6</v>
      </c>
      <c r="G42" s="54">
        <f t="shared" si="10"/>
        <v>600.6</v>
      </c>
      <c r="H42" s="54">
        <f t="shared" si="3"/>
        <v>1293.5999999999999</v>
      </c>
      <c r="I42" s="40">
        <f t="shared" si="1"/>
        <v>19.63</v>
      </c>
      <c r="J42" s="40">
        <f t="shared" si="11"/>
        <v>83.2</v>
      </c>
      <c r="K42" s="40">
        <f t="shared" si="12"/>
        <v>74.88</v>
      </c>
      <c r="L42" s="179">
        <f t="shared" si="4"/>
        <v>177.70999999999998</v>
      </c>
      <c r="M42" s="54">
        <f t="shared" si="5"/>
        <v>906.90600000000006</v>
      </c>
      <c r="N42" s="54">
        <f t="shared" si="6"/>
        <v>3843.84</v>
      </c>
      <c r="O42" s="54">
        <f t="shared" si="7"/>
        <v>3459.4560000000001</v>
      </c>
      <c r="P42" s="54">
        <f t="shared" si="8"/>
        <v>8210.2020000000011</v>
      </c>
    </row>
    <row r="43" spans="2:16" ht="15" customHeight="1" x14ac:dyDescent="0.3">
      <c r="B43" s="164">
        <v>29</v>
      </c>
      <c r="C43" s="165">
        <v>34</v>
      </c>
      <c r="D43" s="165">
        <f t="shared" si="2"/>
        <v>35.700000000000003</v>
      </c>
      <c r="E43" s="54">
        <f t="shared" si="0"/>
        <v>71.400000000000006</v>
      </c>
      <c r="F43" s="54">
        <f t="shared" si="9"/>
        <v>464.1</v>
      </c>
      <c r="G43" s="54">
        <f t="shared" si="10"/>
        <v>499.80000000000007</v>
      </c>
      <c r="H43" s="54">
        <f t="shared" si="3"/>
        <v>1035.3000000000002</v>
      </c>
      <c r="I43" s="40">
        <f t="shared" si="1"/>
        <v>19.63</v>
      </c>
      <c r="J43" s="40">
        <f t="shared" si="11"/>
        <v>83.2</v>
      </c>
      <c r="K43" s="40">
        <f t="shared" si="12"/>
        <v>80.64</v>
      </c>
      <c r="L43" s="179">
        <f t="shared" si="4"/>
        <v>183.47</v>
      </c>
      <c r="M43" s="54">
        <f t="shared" si="5"/>
        <v>700.79100000000005</v>
      </c>
      <c r="N43" s="54">
        <f t="shared" si="6"/>
        <v>2970.2400000000002</v>
      </c>
      <c r="O43" s="54">
        <f t="shared" si="7"/>
        <v>2878.8480000000004</v>
      </c>
      <c r="P43" s="54">
        <f t="shared" si="8"/>
        <v>6549.8790000000008</v>
      </c>
    </row>
    <row r="44" spans="2:16" ht="15" customHeight="1" x14ac:dyDescent="0.3">
      <c r="B44" s="164">
        <v>30</v>
      </c>
      <c r="C44" s="165">
        <v>35</v>
      </c>
      <c r="D44" s="165">
        <f t="shared" si="2"/>
        <v>36.75</v>
      </c>
      <c r="E44" s="54">
        <f t="shared" si="0"/>
        <v>73.5</v>
      </c>
      <c r="F44" s="54">
        <f t="shared" si="9"/>
        <v>477.75</v>
      </c>
      <c r="G44" s="54">
        <f t="shared" si="10"/>
        <v>551.25</v>
      </c>
      <c r="H44" s="54">
        <f t="shared" si="3"/>
        <v>1102.5</v>
      </c>
      <c r="I44" s="40">
        <f t="shared" si="1"/>
        <v>19.63</v>
      </c>
      <c r="J44" s="40">
        <f t="shared" si="11"/>
        <v>83.2</v>
      </c>
      <c r="K44" s="40">
        <f t="shared" si="12"/>
        <v>86.399999999999991</v>
      </c>
      <c r="L44" s="179">
        <f t="shared" si="4"/>
        <v>189.23</v>
      </c>
      <c r="M44" s="54">
        <f t="shared" si="5"/>
        <v>721.40249999999992</v>
      </c>
      <c r="N44" s="54">
        <f t="shared" si="6"/>
        <v>3057.6</v>
      </c>
      <c r="O44" s="54">
        <f t="shared" si="7"/>
        <v>3175.2</v>
      </c>
      <c r="P44" s="54">
        <f t="shared" si="8"/>
        <v>6954.2024999999994</v>
      </c>
    </row>
    <row r="45" spans="2:16" ht="15" customHeight="1" x14ac:dyDescent="0.3">
      <c r="B45" s="164">
        <v>31</v>
      </c>
      <c r="C45" s="165">
        <v>27</v>
      </c>
      <c r="D45" s="165">
        <f t="shared" si="2"/>
        <v>28.35</v>
      </c>
      <c r="E45" s="54">
        <f t="shared" si="0"/>
        <v>56.7</v>
      </c>
      <c r="F45" s="54">
        <f t="shared" si="9"/>
        <v>368.55</v>
      </c>
      <c r="G45" s="54">
        <f t="shared" si="10"/>
        <v>453.6</v>
      </c>
      <c r="H45" s="54">
        <f t="shared" si="3"/>
        <v>878.85</v>
      </c>
      <c r="I45" s="40">
        <f t="shared" si="1"/>
        <v>19.63</v>
      </c>
      <c r="J45" s="40">
        <f t="shared" si="11"/>
        <v>83.2</v>
      </c>
      <c r="K45" s="40">
        <f t="shared" si="12"/>
        <v>92.16</v>
      </c>
      <c r="L45" s="179">
        <f t="shared" si="4"/>
        <v>194.99</v>
      </c>
      <c r="M45" s="54">
        <f t="shared" si="5"/>
        <v>556.51049999999998</v>
      </c>
      <c r="N45" s="54">
        <f t="shared" si="6"/>
        <v>2358.7200000000003</v>
      </c>
      <c r="O45" s="54">
        <f t="shared" si="7"/>
        <v>2612.7359999999999</v>
      </c>
      <c r="P45" s="54">
        <f t="shared" si="8"/>
        <v>5527.9665000000005</v>
      </c>
    </row>
    <row r="46" spans="2:16" ht="15" customHeight="1" x14ac:dyDescent="0.3">
      <c r="B46" s="164">
        <v>32</v>
      </c>
      <c r="C46" s="165">
        <v>30</v>
      </c>
      <c r="D46" s="165">
        <f t="shared" si="2"/>
        <v>31.5</v>
      </c>
      <c r="E46" s="54">
        <f t="shared" si="0"/>
        <v>63</v>
      </c>
      <c r="F46" s="54">
        <f t="shared" si="9"/>
        <v>409.5</v>
      </c>
      <c r="G46" s="54">
        <f t="shared" si="10"/>
        <v>535.5</v>
      </c>
      <c r="H46" s="54">
        <f t="shared" si="3"/>
        <v>1008</v>
      </c>
      <c r="I46" s="40">
        <f t="shared" si="1"/>
        <v>19.63</v>
      </c>
      <c r="J46" s="40">
        <f t="shared" si="11"/>
        <v>83.2</v>
      </c>
      <c r="K46" s="40">
        <f t="shared" si="12"/>
        <v>97.92</v>
      </c>
      <c r="L46" s="179">
        <f t="shared" si="4"/>
        <v>200.75</v>
      </c>
      <c r="M46" s="54">
        <f t="shared" si="5"/>
        <v>618.34499999999991</v>
      </c>
      <c r="N46" s="54">
        <f t="shared" si="6"/>
        <v>2620.8000000000002</v>
      </c>
      <c r="O46" s="54">
        <f t="shared" si="7"/>
        <v>3084.48</v>
      </c>
      <c r="P46" s="54">
        <f t="shared" si="8"/>
        <v>6323.625</v>
      </c>
    </row>
    <row r="47" spans="2:16" ht="15" customHeight="1" x14ac:dyDescent="0.3">
      <c r="B47" s="164">
        <v>33</v>
      </c>
      <c r="C47" s="165">
        <v>28</v>
      </c>
      <c r="D47" s="165">
        <f t="shared" si="2"/>
        <v>29.400000000000002</v>
      </c>
      <c r="E47" s="54">
        <f t="shared" si="0"/>
        <v>58.800000000000004</v>
      </c>
      <c r="F47" s="54">
        <f t="shared" si="9"/>
        <v>382.20000000000005</v>
      </c>
      <c r="G47" s="54">
        <f t="shared" si="10"/>
        <v>529.20000000000005</v>
      </c>
      <c r="H47" s="54">
        <f t="shared" si="3"/>
        <v>970.2</v>
      </c>
      <c r="I47" s="40">
        <f t="shared" si="1"/>
        <v>19.63</v>
      </c>
      <c r="J47" s="40">
        <f t="shared" si="11"/>
        <v>83.2</v>
      </c>
      <c r="K47" s="40">
        <f t="shared" si="12"/>
        <v>103.67999999999999</v>
      </c>
      <c r="L47" s="179">
        <f t="shared" si="4"/>
        <v>206.51</v>
      </c>
      <c r="M47" s="54">
        <f t="shared" si="5"/>
        <v>577.12199999999996</v>
      </c>
      <c r="N47" s="54">
        <f t="shared" si="6"/>
        <v>2446.0800000000004</v>
      </c>
      <c r="O47" s="54">
        <f t="shared" si="7"/>
        <v>3048.192</v>
      </c>
      <c r="P47" s="54">
        <f t="shared" si="8"/>
        <v>6071.3940000000002</v>
      </c>
    </row>
    <row r="48" spans="2:16" ht="15" customHeight="1" x14ac:dyDescent="0.3">
      <c r="B48" s="164">
        <v>34</v>
      </c>
      <c r="C48" s="165">
        <v>25</v>
      </c>
      <c r="D48" s="165">
        <f t="shared" si="2"/>
        <v>26.25</v>
      </c>
      <c r="E48" s="54">
        <f t="shared" si="0"/>
        <v>52.5</v>
      </c>
      <c r="F48" s="54">
        <f t="shared" si="9"/>
        <v>341.25</v>
      </c>
      <c r="G48" s="54">
        <f t="shared" si="10"/>
        <v>498.75</v>
      </c>
      <c r="H48" s="54">
        <f t="shared" si="3"/>
        <v>892.5</v>
      </c>
      <c r="I48" s="40">
        <f t="shared" si="1"/>
        <v>19.63</v>
      </c>
      <c r="J48" s="40">
        <f t="shared" si="11"/>
        <v>83.2</v>
      </c>
      <c r="K48" s="40">
        <f t="shared" si="12"/>
        <v>109.44</v>
      </c>
      <c r="L48" s="179">
        <f t="shared" si="4"/>
        <v>212.26999999999998</v>
      </c>
      <c r="M48" s="54">
        <f t="shared" si="5"/>
        <v>515.28750000000002</v>
      </c>
      <c r="N48" s="54">
        <f t="shared" si="6"/>
        <v>2184</v>
      </c>
      <c r="O48" s="54">
        <f t="shared" si="7"/>
        <v>2872.7999999999997</v>
      </c>
      <c r="P48" s="54">
        <f t="shared" si="8"/>
        <v>5572.0874999999996</v>
      </c>
    </row>
    <row r="49" spans="2:16" ht="15" customHeight="1" x14ac:dyDescent="0.3">
      <c r="B49" s="164">
        <v>35</v>
      </c>
      <c r="C49" s="165">
        <v>31</v>
      </c>
      <c r="D49" s="165">
        <f t="shared" si="2"/>
        <v>32.550000000000004</v>
      </c>
      <c r="E49" s="54">
        <f t="shared" si="0"/>
        <v>65.100000000000009</v>
      </c>
      <c r="F49" s="54">
        <f t="shared" si="9"/>
        <v>423.15000000000003</v>
      </c>
      <c r="G49" s="54">
        <f t="shared" si="10"/>
        <v>651.00000000000011</v>
      </c>
      <c r="H49" s="54">
        <f t="shared" si="3"/>
        <v>1139.2500000000002</v>
      </c>
      <c r="I49" s="40">
        <f t="shared" si="1"/>
        <v>19.63</v>
      </c>
      <c r="J49" s="40">
        <f t="shared" si="11"/>
        <v>83.2</v>
      </c>
      <c r="K49" s="40">
        <f t="shared" si="12"/>
        <v>115.19999999999999</v>
      </c>
      <c r="L49" s="179">
        <f t="shared" si="4"/>
        <v>218.02999999999997</v>
      </c>
      <c r="M49" s="54">
        <f t="shared" si="5"/>
        <v>638.95650000000001</v>
      </c>
      <c r="N49" s="54">
        <f t="shared" si="6"/>
        <v>2708.1600000000003</v>
      </c>
      <c r="O49" s="54">
        <f t="shared" si="7"/>
        <v>3749.76</v>
      </c>
      <c r="P49" s="54">
        <f t="shared" si="8"/>
        <v>7096.8765000000003</v>
      </c>
    </row>
    <row r="50" spans="2:16" ht="15" customHeight="1" x14ac:dyDescent="0.3">
      <c r="B50" s="164">
        <v>36</v>
      </c>
      <c r="C50" s="165">
        <v>15</v>
      </c>
      <c r="D50" s="165">
        <f t="shared" si="2"/>
        <v>15.75</v>
      </c>
      <c r="E50" s="54">
        <f t="shared" si="0"/>
        <v>31.5</v>
      </c>
      <c r="F50" s="54">
        <f t="shared" si="9"/>
        <v>204.75</v>
      </c>
      <c r="G50" s="54">
        <f t="shared" si="10"/>
        <v>330.75</v>
      </c>
      <c r="H50" s="54">
        <f t="shared" si="3"/>
        <v>567</v>
      </c>
      <c r="I50" s="40">
        <f t="shared" si="1"/>
        <v>19.63</v>
      </c>
      <c r="J50" s="40">
        <f t="shared" si="11"/>
        <v>83.2</v>
      </c>
      <c r="K50" s="40">
        <f t="shared" si="12"/>
        <v>120.96</v>
      </c>
      <c r="L50" s="179">
        <f t="shared" si="4"/>
        <v>223.79</v>
      </c>
      <c r="M50" s="54">
        <f t="shared" si="5"/>
        <v>309.17249999999996</v>
      </c>
      <c r="N50" s="54">
        <f t="shared" si="6"/>
        <v>1310.4000000000001</v>
      </c>
      <c r="O50" s="54">
        <f t="shared" si="7"/>
        <v>1905.12</v>
      </c>
      <c r="P50" s="54">
        <f t="shared" si="8"/>
        <v>3524.6925000000001</v>
      </c>
    </row>
    <row r="51" spans="2:16" ht="15" customHeight="1" x14ac:dyDescent="0.3">
      <c r="B51" s="164">
        <v>37</v>
      </c>
      <c r="C51" s="165">
        <v>20</v>
      </c>
      <c r="D51" s="165">
        <f t="shared" si="2"/>
        <v>21</v>
      </c>
      <c r="E51" s="54">
        <f t="shared" si="0"/>
        <v>42</v>
      </c>
      <c r="F51" s="54">
        <f t="shared" si="9"/>
        <v>273</v>
      </c>
      <c r="G51" s="54">
        <f t="shared" si="10"/>
        <v>462</v>
      </c>
      <c r="H51" s="54">
        <f t="shared" si="3"/>
        <v>777</v>
      </c>
      <c r="I51" s="40">
        <f t="shared" si="1"/>
        <v>19.63</v>
      </c>
      <c r="J51" s="40">
        <f t="shared" si="11"/>
        <v>83.2</v>
      </c>
      <c r="K51" s="40">
        <f t="shared" si="12"/>
        <v>126.72</v>
      </c>
      <c r="L51" s="179">
        <f t="shared" si="4"/>
        <v>229.55</v>
      </c>
      <c r="M51" s="54">
        <f t="shared" si="5"/>
        <v>412.22999999999996</v>
      </c>
      <c r="N51" s="54">
        <f t="shared" si="6"/>
        <v>1747.2</v>
      </c>
      <c r="O51" s="54">
        <f t="shared" si="7"/>
        <v>2661.12</v>
      </c>
      <c r="P51" s="54">
        <f t="shared" si="8"/>
        <v>4820.5499999999993</v>
      </c>
    </row>
    <row r="52" spans="2:16" ht="15" customHeight="1" x14ac:dyDescent="0.3">
      <c r="B52" s="164">
        <v>38</v>
      </c>
      <c r="C52" s="165">
        <v>19</v>
      </c>
      <c r="D52" s="165">
        <f t="shared" si="2"/>
        <v>19.95</v>
      </c>
      <c r="E52" s="54">
        <f t="shared" si="0"/>
        <v>39.9</v>
      </c>
      <c r="F52" s="54">
        <f t="shared" si="9"/>
        <v>259.34999999999997</v>
      </c>
      <c r="G52" s="54">
        <f t="shared" si="10"/>
        <v>458.84999999999997</v>
      </c>
      <c r="H52" s="54">
        <f t="shared" si="3"/>
        <v>758.09999999999991</v>
      </c>
      <c r="I52" s="40">
        <f t="shared" si="1"/>
        <v>19.63</v>
      </c>
      <c r="J52" s="40">
        <f t="shared" si="11"/>
        <v>83.2</v>
      </c>
      <c r="K52" s="40">
        <f t="shared" si="12"/>
        <v>132.47999999999999</v>
      </c>
      <c r="L52" s="179">
        <f t="shared" si="4"/>
        <v>235.31</v>
      </c>
      <c r="M52" s="54">
        <f t="shared" si="5"/>
        <v>391.61849999999998</v>
      </c>
      <c r="N52" s="54">
        <f t="shared" si="6"/>
        <v>1659.84</v>
      </c>
      <c r="O52" s="54">
        <f t="shared" si="7"/>
        <v>2642.9759999999997</v>
      </c>
      <c r="P52" s="54">
        <f t="shared" si="8"/>
        <v>4694.4344999999994</v>
      </c>
    </row>
    <row r="53" spans="2:16" ht="15" customHeight="1" x14ac:dyDescent="0.3">
      <c r="B53" s="164">
        <v>39</v>
      </c>
      <c r="C53" s="165">
        <v>31</v>
      </c>
      <c r="D53" s="165">
        <f t="shared" si="2"/>
        <v>32.550000000000004</v>
      </c>
      <c r="E53" s="54">
        <f t="shared" si="0"/>
        <v>65.100000000000009</v>
      </c>
      <c r="F53" s="54">
        <f t="shared" si="9"/>
        <v>423.15000000000003</v>
      </c>
      <c r="G53" s="54">
        <f t="shared" si="10"/>
        <v>781.2</v>
      </c>
      <c r="H53" s="54">
        <f t="shared" si="3"/>
        <v>1269.45</v>
      </c>
      <c r="I53" s="40">
        <f t="shared" si="1"/>
        <v>19.63</v>
      </c>
      <c r="J53" s="40">
        <f t="shared" si="11"/>
        <v>83.2</v>
      </c>
      <c r="K53" s="40">
        <f t="shared" si="12"/>
        <v>138.24</v>
      </c>
      <c r="L53" s="179">
        <f t="shared" si="4"/>
        <v>241.07</v>
      </c>
      <c r="M53" s="54">
        <f t="shared" si="5"/>
        <v>638.95650000000001</v>
      </c>
      <c r="N53" s="54">
        <f t="shared" si="6"/>
        <v>2708.1600000000003</v>
      </c>
      <c r="O53" s="54">
        <f t="shared" si="7"/>
        <v>4499.7120000000004</v>
      </c>
      <c r="P53" s="54">
        <f t="shared" si="8"/>
        <v>7846.8285000000005</v>
      </c>
    </row>
    <row r="54" spans="2:16" ht="15" customHeight="1" x14ac:dyDescent="0.3">
      <c r="B54" s="164">
        <v>40</v>
      </c>
      <c r="C54" s="165">
        <v>26</v>
      </c>
      <c r="D54" s="165">
        <f t="shared" si="2"/>
        <v>27.3</v>
      </c>
      <c r="E54" s="54">
        <f t="shared" si="0"/>
        <v>54.6</v>
      </c>
      <c r="F54" s="54">
        <f t="shared" si="9"/>
        <v>354.90000000000003</v>
      </c>
      <c r="G54" s="54">
        <f t="shared" si="10"/>
        <v>682.5</v>
      </c>
      <c r="H54" s="54">
        <f t="shared" si="3"/>
        <v>1092</v>
      </c>
      <c r="I54" s="40">
        <f t="shared" si="1"/>
        <v>19.63</v>
      </c>
      <c r="J54" s="40">
        <f t="shared" si="11"/>
        <v>83.2</v>
      </c>
      <c r="K54" s="40">
        <f t="shared" si="12"/>
        <v>144</v>
      </c>
      <c r="L54" s="179">
        <f t="shared" si="4"/>
        <v>246.82999999999998</v>
      </c>
      <c r="M54" s="54">
        <f t="shared" si="5"/>
        <v>535.899</v>
      </c>
      <c r="N54" s="54">
        <f t="shared" si="6"/>
        <v>2271.36</v>
      </c>
      <c r="O54" s="54">
        <f t="shared" si="7"/>
        <v>3931.2000000000003</v>
      </c>
      <c r="P54" s="54">
        <f t="shared" si="8"/>
        <v>6738.4590000000007</v>
      </c>
    </row>
    <row r="55" spans="2:16" ht="15" customHeight="1" x14ac:dyDescent="0.3">
      <c r="B55" s="164">
        <v>41</v>
      </c>
      <c r="C55" s="165">
        <v>23</v>
      </c>
      <c r="D55" s="165">
        <f t="shared" si="2"/>
        <v>24.150000000000002</v>
      </c>
      <c r="E55" s="54">
        <f t="shared" si="0"/>
        <v>48.300000000000004</v>
      </c>
      <c r="F55" s="54">
        <f t="shared" si="9"/>
        <v>313.95000000000005</v>
      </c>
      <c r="G55" s="54">
        <f t="shared" si="10"/>
        <v>627.90000000000009</v>
      </c>
      <c r="H55" s="54">
        <f t="shared" si="3"/>
        <v>990.15000000000009</v>
      </c>
      <c r="I55" s="40">
        <f t="shared" si="1"/>
        <v>19.63</v>
      </c>
      <c r="J55" s="40">
        <f t="shared" si="11"/>
        <v>83.2</v>
      </c>
      <c r="K55" s="40">
        <f t="shared" si="12"/>
        <v>149.76</v>
      </c>
      <c r="L55" s="179">
        <f t="shared" si="4"/>
        <v>252.58999999999997</v>
      </c>
      <c r="M55" s="54">
        <f t="shared" si="5"/>
        <v>474.06450000000001</v>
      </c>
      <c r="N55" s="54">
        <f t="shared" si="6"/>
        <v>2009.2800000000002</v>
      </c>
      <c r="O55" s="54">
        <f t="shared" si="7"/>
        <v>3616.7040000000002</v>
      </c>
      <c r="P55" s="54">
        <f t="shared" si="8"/>
        <v>6100.0485000000008</v>
      </c>
    </row>
    <row r="56" spans="2:16" ht="15" customHeight="1" x14ac:dyDescent="0.3">
      <c r="B56" s="164">
        <v>42</v>
      </c>
      <c r="C56" s="165">
        <v>10</v>
      </c>
      <c r="D56" s="165">
        <f t="shared" si="2"/>
        <v>10.5</v>
      </c>
      <c r="E56" s="54">
        <f t="shared" si="0"/>
        <v>21</v>
      </c>
      <c r="F56" s="54">
        <f t="shared" si="9"/>
        <v>136.5</v>
      </c>
      <c r="G56" s="54">
        <f t="shared" si="10"/>
        <v>283.5</v>
      </c>
      <c r="H56" s="54">
        <f t="shared" si="3"/>
        <v>441</v>
      </c>
      <c r="I56" s="40">
        <f t="shared" si="1"/>
        <v>19.63</v>
      </c>
      <c r="J56" s="40">
        <f t="shared" si="11"/>
        <v>83.2</v>
      </c>
      <c r="K56" s="40">
        <f t="shared" si="12"/>
        <v>155.51999999999998</v>
      </c>
      <c r="L56" s="179">
        <f t="shared" si="4"/>
        <v>258.34999999999997</v>
      </c>
      <c r="M56" s="54">
        <f t="shared" si="5"/>
        <v>206.11499999999998</v>
      </c>
      <c r="N56" s="54">
        <f t="shared" si="6"/>
        <v>873.6</v>
      </c>
      <c r="O56" s="54">
        <f t="shared" si="7"/>
        <v>1632.9599999999998</v>
      </c>
      <c r="P56" s="54">
        <f t="shared" si="8"/>
        <v>2712.6749999999997</v>
      </c>
    </row>
    <row r="57" spans="2:16" ht="15" customHeight="1" x14ac:dyDescent="0.3">
      <c r="B57" s="164">
        <v>43</v>
      </c>
      <c r="C57" s="165">
        <v>16</v>
      </c>
      <c r="D57" s="165">
        <f t="shared" si="2"/>
        <v>16.8</v>
      </c>
      <c r="E57" s="54">
        <f t="shared" si="0"/>
        <v>33.6</v>
      </c>
      <c r="F57" s="54">
        <f t="shared" si="9"/>
        <v>218.4</v>
      </c>
      <c r="G57" s="54">
        <f t="shared" si="10"/>
        <v>470.40000000000003</v>
      </c>
      <c r="H57" s="54">
        <f t="shared" si="3"/>
        <v>722.40000000000009</v>
      </c>
      <c r="I57" s="40">
        <f t="shared" si="1"/>
        <v>19.63</v>
      </c>
      <c r="J57" s="40">
        <f t="shared" si="11"/>
        <v>83.2</v>
      </c>
      <c r="K57" s="40">
        <f t="shared" si="12"/>
        <v>161.28</v>
      </c>
      <c r="L57" s="179">
        <f t="shared" si="4"/>
        <v>264.11</v>
      </c>
      <c r="M57" s="54">
        <f t="shared" si="5"/>
        <v>329.78399999999999</v>
      </c>
      <c r="N57" s="54">
        <f t="shared" si="6"/>
        <v>1397.7600000000002</v>
      </c>
      <c r="O57" s="54">
        <f t="shared" si="7"/>
        <v>2709.5040000000004</v>
      </c>
      <c r="P57" s="54">
        <f t="shared" si="8"/>
        <v>4437.0480000000007</v>
      </c>
    </row>
    <row r="58" spans="2:16" ht="15" customHeight="1" x14ac:dyDescent="0.3">
      <c r="B58" s="164">
        <v>44</v>
      </c>
      <c r="C58" s="165">
        <v>19</v>
      </c>
      <c r="D58" s="165">
        <f t="shared" si="2"/>
        <v>19.95</v>
      </c>
      <c r="E58" s="54">
        <f t="shared" si="0"/>
        <v>39.9</v>
      </c>
      <c r="F58" s="54">
        <f t="shared" si="9"/>
        <v>259.34999999999997</v>
      </c>
      <c r="G58" s="54">
        <f t="shared" si="10"/>
        <v>578.54999999999995</v>
      </c>
      <c r="H58" s="54">
        <f t="shared" si="3"/>
        <v>877.8</v>
      </c>
      <c r="I58" s="40">
        <f t="shared" si="1"/>
        <v>19.63</v>
      </c>
      <c r="J58" s="40">
        <f t="shared" si="11"/>
        <v>83.2</v>
      </c>
      <c r="K58" s="40">
        <f t="shared" si="12"/>
        <v>167.04</v>
      </c>
      <c r="L58" s="179">
        <f t="shared" si="4"/>
        <v>269.87</v>
      </c>
      <c r="M58" s="54">
        <f t="shared" si="5"/>
        <v>391.61849999999998</v>
      </c>
      <c r="N58" s="54">
        <f t="shared" si="6"/>
        <v>1659.84</v>
      </c>
      <c r="O58" s="54">
        <f t="shared" si="7"/>
        <v>3332.4479999999999</v>
      </c>
      <c r="P58" s="54">
        <f t="shared" si="8"/>
        <v>5383.9064999999991</v>
      </c>
    </row>
    <row r="59" spans="2:16" ht="15" customHeight="1" x14ac:dyDescent="0.3">
      <c r="B59" s="164">
        <v>45</v>
      </c>
      <c r="C59" s="165">
        <v>16</v>
      </c>
      <c r="D59" s="165">
        <f t="shared" si="2"/>
        <v>16.8</v>
      </c>
      <c r="E59" s="54">
        <f t="shared" si="0"/>
        <v>33.6</v>
      </c>
      <c r="F59" s="54">
        <f t="shared" si="9"/>
        <v>218.4</v>
      </c>
      <c r="G59" s="54">
        <f t="shared" si="10"/>
        <v>504</v>
      </c>
      <c r="H59" s="54">
        <f t="shared" si="3"/>
        <v>756</v>
      </c>
      <c r="I59" s="40">
        <f t="shared" si="1"/>
        <v>19.63</v>
      </c>
      <c r="J59" s="40">
        <f t="shared" si="11"/>
        <v>83.2</v>
      </c>
      <c r="K59" s="40">
        <f t="shared" si="12"/>
        <v>172.79999999999998</v>
      </c>
      <c r="L59" s="179">
        <f t="shared" si="4"/>
        <v>275.63</v>
      </c>
      <c r="M59" s="54">
        <f t="shared" si="5"/>
        <v>329.78399999999999</v>
      </c>
      <c r="N59" s="54">
        <f t="shared" si="6"/>
        <v>1397.7600000000002</v>
      </c>
      <c r="O59" s="54">
        <f t="shared" si="7"/>
        <v>2903.04</v>
      </c>
      <c r="P59" s="54">
        <f t="shared" si="8"/>
        <v>4630.5840000000007</v>
      </c>
    </row>
    <row r="60" spans="2:16" ht="15" customHeight="1" x14ac:dyDescent="0.3">
      <c r="B60" s="164">
        <v>46</v>
      </c>
      <c r="C60" s="165">
        <v>18</v>
      </c>
      <c r="D60" s="165">
        <f t="shared" si="2"/>
        <v>18.900000000000002</v>
      </c>
      <c r="E60" s="54">
        <f t="shared" si="0"/>
        <v>37.800000000000004</v>
      </c>
      <c r="F60" s="54">
        <f t="shared" si="9"/>
        <v>245.70000000000002</v>
      </c>
      <c r="G60" s="54">
        <f t="shared" si="10"/>
        <v>585.90000000000009</v>
      </c>
      <c r="H60" s="54">
        <f t="shared" si="3"/>
        <v>869.40000000000009</v>
      </c>
      <c r="I60" s="40">
        <f t="shared" si="1"/>
        <v>19.63</v>
      </c>
      <c r="J60" s="40">
        <f t="shared" si="11"/>
        <v>83.2</v>
      </c>
      <c r="K60" s="40">
        <f t="shared" si="12"/>
        <v>178.56</v>
      </c>
      <c r="L60" s="179">
        <f t="shared" si="4"/>
        <v>281.39</v>
      </c>
      <c r="M60" s="54">
        <f t="shared" si="5"/>
        <v>371.00700000000001</v>
      </c>
      <c r="N60" s="54">
        <f t="shared" si="6"/>
        <v>1572.4800000000002</v>
      </c>
      <c r="O60" s="54">
        <f t="shared" si="7"/>
        <v>3374.7840000000006</v>
      </c>
      <c r="P60" s="54">
        <f t="shared" si="8"/>
        <v>5318.2710000000006</v>
      </c>
    </row>
    <row r="61" spans="2:16" ht="15" customHeight="1" x14ac:dyDescent="0.3">
      <c r="B61" s="164">
        <v>47</v>
      </c>
      <c r="C61" s="165">
        <v>9</v>
      </c>
      <c r="D61" s="165">
        <f t="shared" si="2"/>
        <v>9.4500000000000011</v>
      </c>
      <c r="E61" s="54">
        <f t="shared" si="0"/>
        <v>18.900000000000002</v>
      </c>
      <c r="F61" s="54">
        <f t="shared" si="9"/>
        <v>122.85000000000001</v>
      </c>
      <c r="G61" s="54">
        <f t="shared" si="10"/>
        <v>302.40000000000003</v>
      </c>
      <c r="H61" s="54">
        <f t="shared" si="3"/>
        <v>444.15000000000003</v>
      </c>
      <c r="I61" s="40">
        <f t="shared" si="1"/>
        <v>19.63</v>
      </c>
      <c r="J61" s="40">
        <f t="shared" si="11"/>
        <v>83.2</v>
      </c>
      <c r="K61" s="40">
        <f t="shared" si="12"/>
        <v>184.32</v>
      </c>
      <c r="L61" s="179">
        <f t="shared" si="4"/>
        <v>287.14999999999998</v>
      </c>
      <c r="M61" s="54">
        <f t="shared" si="5"/>
        <v>185.5035</v>
      </c>
      <c r="N61" s="54">
        <f t="shared" si="6"/>
        <v>786.24000000000012</v>
      </c>
      <c r="O61" s="54">
        <f t="shared" si="7"/>
        <v>1741.8240000000001</v>
      </c>
      <c r="P61" s="54">
        <f t="shared" si="8"/>
        <v>2713.5675000000001</v>
      </c>
    </row>
    <row r="62" spans="2:16" ht="15" customHeight="1" x14ac:dyDescent="0.3">
      <c r="B62" s="164">
        <v>48</v>
      </c>
      <c r="C62" s="165">
        <v>12</v>
      </c>
      <c r="D62" s="165">
        <f t="shared" si="2"/>
        <v>12.600000000000001</v>
      </c>
      <c r="E62" s="54">
        <f t="shared" si="0"/>
        <v>25.200000000000003</v>
      </c>
      <c r="F62" s="54">
        <f t="shared" si="9"/>
        <v>163.80000000000001</v>
      </c>
      <c r="G62" s="54">
        <f t="shared" si="10"/>
        <v>415.80000000000007</v>
      </c>
      <c r="H62" s="54">
        <f t="shared" si="3"/>
        <v>604.80000000000007</v>
      </c>
      <c r="I62" s="40">
        <f t="shared" si="1"/>
        <v>19.63</v>
      </c>
      <c r="J62" s="40">
        <f t="shared" si="11"/>
        <v>83.2</v>
      </c>
      <c r="K62" s="40">
        <f t="shared" si="12"/>
        <v>190.07999999999998</v>
      </c>
      <c r="L62" s="179">
        <f t="shared" si="4"/>
        <v>292.90999999999997</v>
      </c>
      <c r="M62" s="54">
        <f t="shared" si="5"/>
        <v>247.33800000000002</v>
      </c>
      <c r="N62" s="54">
        <f t="shared" si="6"/>
        <v>1048.3200000000002</v>
      </c>
      <c r="O62" s="54">
        <f t="shared" si="7"/>
        <v>2395.0080000000003</v>
      </c>
      <c r="P62" s="54">
        <f t="shared" si="8"/>
        <v>3690.6660000000002</v>
      </c>
    </row>
    <row r="63" spans="2:16" ht="15" customHeight="1" x14ac:dyDescent="0.3">
      <c r="B63" s="164">
        <v>49</v>
      </c>
      <c r="C63" s="165">
        <v>7</v>
      </c>
      <c r="D63" s="165">
        <f t="shared" si="2"/>
        <v>7.3500000000000005</v>
      </c>
      <c r="E63" s="54">
        <f t="shared" si="0"/>
        <v>14.700000000000001</v>
      </c>
      <c r="F63" s="54">
        <f t="shared" si="9"/>
        <v>95.550000000000011</v>
      </c>
      <c r="G63" s="54">
        <f t="shared" si="10"/>
        <v>249.9</v>
      </c>
      <c r="H63" s="54">
        <f t="shared" si="3"/>
        <v>360.15000000000003</v>
      </c>
      <c r="I63" s="40">
        <f t="shared" si="1"/>
        <v>19.63</v>
      </c>
      <c r="J63" s="40">
        <f t="shared" si="11"/>
        <v>83.2</v>
      </c>
      <c r="K63" s="40">
        <f t="shared" si="12"/>
        <v>195.84</v>
      </c>
      <c r="L63" s="179">
        <f t="shared" si="4"/>
        <v>298.67</v>
      </c>
      <c r="M63" s="54">
        <f t="shared" si="5"/>
        <v>144.28049999999999</v>
      </c>
      <c r="N63" s="54">
        <f t="shared" si="6"/>
        <v>611.5200000000001</v>
      </c>
      <c r="O63" s="54">
        <f t="shared" si="7"/>
        <v>1439.4240000000002</v>
      </c>
      <c r="P63" s="54">
        <f t="shared" si="8"/>
        <v>2195.2245000000003</v>
      </c>
    </row>
    <row r="64" spans="2:16" ht="15" customHeight="1" x14ac:dyDescent="0.3">
      <c r="B64" s="164">
        <v>50</v>
      </c>
      <c r="C64" s="165">
        <v>12</v>
      </c>
      <c r="D64" s="165">
        <f t="shared" si="2"/>
        <v>12.600000000000001</v>
      </c>
      <c r="E64" s="54">
        <f t="shared" si="0"/>
        <v>25.200000000000003</v>
      </c>
      <c r="F64" s="54">
        <f t="shared" si="9"/>
        <v>163.80000000000001</v>
      </c>
      <c r="G64" s="54">
        <f t="shared" si="10"/>
        <v>441.00000000000006</v>
      </c>
      <c r="H64" s="54">
        <f t="shared" si="3"/>
        <v>630</v>
      </c>
      <c r="I64" s="40">
        <f t="shared" si="1"/>
        <v>19.63</v>
      </c>
      <c r="J64" s="40">
        <f t="shared" si="11"/>
        <v>83.2</v>
      </c>
      <c r="K64" s="40">
        <f t="shared" si="12"/>
        <v>201.6</v>
      </c>
      <c r="L64" s="179">
        <f t="shared" si="4"/>
        <v>304.43</v>
      </c>
      <c r="M64" s="54">
        <f t="shared" si="5"/>
        <v>247.33800000000002</v>
      </c>
      <c r="N64" s="54">
        <f t="shared" si="6"/>
        <v>1048.3200000000002</v>
      </c>
      <c r="O64" s="54">
        <f t="shared" si="7"/>
        <v>2540.1600000000003</v>
      </c>
      <c r="P64" s="54">
        <f t="shared" si="8"/>
        <v>3835.8180000000002</v>
      </c>
    </row>
    <row r="65" spans="2:16" ht="15" customHeight="1" x14ac:dyDescent="0.3">
      <c r="B65" s="164">
        <v>51</v>
      </c>
      <c r="C65" s="165">
        <v>14</v>
      </c>
      <c r="D65" s="165">
        <f t="shared" si="2"/>
        <v>14.700000000000001</v>
      </c>
      <c r="E65" s="54">
        <f t="shared" si="0"/>
        <v>29.400000000000002</v>
      </c>
      <c r="F65" s="54">
        <f t="shared" si="9"/>
        <v>191.10000000000002</v>
      </c>
      <c r="G65" s="54">
        <f t="shared" si="10"/>
        <v>529.20000000000005</v>
      </c>
      <c r="H65" s="54">
        <f t="shared" si="3"/>
        <v>749.7</v>
      </c>
      <c r="I65" s="40">
        <f t="shared" si="1"/>
        <v>19.63</v>
      </c>
      <c r="J65" s="40">
        <f t="shared" si="11"/>
        <v>83.2</v>
      </c>
      <c r="K65" s="40">
        <f t="shared" si="12"/>
        <v>207.35999999999999</v>
      </c>
      <c r="L65" s="179">
        <f t="shared" si="4"/>
        <v>310.19</v>
      </c>
      <c r="M65" s="54">
        <f t="shared" si="5"/>
        <v>288.56099999999998</v>
      </c>
      <c r="N65" s="54">
        <f t="shared" si="6"/>
        <v>1223.0400000000002</v>
      </c>
      <c r="O65" s="54">
        <f t="shared" si="7"/>
        <v>3048.192</v>
      </c>
      <c r="P65" s="54">
        <f t="shared" si="8"/>
        <v>4559.7929999999997</v>
      </c>
    </row>
    <row r="66" spans="2:16" ht="15" customHeight="1" x14ac:dyDescent="0.3">
      <c r="B66" s="164">
        <v>52</v>
      </c>
      <c r="C66" s="165">
        <v>11</v>
      </c>
      <c r="D66" s="165">
        <f t="shared" si="2"/>
        <v>11.55</v>
      </c>
      <c r="E66" s="54">
        <f t="shared" si="0"/>
        <v>23.1</v>
      </c>
      <c r="F66" s="54">
        <f t="shared" si="9"/>
        <v>150.15</v>
      </c>
      <c r="G66" s="54">
        <f t="shared" si="10"/>
        <v>427.35</v>
      </c>
      <c r="H66" s="54">
        <f t="shared" si="3"/>
        <v>600.6</v>
      </c>
      <c r="I66" s="40">
        <f t="shared" si="1"/>
        <v>19.63</v>
      </c>
      <c r="J66" s="40">
        <f t="shared" si="11"/>
        <v>83.2</v>
      </c>
      <c r="K66" s="40">
        <f t="shared" si="12"/>
        <v>213.12</v>
      </c>
      <c r="L66" s="179">
        <f t="shared" si="4"/>
        <v>315.95</v>
      </c>
      <c r="M66" s="54">
        <f t="shared" si="5"/>
        <v>226.72650000000002</v>
      </c>
      <c r="N66" s="54">
        <f t="shared" si="6"/>
        <v>960.96</v>
      </c>
      <c r="O66" s="54">
        <f t="shared" si="7"/>
        <v>2461.5360000000001</v>
      </c>
      <c r="P66" s="54">
        <f t="shared" si="8"/>
        <v>3649.2224999999999</v>
      </c>
    </row>
    <row r="67" spans="2:16" ht="15" customHeight="1" x14ac:dyDescent="0.3">
      <c r="B67" s="164">
        <v>53</v>
      </c>
      <c r="C67" s="165">
        <v>12</v>
      </c>
      <c r="D67" s="165">
        <f t="shared" si="2"/>
        <v>12.600000000000001</v>
      </c>
      <c r="E67" s="54">
        <f t="shared" si="0"/>
        <v>25.200000000000003</v>
      </c>
      <c r="F67" s="54">
        <f t="shared" si="9"/>
        <v>163.80000000000001</v>
      </c>
      <c r="G67" s="54">
        <f t="shared" si="10"/>
        <v>478.80000000000007</v>
      </c>
      <c r="H67" s="54">
        <f t="shared" si="3"/>
        <v>667.80000000000007</v>
      </c>
      <c r="I67" s="40">
        <f t="shared" si="1"/>
        <v>19.63</v>
      </c>
      <c r="J67" s="40">
        <f t="shared" si="11"/>
        <v>83.2</v>
      </c>
      <c r="K67" s="40">
        <f t="shared" si="12"/>
        <v>218.88</v>
      </c>
      <c r="L67" s="179">
        <f t="shared" si="4"/>
        <v>321.70999999999998</v>
      </c>
      <c r="M67" s="54">
        <f t="shared" si="5"/>
        <v>247.33800000000002</v>
      </c>
      <c r="N67" s="54">
        <f t="shared" si="6"/>
        <v>1048.3200000000002</v>
      </c>
      <c r="O67" s="54">
        <f t="shared" si="7"/>
        <v>2757.8880000000004</v>
      </c>
      <c r="P67" s="54">
        <f t="shared" si="8"/>
        <v>4053.5460000000003</v>
      </c>
    </row>
    <row r="68" spans="2:16" ht="15" customHeight="1" x14ac:dyDescent="0.3">
      <c r="B68" s="164">
        <v>54</v>
      </c>
      <c r="C68" s="165">
        <v>10</v>
      </c>
      <c r="D68" s="165">
        <f t="shared" si="2"/>
        <v>10.5</v>
      </c>
      <c r="E68" s="54">
        <f t="shared" si="0"/>
        <v>21</v>
      </c>
      <c r="F68" s="54">
        <f t="shared" si="9"/>
        <v>136.5</v>
      </c>
      <c r="G68" s="54">
        <f t="shared" si="10"/>
        <v>409.5</v>
      </c>
      <c r="H68" s="54">
        <f t="shared" si="3"/>
        <v>567</v>
      </c>
      <c r="I68" s="40">
        <f t="shared" si="1"/>
        <v>19.63</v>
      </c>
      <c r="J68" s="40">
        <f t="shared" si="11"/>
        <v>83.2</v>
      </c>
      <c r="K68" s="40">
        <f t="shared" si="12"/>
        <v>224.64</v>
      </c>
      <c r="L68" s="179">
        <f t="shared" si="4"/>
        <v>327.46999999999997</v>
      </c>
      <c r="M68" s="54">
        <f t="shared" si="5"/>
        <v>206.11499999999998</v>
      </c>
      <c r="N68" s="54">
        <f t="shared" si="6"/>
        <v>873.6</v>
      </c>
      <c r="O68" s="54">
        <f t="shared" si="7"/>
        <v>2358.7199999999998</v>
      </c>
      <c r="P68" s="54">
        <f t="shared" si="8"/>
        <v>3438.4349999999995</v>
      </c>
    </row>
    <row r="69" spans="2:16" ht="15" customHeight="1" x14ac:dyDescent="0.3">
      <c r="B69" s="164">
        <v>55</v>
      </c>
      <c r="C69" s="165">
        <v>10</v>
      </c>
      <c r="D69" s="165">
        <f t="shared" si="2"/>
        <v>10.5</v>
      </c>
      <c r="E69" s="54">
        <f t="shared" si="0"/>
        <v>21</v>
      </c>
      <c r="F69" s="54">
        <f t="shared" si="9"/>
        <v>136.5</v>
      </c>
      <c r="G69" s="54">
        <f t="shared" si="10"/>
        <v>420</v>
      </c>
      <c r="H69" s="54">
        <f t="shared" si="3"/>
        <v>577.5</v>
      </c>
      <c r="I69" s="40">
        <f t="shared" si="1"/>
        <v>19.63</v>
      </c>
      <c r="J69" s="40">
        <f t="shared" si="11"/>
        <v>83.2</v>
      </c>
      <c r="K69" s="40">
        <f t="shared" si="12"/>
        <v>230.39999999999998</v>
      </c>
      <c r="L69" s="179">
        <f t="shared" si="4"/>
        <v>333.22999999999996</v>
      </c>
      <c r="M69" s="54">
        <f t="shared" si="5"/>
        <v>206.11499999999998</v>
      </c>
      <c r="N69" s="54">
        <f t="shared" si="6"/>
        <v>873.6</v>
      </c>
      <c r="O69" s="54">
        <f t="shared" si="7"/>
        <v>2419.1999999999998</v>
      </c>
      <c r="P69" s="54">
        <f t="shared" si="8"/>
        <v>3498.915</v>
      </c>
    </row>
    <row r="70" spans="2:16" ht="15" customHeight="1" x14ac:dyDescent="0.3">
      <c r="B70" s="164">
        <v>56</v>
      </c>
      <c r="C70" s="165">
        <v>11</v>
      </c>
      <c r="D70" s="165">
        <f t="shared" si="2"/>
        <v>11.55</v>
      </c>
      <c r="E70" s="54">
        <f t="shared" si="0"/>
        <v>23.1</v>
      </c>
      <c r="F70" s="54">
        <f t="shared" si="9"/>
        <v>150.15</v>
      </c>
      <c r="G70" s="54">
        <f t="shared" si="10"/>
        <v>473.55</v>
      </c>
      <c r="H70" s="54">
        <f t="shared" si="3"/>
        <v>646.79999999999995</v>
      </c>
      <c r="I70" s="40">
        <f t="shared" si="1"/>
        <v>19.63</v>
      </c>
      <c r="J70" s="40">
        <f t="shared" si="11"/>
        <v>83.2</v>
      </c>
      <c r="K70" s="40">
        <f t="shared" si="12"/>
        <v>236.16</v>
      </c>
      <c r="L70" s="179">
        <f t="shared" si="4"/>
        <v>338.99</v>
      </c>
      <c r="M70" s="54">
        <f t="shared" si="5"/>
        <v>226.72650000000002</v>
      </c>
      <c r="N70" s="54">
        <f t="shared" si="6"/>
        <v>960.96</v>
      </c>
      <c r="O70" s="54">
        <f t="shared" si="7"/>
        <v>2727.6480000000001</v>
      </c>
      <c r="P70" s="54">
        <f t="shared" si="8"/>
        <v>3915.3344999999999</v>
      </c>
    </row>
    <row r="71" spans="2:16" ht="15" customHeight="1" x14ac:dyDescent="0.3">
      <c r="B71" s="164">
        <v>57</v>
      </c>
      <c r="C71" s="165">
        <v>6</v>
      </c>
      <c r="D71" s="165">
        <f t="shared" si="2"/>
        <v>6.3000000000000007</v>
      </c>
      <c r="E71" s="54">
        <f t="shared" si="0"/>
        <v>12.600000000000001</v>
      </c>
      <c r="F71" s="54">
        <f t="shared" si="9"/>
        <v>81.900000000000006</v>
      </c>
      <c r="G71" s="54">
        <f t="shared" si="10"/>
        <v>264.60000000000002</v>
      </c>
      <c r="H71" s="54">
        <f t="shared" si="3"/>
        <v>359.1</v>
      </c>
      <c r="I71" s="40">
        <f t="shared" si="1"/>
        <v>19.63</v>
      </c>
      <c r="J71" s="40">
        <f t="shared" si="11"/>
        <v>83.2</v>
      </c>
      <c r="K71" s="40">
        <f t="shared" si="12"/>
        <v>241.92</v>
      </c>
      <c r="L71" s="179">
        <f t="shared" si="4"/>
        <v>344.75</v>
      </c>
      <c r="M71" s="54">
        <f t="shared" si="5"/>
        <v>123.66900000000001</v>
      </c>
      <c r="N71" s="54">
        <f t="shared" si="6"/>
        <v>524.16000000000008</v>
      </c>
      <c r="O71" s="54">
        <f t="shared" si="7"/>
        <v>1524.096</v>
      </c>
      <c r="P71" s="54">
        <f t="shared" si="8"/>
        <v>2171.9250000000002</v>
      </c>
    </row>
    <row r="72" spans="2:16" ht="15" customHeight="1" x14ac:dyDescent="0.3">
      <c r="B72" s="164">
        <v>58</v>
      </c>
      <c r="C72" s="165">
        <v>14</v>
      </c>
      <c r="D72" s="165">
        <f t="shared" si="2"/>
        <v>14.700000000000001</v>
      </c>
      <c r="E72" s="54">
        <f t="shared" si="0"/>
        <v>29.400000000000002</v>
      </c>
      <c r="F72" s="54">
        <f t="shared" si="9"/>
        <v>191.10000000000002</v>
      </c>
      <c r="G72" s="54">
        <f t="shared" si="10"/>
        <v>632.1</v>
      </c>
      <c r="H72" s="54">
        <f t="shared" si="3"/>
        <v>852.6</v>
      </c>
      <c r="I72" s="40">
        <f t="shared" si="1"/>
        <v>19.63</v>
      </c>
      <c r="J72" s="40">
        <f t="shared" si="11"/>
        <v>83.2</v>
      </c>
      <c r="K72" s="40">
        <f t="shared" si="12"/>
        <v>247.67999999999998</v>
      </c>
      <c r="L72" s="179">
        <f t="shared" si="4"/>
        <v>350.51</v>
      </c>
      <c r="M72" s="54">
        <f t="shared" si="5"/>
        <v>288.56099999999998</v>
      </c>
      <c r="N72" s="54">
        <f t="shared" si="6"/>
        <v>1223.0400000000002</v>
      </c>
      <c r="O72" s="54">
        <f t="shared" si="7"/>
        <v>3640.8959999999997</v>
      </c>
      <c r="P72" s="54">
        <f t="shared" si="8"/>
        <v>5152.4969999999994</v>
      </c>
    </row>
    <row r="73" spans="2:16" ht="15" customHeight="1" x14ac:dyDescent="0.3">
      <c r="B73" s="164">
        <v>59</v>
      </c>
      <c r="C73" s="165">
        <v>9</v>
      </c>
      <c r="D73" s="165">
        <f t="shared" si="2"/>
        <v>9.4500000000000011</v>
      </c>
      <c r="E73" s="54">
        <f t="shared" si="0"/>
        <v>18.900000000000002</v>
      </c>
      <c r="F73" s="54">
        <f t="shared" si="9"/>
        <v>122.85000000000001</v>
      </c>
      <c r="G73" s="54">
        <f t="shared" si="10"/>
        <v>415.80000000000007</v>
      </c>
      <c r="H73" s="54">
        <f t="shared" si="3"/>
        <v>557.55000000000007</v>
      </c>
      <c r="I73" s="40">
        <f t="shared" si="1"/>
        <v>19.63</v>
      </c>
      <c r="J73" s="40">
        <f t="shared" si="11"/>
        <v>83.2</v>
      </c>
      <c r="K73" s="40">
        <f t="shared" si="12"/>
        <v>253.44</v>
      </c>
      <c r="L73" s="179">
        <f t="shared" si="4"/>
        <v>356.27</v>
      </c>
      <c r="M73" s="54">
        <f t="shared" si="5"/>
        <v>185.5035</v>
      </c>
      <c r="N73" s="54">
        <f t="shared" si="6"/>
        <v>786.24000000000012</v>
      </c>
      <c r="O73" s="54">
        <f t="shared" si="7"/>
        <v>2395.0080000000003</v>
      </c>
      <c r="P73" s="54">
        <f t="shared" si="8"/>
        <v>3366.7515000000003</v>
      </c>
    </row>
    <row r="74" spans="2:16" ht="15" customHeight="1" x14ac:dyDescent="0.3">
      <c r="B74" s="164">
        <v>60</v>
      </c>
      <c r="C74" s="165">
        <v>19</v>
      </c>
      <c r="D74" s="165">
        <f t="shared" si="2"/>
        <v>19.95</v>
      </c>
      <c r="E74" s="54">
        <f t="shared" si="0"/>
        <v>39.9</v>
      </c>
      <c r="F74" s="54">
        <f t="shared" si="9"/>
        <v>259.34999999999997</v>
      </c>
      <c r="G74" s="54">
        <f t="shared" si="10"/>
        <v>897.75</v>
      </c>
      <c r="H74" s="54">
        <f t="shared" si="3"/>
        <v>1197</v>
      </c>
      <c r="I74" s="40">
        <f t="shared" si="1"/>
        <v>19.63</v>
      </c>
      <c r="J74" s="40">
        <f t="shared" si="11"/>
        <v>83.2</v>
      </c>
      <c r="K74" s="40">
        <f t="shared" si="12"/>
        <v>259.2</v>
      </c>
      <c r="L74" s="179">
        <f t="shared" si="4"/>
        <v>362.03</v>
      </c>
      <c r="M74" s="54">
        <f t="shared" si="5"/>
        <v>391.61849999999998</v>
      </c>
      <c r="N74" s="54">
        <f t="shared" si="6"/>
        <v>1659.84</v>
      </c>
      <c r="O74" s="54">
        <f t="shared" si="7"/>
        <v>5171.04</v>
      </c>
      <c r="P74" s="54">
        <f t="shared" si="8"/>
        <v>7222.4984999999997</v>
      </c>
    </row>
    <row r="75" spans="2:16" ht="15" customHeight="1" x14ac:dyDescent="0.3">
      <c r="B75" s="164">
        <v>61</v>
      </c>
      <c r="C75" s="165">
        <v>8</v>
      </c>
      <c r="D75" s="165">
        <f t="shared" si="2"/>
        <v>8.4</v>
      </c>
      <c r="E75" s="54">
        <f t="shared" si="0"/>
        <v>16.8</v>
      </c>
      <c r="F75" s="54">
        <f t="shared" si="9"/>
        <v>109.2</v>
      </c>
      <c r="G75" s="54">
        <f t="shared" si="10"/>
        <v>386.40000000000003</v>
      </c>
      <c r="H75" s="54">
        <f t="shared" si="3"/>
        <v>512.40000000000009</v>
      </c>
      <c r="I75" s="40">
        <f t="shared" si="1"/>
        <v>19.63</v>
      </c>
      <c r="J75" s="40">
        <f t="shared" si="11"/>
        <v>83.2</v>
      </c>
      <c r="K75" s="40">
        <f t="shared" si="12"/>
        <v>264.95999999999998</v>
      </c>
      <c r="L75" s="179">
        <f t="shared" si="4"/>
        <v>367.78999999999996</v>
      </c>
      <c r="M75" s="54">
        <f t="shared" si="5"/>
        <v>164.892</v>
      </c>
      <c r="N75" s="54">
        <f t="shared" si="6"/>
        <v>698.88000000000011</v>
      </c>
      <c r="O75" s="54">
        <f t="shared" si="7"/>
        <v>2225.6639999999998</v>
      </c>
      <c r="P75" s="54">
        <f t="shared" si="8"/>
        <v>3089.4359999999997</v>
      </c>
    </row>
    <row r="76" spans="2:16" ht="15" customHeight="1" x14ac:dyDescent="0.3">
      <c r="B76" s="164">
        <v>62</v>
      </c>
      <c r="C76" s="165">
        <v>4</v>
      </c>
      <c r="D76" s="165">
        <f t="shared" si="2"/>
        <v>4.2</v>
      </c>
      <c r="E76" s="54">
        <f t="shared" si="0"/>
        <v>8.4</v>
      </c>
      <c r="F76" s="54">
        <f t="shared" si="9"/>
        <v>54.6</v>
      </c>
      <c r="G76" s="54">
        <f t="shared" si="10"/>
        <v>197.4</v>
      </c>
      <c r="H76" s="54">
        <f t="shared" si="3"/>
        <v>260.39999999999998</v>
      </c>
      <c r="I76" s="40">
        <f t="shared" si="1"/>
        <v>19.63</v>
      </c>
      <c r="J76" s="40">
        <f t="shared" si="11"/>
        <v>83.2</v>
      </c>
      <c r="K76" s="40">
        <f t="shared" si="12"/>
        <v>270.71999999999997</v>
      </c>
      <c r="L76" s="179">
        <f t="shared" si="4"/>
        <v>373.54999999999995</v>
      </c>
      <c r="M76" s="54">
        <f t="shared" si="5"/>
        <v>82.445999999999998</v>
      </c>
      <c r="N76" s="54">
        <f t="shared" si="6"/>
        <v>349.44000000000005</v>
      </c>
      <c r="O76" s="54">
        <f t="shared" si="7"/>
        <v>1137.0239999999999</v>
      </c>
      <c r="P76" s="54">
        <f t="shared" si="8"/>
        <v>1568.9099999999999</v>
      </c>
    </row>
    <row r="77" spans="2:16" ht="15" customHeight="1" x14ac:dyDescent="0.3">
      <c r="B77" s="164">
        <v>63</v>
      </c>
      <c r="C77" s="165">
        <v>13</v>
      </c>
      <c r="D77" s="165">
        <f t="shared" si="2"/>
        <v>13.65</v>
      </c>
      <c r="E77" s="54">
        <f t="shared" si="0"/>
        <v>27.3</v>
      </c>
      <c r="F77" s="54">
        <f t="shared" si="9"/>
        <v>177.45000000000002</v>
      </c>
      <c r="G77" s="54">
        <f t="shared" si="10"/>
        <v>655.20000000000005</v>
      </c>
      <c r="H77" s="54">
        <f t="shared" si="3"/>
        <v>859.95</v>
      </c>
      <c r="I77" s="40">
        <f t="shared" si="1"/>
        <v>19.63</v>
      </c>
      <c r="J77" s="40">
        <f t="shared" si="11"/>
        <v>83.2</v>
      </c>
      <c r="K77" s="40">
        <f t="shared" si="12"/>
        <v>276.48</v>
      </c>
      <c r="L77" s="179">
        <f t="shared" si="4"/>
        <v>379.31</v>
      </c>
      <c r="M77" s="54">
        <f t="shared" si="5"/>
        <v>267.9495</v>
      </c>
      <c r="N77" s="54">
        <f t="shared" si="6"/>
        <v>1135.68</v>
      </c>
      <c r="O77" s="54">
        <f t="shared" si="7"/>
        <v>3773.9520000000002</v>
      </c>
      <c r="P77" s="54">
        <f t="shared" si="8"/>
        <v>5177.5815000000002</v>
      </c>
    </row>
    <row r="78" spans="2:16" ht="15" customHeight="1" x14ac:dyDescent="0.3">
      <c r="B78" s="164">
        <v>64</v>
      </c>
      <c r="C78" s="165">
        <v>9</v>
      </c>
      <c r="D78" s="165">
        <f t="shared" si="2"/>
        <v>9.4500000000000011</v>
      </c>
      <c r="E78" s="54">
        <f t="shared" ref="E78:E141" si="13">+IF($B78&gt;2,2,$B78)*$D78</f>
        <v>18.900000000000002</v>
      </c>
      <c r="F78" s="54">
        <f t="shared" si="9"/>
        <v>122.85000000000001</v>
      </c>
      <c r="G78" s="54">
        <f t="shared" si="10"/>
        <v>463.05000000000007</v>
      </c>
      <c r="H78" s="54">
        <f t="shared" si="3"/>
        <v>604.80000000000007</v>
      </c>
      <c r="I78" s="40">
        <f t="shared" ref="I78:I141" si="14">+$I$9</f>
        <v>19.63</v>
      </c>
      <c r="J78" s="40">
        <f t="shared" si="11"/>
        <v>83.2</v>
      </c>
      <c r="K78" s="40">
        <f t="shared" si="12"/>
        <v>282.24</v>
      </c>
      <c r="L78" s="179">
        <f t="shared" si="4"/>
        <v>385.07</v>
      </c>
      <c r="M78" s="54">
        <f t="shared" si="5"/>
        <v>185.5035</v>
      </c>
      <c r="N78" s="54">
        <f t="shared" si="6"/>
        <v>786.24000000000012</v>
      </c>
      <c r="O78" s="54">
        <f t="shared" si="7"/>
        <v>2667.1680000000006</v>
      </c>
      <c r="P78" s="54">
        <f t="shared" si="8"/>
        <v>3638.9115000000006</v>
      </c>
    </row>
    <row r="79" spans="2:16" ht="15" customHeight="1" x14ac:dyDescent="0.3">
      <c r="B79" s="164">
        <v>65</v>
      </c>
      <c r="C79" s="165">
        <v>8</v>
      </c>
      <c r="D79" s="165">
        <f t="shared" ref="D79:D142" si="15">+C79*(1+$D$10)</f>
        <v>8.4</v>
      </c>
      <c r="E79" s="54">
        <f t="shared" si="13"/>
        <v>16.8</v>
      </c>
      <c r="F79" s="54">
        <f t="shared" si="9"/>
        <v>109.2</v>
      </c>
      <c r="G79" s="54">
        <f t="shared" si="10"/>
        <v>420</v>
      </c>
      <c r="H79" s="54">
        <f t="shared" ref="H79:H142" si="16">+SUM(E79:G79)</f>
        <v>546</v>
      </c>
      <c r="I79" s="40">
        <f t="shared" si="14"/>
        <v>19.63</v>
      </c>
      <c r="J79" s="40">
        <f t="shared" si="11"/>
        <v>83.2</v>
      </c>
      <c r="K79" s="40">
        <f t="shared" si="12"/>
        <v>288</v>
      </c>
      <c r="L79" s="179">
        <f t="shared" ref="L79:L142" si="17">+SUM(I79:K79)</f>
        <v>390.83</v>
      </c>
      <c r="M79" s="54">
        <f t="shared" ref="M79:M142" si="18">+I79*$D79</f>
        <v>164.892</v>
      </c>
      <c r="N79" s="54">
        <f t="shared" ref="N79:N142" si="19">+J79*$D79</f>
        <v>698.88000000000011</v>
      </c>
      <c r="O79" s="54">
        <f t="shared" ref="O79:O142" si="20">+K79*$D79</f>
        <v>2419.2000000000003</v>
      </c>
      <c r="P79" s="54">
        <f t="shared" ref="P79:P142" si="21">+SUM(M79:O79)</f>
        <v>3282.9720000000007</v>
      </c>
    </row>
    <row r="80" spans="2:16" ht="15" customHeight="1" x14ac:dyDescent="0.3">
      <c r="B80" s="164">
        <v>66</v>
      </c>
      <c r="C80" s="165">
        <v>9</v>
      </c>
      <c r="D80" s="165">
        <f t="shared" si="15"/>
        <v>9.4500000000000011</v>
      </c>
      <c r="E80" s="54">
        <f t="shared" si="13"/>
        <v>18.900000000000002</v>
      </c>
      <c r="F80" s="54">
        <f t="shared" si="9"/>
        <v>122.85000000000001</v>
      </c>
      <c r="G80" s="54">
        <f t="shared" si="10"/>
        <v>481.95000000000005</v>
      </c>
      <c r="H80" s="54">
        <f t="shared" si="16"/>
        <v>623.70000000000005</v>
      </c>
      <c r="I80" s="40">
        <f t="shared" si="14"/>
        <v>19.63</v>
      </c>
      <c r="J80" s="40">
        <f t="shared" si="11"/>
        <v>83.2</v>
      </c>
      <c r="K80" s="40">
        <f t="shared" si="12"/>
        <v>293.76</v>
      </c>
      <c r="L80" s="179">
        <f t="shared" si="17"/>
        <v>396.59</v>
      </c>
      <c r="M80" s="54">
        <f t="shared" si="18"/>
        <v>185.5035</v>
      </c>
      <c r="N80" s="54">
        <f t="shared" si="19"/>
        <v>786.24000000000012</v>
      </c>
      <c r="O80" s="54">
        <f t="shared" si="20"/>
        <v>2776.0320000000002</v>
      </c>
      <c r="P80" s="54">
        <f t="shared" si="21"/>
        <v>3747.7755000000002</v>
      </c>
    </row>
    <row r="81" spans="2:16" ht="15" customHeight="1" x14ac:dyDescent="0.3">
      <c r="B81" s="164">
        <v>67</v>
      </c>
      <c r="C81" s="165">
        <v>5</v>
      </c>
      <c r="D81" s="165">
        <f t="shared" si="15"/>
        <v>5.25</v>
      </c>
      <c r="E81" s="54">
        <f t="shared" si="13"/>
        <v>10.5</v>
      </c>
      <c r="F81" s="54">
        <f t="shared" ref="F81:F144" si="22">+IF($B81&gt;15,13,$B81-2)*$D81</f>
        <v>68.25</v>
      </c>
      <c r="G81" s="54">
        <f t="shared" ref="G81:G144" si="23">+IF($B81&gt;15,$B81-15,0)*$D81</f>
        <v>273</v>
      </c>
      <c r="H81" s="54">
        <f t="shared" si="16"/>
        <v>351.75</v>
      </c>
      <c r="I81" s="40">
        <f t="shared" si="14"/>
        <v>19.63</v>
      </c>
      <c r="J81" s="40">
        <f t="shared" ref="J81:J144" si="24">+IF($B81&gt;15,13,$B81-2)*$J$9</f>
        <v>83.2</v>
      </c>
      <c r="K81" s="40">
        <f t="shared" ref="K81:K144" si="25">+IF($B81&gt;15,$B81-15,0)*$K$9</f>
        <v>299.52</v>
      </c>
      <c r="L81" s="179">
        <f t="shared" si="17"/>
        <v>402.34999999999997</v>
      </c>
      <c r="M81" s="54">
        <f t="shared" si="18"/>
        <v>103.05749999999999</v>
      </c>
      <c r="N81" s="54">
        <f t="shared" si="19"/>
        <v>436.8</v>
      </c>
      <c r="O81" s="54">
        <f t="shared" si="20"/>
        <v>1572.48</v>
      </c>
      <c r="P81" s="54">
        <f t="shared" si="21"/>
        <v>2112.3375000000001</v>
      </c>
    </row>
    <row r="82" spans="2:16" ht="15" customHeight="1" x14ac:dyDescent="0.3">
      <c r="B82" s="164">
        <v>68</v>
      </c>
      <c r="C82" s="165">
        <v>9</v>
      </c>
      <c r="D82" s="165">
        <f t="shared" si="15"/>
        <v>9.4500000000000011</v>
      </c>
      <c r="E82" s="54">
        <f t="shared" si="13"/>
        <v>18.900000000000002</v>
      </c>
      <c r="F82" s="54">
        <f t="shared" si="22"/>
        <v>122.85000000000001</v>
      </c>
      <c r="G82" s="54">
        <f t="shared" si="23"/>
        <v>500.85000000000008</v>
      </c>
      <c r="H82" s="54">
        <f t="shared" si="16"/>
        <v>642.60000000000014</v>
      </c>
      <c r="I82" s="40">
        <f t="shared" si="14"/>
        <v>19.63</v>
      </c>
      <c r="J82" s="40">
        <f t="shared" si="24"/>
        <v>83.2</v>
      </c>
      <c r="K82" s="40">
        <f t="shared" si="25"/>
        <v>305.27999999999997</v>
      </c>
      <c r="L82" s="179">
        <f t="shared" si="17"/>
        <v>408.10999999999996</v>
      </c>
      <c r="M82" s="54">
        <f t="shared" si="18"/>
        <v>185.5035</v>
      </c>
      <c r="N82" s="54">
        <f t="shared" si="19"/>
        <v>786.24000000000012</v>
      </c>
      <c r="O82" s="54">
        <f t="shared" si="20"/>
        <v>2884.8960000000002</v>
      </c>
      <c r="P82" s="54">
        <f t="shared" si="21"/>
        <v>3856.6395000000002</v>
      </c>
    </row>
    <row r="83" spans="2:16" ht="15" customHeight="1" x14ac:dyDescent="0.3">
      <c r="B83" s="164">
        <v>69</v>
      </c>
      <c r="C83" s="165">
        <v>6</v>
      </c>
      <c r="D83" s="165">
        <f t="shared" si="15"/>
        <v>6.3000000000000007</v>
      </c>
      <c r="E83" s="54">
        <f t="shared" si="13"/>
        <v>12.600000000000001</v>
      </c>
      <c r="F83" s="54">
        <f t="shared" si="22"/>
        <v>81.900000000000006</v>
      </c>
      <c r="G83" s="54">
        <f t="shared" si="23"/>
        <v>340.20000000000005</v>
      </c>
      <c r="H83" s="54">
        <f t="shared" si="16"/>
        <v>434.70000000000005</v>
      </c>
      <c r="I83" s="40">
        <f t="shared" si="14"/>
        <v>19.63</v>
      </c>
      <c r="J83" s="40">
        <f t="shared" si="24"/>
        <v>83.2</v>
      </c>
      <c r="K83" s="40">
        <f t="shared" si="25"/>
        <v>311.03999999999996</v>
      </c>
      <c r="L83" s="179">
        <f t="shared" si="17"/>
        <v>413.86999999999995</v>
      </c>
      <c r="M83" s="54">
        <f t="shared" si="18"/>
        <v>123.66900000000001</v>
      </c>
      <c r="N83" s="54">
        <f t="shared" si="19"/>
        <v>524.16000000000008</v>
      </c>
      <c r="O83" s="54">
        <f t="shared" si="20"/>
        <v>1959.5519999999999</v>
      </c>
      <c r="P83" s="54">
        <f t="shared" si="21"/>
        <v>2607.3809999999999</v>
      </c>
    </row>
    <row r="84" spans="2:16" ht="15" customHeight="1" x14ac:dyDescent="0.3">
      <c r="B84" s="164">
        <v>70</v>
      </c>
      <c r="C84" s="165">
        <v>7</v>
      </c>
      <c r="D84" s="165">
        <f t="shared" si="15"/>
        <v>7.3500000000000005</v>
      </c>
      <c r="E84" s="54">
        <f t="shared" si="13"/>
        <v>14.700000000000001</v>
      </c>
      <c r="F84" s="54">
        <f t="shared" si="22"/>
        <v>95.550000000000011</v>
      </c>
      <c r="G84" s="54">
        <f t="shared" si="23"/>
        <v>404.25000000000006</v>
      </c>
      <c r="H84" s="54">
        <f t="shared" si="16"/>
        <v>514.50000000000011</v>
      </c>
      <c r="I84" s="40">
        <f t="shared" si="14"/>
        <v>19.63</v>
      </c>
      <c r="J84" s="40">
        <f t="shared" si="24"/>
        <v>83.2</v>
      </c>
      <c r="K84" s="40">
        <f t="shared" si="25"/>
        <v>316.8</v>
      </c>
      <c r="L84" s="179">
        <f t="shared" si="17"/>
        <v>419.63</v>
      </c>
      <c r="M84" s="54">
        <f t="shared" si="18"/>
        <v>144.28049999999999</v>
      </c>
      <c r="N84" s="54">
        <f t="shared" si="19"/>
        <v>611.5200000000001</v>
      </c>
      <c r="O84" s="54">
        <f t="shared" si="20"/>
        <v>2328.4800000000005</v>
      </c>
      <c r="P84" s="54">
        <f t="shared" si="21"/>
        <v>3084.2805000000008</v>
      </c>
    </row>
    <row r="85" spans="2:16" ht="15" customHeight="1" x14ac:dyDescent="0.3">
      <c r="B85" s="164">
        <v>71</v>
      </c>
      <c r="C85" s="165">
        <v>5</v>
      </c>
      <c r="D85" s="165">
        <f t="shared" si="15"/>
        <v>5.25</v>
      </c>
      <c r="E85" s="54">
        <f t="shared" si="13"/>
        <v>10.5</v>
      </c>
      <c r="F85" s="54">
        <f t="shared" si="22"/>
        <v>68.25</v>
      </c>
      <c r="G85" s="54">
        <f t="shared" si="23"/>
        <v>294</v>
      </c>
      <c r="H85" s="54">
        <f t="shared" si="16"/>
        <v>372.75</v>
      </c>
      <c r="I85" s="40">
        <f t="shared" si="14"/>
        <v>19.63</v>
      </c>
      <c r="J85" s="40">
        <f t="shared" si="24"/>
        <v>83.2</v>
      </c>
      <c r="K85" s="40">
        <f t="shared" si="25"/>
        <v>322.56</v>
      </c>
      <c r="L85" s="179">
        <f t="shared" si="17"/>
        <v>425.39</v>
      </c>
      <c r="M85" s="54">
        <f t="shared" si="18"/>
        <v>103.05749999999999</v>
      </c>
      <c r="N85" s="54">
        <f t="shared" si="19"/>
        <v>436.8</v>
      </c>
      <c r="O85" s="54">
        <f t="shared" si="20"/>
        <v>1693.44</v>
      </c>
      <c r="P85" s="54">
        <f t="shared" si="21"/>
        <v>2233.2975000000001</v>
      </c>
    </row>
    <row r="86" spans="2:16" ht="15" customHeight="1" x14ac:dyDescent="0.3">
      <c r="B86" s="164">
        <v>72</v>
      </c>
      <c r="C86" s="165">
        <v>7</v>
      </c>
      <c r="D86" s="165">
        <f t="shared" si="15"/>
        <v>7.3500000000000005</v>
      </c>
      <c r="E86" s="54">
        <f t="shared" si="13"/>
        <v>14.700000000000001</v>
      </c>
      <c r="F86" s="54">
        <f t="shared" si="22"/>
        <v>95.550000000000011</v>
      </c>
      <c r="G86" s="54">
        <f t="shared" si="23"/>
        <v>418.95000000000005</v>
      </c>
      <c r="H86" s="54">
        <f t="shared" si="16"/>
        <v>529.20000000000005</v>
      </c>
      <c r="I86" s="40">
        <f t="shared" si="14"/>
        <v>19.63</v>
      </c>
      <c r="J86" s="40">
        <f t="shared" si="24"/>
        <v>83.2</v>
      </c>
      <c r="K86" s="40">
        <f t="shared" si="25"/>
        <v>328.32</v>
      </c>
      <c r="L86" s="179">
        <f t="shared" si="17"/>
        <v>431.15</v>
      </c>
      <c r="M86" s="54">
        <f t="shared" si="18"/>
        <v>144.28049999999999</v>
      </c>
      <c r="N86" s="54">
        <f t="shared" si="19"/>
        <v>611.5200000000001</v>
      </c>
      <c r="O86" s="54">
        <f t="shared" si="20"/>
        <v>2413.152</v>
      </c>
      <c r="P86" s="54">
        <f t="shared" si="21"/>
        <v>3168.9525000000003</v>
      </c>
    </row>
    <row r="87" spans="2:16" ht="15" customHeight="1" x14ac:dyDescent="0.3">
      <c r="B87" s="164">
        <v>73</v>
      </c>
      <c r="C87" s="165">
        <v>9</v>
      </c>
      <c r="D87" s="165">
        <f t="shared" si="15"/>
        <v>9.4500000000000011</v>
      </c>
      <c r="E87" s="54">
        <f t="shared" si="13"/>
        <v>18.900000000000002</v>
      </c>
      <c r="F87" s="54">
        <f t="shared" si="22"/>
        <v>122.85000000000001</v>
      </c>
      <c r="G87" s="54">
        <f t="shared" si="23"/>
        <v>548.1</v>
      </c>
      <c r="H87" s="54">
        <f t="shared" si="16"/>
        <v>689.85</v>
      </c>
      <c r="I87" s="40">
        <f t="shared" si="14"/>
        <v>19.63</v>
      </c>
      <c r="J87" s="40">
        <f t="shared" si="24"/>
        <v>83.2</v>
      </c>
      <c r="K87" s="40">
        <f t="shared" si="25"/>
        <v>334.08</v>
      </c>
      <c r="L87" s="179">
        <f t="shared" si="17"/>
        <v>436.90999999999997</v>
      </c>
      <c r="M87" s="54">
        <f t="shared" si="18"/>
        <v>185.5035</v>
      </c>
      <c r="N87" s="54">
        <f t="shared" si="19"/>
        <v>786.24000000000012</v>
      </c>
      <c r="O87" s="54">
        <f t="shared" si="20"/>
        <v>3157.056</v>
      </c>
      <c r="P87" s="54">
        <f t="shared" si="21"/>
        <v>4128.7995000000001</v>
      </c>
    </row>
    <row r="88" spans="2:16" ht="15" customHeight="1" x14ac:dyDescent="0.3">
      <c r="B88" s="164">
        <v>74</v>
      </c>
      <c r="C88" s="165">
        <v>4</v>
      </c>
      <c r="D88" s="165">
        <f t="shared" si="15"/>
        <v>4.2</v>
      </c>
      <c r="E88" s="54">
        <f t="shared" si="13"/>
        <v>8.4</v>
      </c>
      <c r="F88" s="54">
        <f t="shared" si="22"/>
        <v>54.6</v>
      </c>
      <c r="G88" s="54">
        <f t="shared" si="23"/>
        <v>247.8</v>
      </c>
      <c r="H88" s="54">
        <f t="shared" si="16"/>
        <v>310.8</v>
      </c>
      <c r="I88" s="40">
        <f t="shared" si="14"/>
        <v>19.63</v>
      </c>
      <c r="J88" s="40">
        <f t="shared" si="24"/>
        <v>83.2</v>
      </c>
      <c r="K88" s="40">
        <f t="shared" si="25"/>
        <v>339.84</v>
      </c>
      <c r="L88" s="179">
        <f t="shared" si="17"/>
        <v>442.66999999999996</v>
      </c>
      <c r="M88" s="54">
        <f t="shared" si="18"/>
        <v>82.445999999999998</v>
      </c>
      <c r="N88" s="54">
        <f t="shared" si="19"/>
        <v>349.44000000000005</v>
      </c>
      <c r="O88" s="54">
        <f t="shared" si="20"/>
        <v>1427.328</v>
      </c>
      <c r="P88" s="54">
        <f t="shared" si="21"/>
        <v>1859.2139999999999</v>
      </c>
    </row>
    <row r="89" spans="2:16" ht="15" customHeight="1" x14ac:dyDescent="0.3">
      <c r="B89" s="164">
        <v>75</v>
      </c>
      <c r="C89" s="165">
        <v>4</v>
      </c>
      <c r="D89" s="165">
        <f t="shared" si="15"/>
        <v>4.2</v>
      </c>
      <c r="E89" s="54">
        <f t="shared" si="13"/>
        <v>8.4</v>
      </c>
      <c r="F89" s="54">
        <f t="shared" si="22"/>
        <v>54.6</v>
      </c>
      <c r="G89" s="54">
        <f t="shared" si="23"/>
        <v>252</v>
      </c>
      <c r="H89" s="54">
        <f t="shared" si="16"/>
        <v>315</v>
      </c>
      <c r="I89" s="40">
        <f t="shared" si="14"/>
        <v>19.63</v>
      </c>
      <c r="J89" s="40">
        <f t="shared" si="24"/>
        <v>83.2</v>
      </c>
      <c r="K89" s="40">
        <f t="shared" si="25"/>
        <v>345.59999999999997</v>
      </c>
      <c r="L89" s="179">
        <f t="shared" si="17"/>
        <v>448.42999999999995</v>
      </c>
      <c r="M89" s="54">
        <f t="shared" si="18"/>
        <v>82.445999999999998</v>
      </c>
      <c r="N89" s="54">
        <f t="shared" si="19"/>
        <v>349.44000000000005</v>
      </c>
      <c r="O89" s="54">
        <f t="shared" si="20"/>
        <v>1451.52</v>
      </c>
      <c r="P89" s="54">
        <f t="shared" si="21"/>
        <v>1883.4059999999999</v>
      </c>
    </row>
    <row r="90" spans="2:16" ht="15" customHeight="1" x14ac:dyDescent="0.3">
      <c r="B90" s="164">
        <v>76</v>
      </c>
      <c r="C90" s="165">
        <v>6</v>
      </c>
      <c r="D90" s="165">
        <f t="shared" si="15"/>
        <v>6.3000000000000007</v>
      </c>
      <c r="E90" s="54">
        <f t="shared" si="13"/>
        <v>12.600000000000001</v>
      </c>
      <c r="F90" s="54">
        <f t="shared" si="22"/>
        <v>81.900000000000006</v>
      </c>
      <c r="G90" s="54">
        <f t="shared" si="23"/>
        <v>384.30000000000007</v>
      </c>
      <c r="H90" s="54">
        <f t="shared" si="16"/>
        <v>478.80000000000007</v>
      </c>
      <c r="I90" s="40">
        <f t="shared" si="14"/>
        <v>19.63</v>
      </c>
      <c r="J90" s="40">
        <f t="shared" si="24"/>
        <v>83.2</v>
      </c>
      <c r="K90" s="40">
        <f t="shared" si="25"/>
        <v>351.36</v>
      </c>
      <c r="L90" s="179">
        <f t="shared" si="17"/>
        <v>454.19</v>
      </c>
      <c r="M90" s="54">
        <f t="shared" si="18"/>
        <v>123.66900000000001</v>
      </c>
      <c r="N90" s="54">
        <f t="shared" si="19"/>
        <v>524.16000000000008</v>
      </c>
      <c r="O90" s="54">
        <f t="shared" si="20"/>
        <v>2213.5680000000002</v>
      </c>
      <c r="P90" s="54">
        <f t="shared" si="21"/>
        <v>2861.3970000000004</v>
      </c>
    </row>
    <row r="91" spans="2:16" ht="15" customHeight="1" x14ac:dyDescent="0.3">
      <c r="B91" s="164">
        <v>77</v>
      </c>
      <c r="C91" s="165">
        <v>5</v>
      </c>
      <c r="D91" s="165">
        <f t="shared" si="15"/>
        <v>5.25</v>
      </c>
      <c r="E91" s="54">
        <f t="shared" si="13"/>
        <v>10.5</v>
      </c>
      <c r="F91" s="54">
        <f t="shared" si="22"/>
        <v>68.25</v>
      </c>
      <c r="G91" s="54">
        <f t="shared" si="23"/>
        <v>325.5</v>
      </c>
      <c r="H91" s="54">
        <f t="shared" si="16"/>
        <v>404.25</v>
      </c>
      <c r="I91" s="40">
        <f t="shared" si="14"/>
        <v>19.63</v>
      </c>
      <c r="J91" s="40">
        <f t="shared" si="24"/>
        <v>83.2</v>
      </c>
      <c r="K91" s="40">
        <f t="shared" si="25"/>
        <v>357.12</v>
      </c>
      <c r="L91" s="179">
        <f t="shared" si="17"/>
        <v>459.95</v>
      </c>
      <c r="M91" s="54">
        <f t="shared" si="18"/>
        <v>103.05749999999999</v>
      </c>
      <c r="N91" s="54">
        <f t="shared" si="19"/>
        <v>436.8</v>
      </c>
      <c r="O91" s="54">
        <f t="shared" si="20"/>
        <v>1874.88</v>
      </c>
      <c r="P91" s="54">
        <f t="shared" si="21"/>
        <v>2414.7375000000002</v>
      </c>
    </row>
    <row r="92" spans="2:16" ht="15" customHeight="1" x14ac:dyDescent="0.3">
      <c r="B92" s="164">
        <v>78</v>
      </c>
      <c r="C92" s="165">
        <v>3</v>
      </c>
      <c r="D92" s="165">
        <f t="shared" si="15"/>
        <v>3.1500000000000004</v>
      </c>
      <c r="E92" s="54">
        <f t="shared" si="13"/>
        <v>6.3000000000000007</v>
      </c>
      <c r="F92" s="54">
        <f t="shared" si="22"/>
        <v>40.950000000000003</v>
      </c>
      <c r="G92" s="54">
        <f t="shared" si="23"/>
        <v>198.45000000000002</v>
      </c>
      <c r="H92" s="54">
        <f t="shared" si="16"/>
        <v>245.70000000000002</v>
      </c>
      <c r="I92" s="40">
        <f t="shared" si="14"/>
        <v>19.63</v>
      </c>
      <c r="J92" s="40">
        <f t="shared" si="24"/>
        <v>83.2</v>
      </c>
      <c r="K92" s="40">
        <f t="shared" si="25"/>
        <v>362.88</v>
      </c>
      <c r="L92" s="179">
        <f t="shared" si="17"/>
        <v>465.71</v>
      </c>
      <c r="M92" s="54">
        <f t="shared" si="18"/>
        <v>61.834500000000006</v>
      </c>
      <c r="N92" s="54">
        <f t="shared" si="19"/>
        <v>262.08000000000004</v>
      </c>
      <c r="O92" s="54">
        <f t="shared" si="20"/>
        <v>1143.0720000000001</v>
      </c>
      <c r="P92" s="54">
        <f t="shared" si="21"/>
        <v>1466.9865000000002</v>
      </c>
    </row>
    <row r="93" spans="2:16" ht="15" customHeight="1" x14ac:dyDescent="0.3">
      <c r="B93" s="164">
        <v>79</v>
      </c>
      <c r="C93" s="165">
        <v>4</v>
      </c>
      <c r="D93" s="165">
        <f t="shared" si="15"/>
        <v>4.2</v>
      </c>
      <c r="E93" s="54">
        <f t="shared" si="13"/>
        <v>8.4</v>
      </c>
      <c r="F93" s="54">
        <f t="shared" si="22"/>
        <v>54.6</v>
      </c>
      <c r="G93" s="54">
        <f t="shared" si="23"/>
        <v>268.8</v>
      </c>
      <c r="H93" s="54">
        <f t="shared" si="16"/>
        <v>331.8</v>
      </c>
      <c r="I93" s="40">
        <f t="shared" si="14"/>
        <v>19.63</v>
      </c>
      <c r="J93" s="40">
        <f t="shared" si="24"/>
        <v>83.2</v>
      </c>
      <c r="K93" s="40">
        <f t="shared" si="25"/>
        <v>368.64</v>
      </c>
      <c r="L93" s="179">
        <f t="shared" si="17"/>
        <v>471.46999999999997</v>
      </c>
      <c r="M93" s="54">
        <f t="shared" si="18"/>
        <v>82.445999999999998</v>
      </c>
      <c r="N93" s="54">
        <f t="shared" si="19"/>
        <v>349.44000000000005</v>
      </c>
      <c r="O93" s="54">
        <f t="shared" si="20"/>
        <v>1548.288</v>
      </c>
      <c r="P93" s="54">
        <f t="shared" si="21"/>
        <v>1980.174</v>
      </c>
    </row>
    <row r="94" spans="2:16" ht="15" customHeight="1" x14ac:dyDescent="0.3">
      <c r="B94" s="164">
        <v>80</v>
      </c>
      <c r="C94" s="165">
        <v>3</v>
      </c>
      <c r="D94" s="165">
        <f t="shared" si="15"/>
        <v>3.1500000000000004</v>
      </c>
      <c r="E94" s="54">
        <f t="shared" si="13"/>
        <v>6.3000000000000007</v>
      </c>
      <c r="F94" s="54">
        <f t="shared" si="22"/>
        <v>40.950000000000003</v>
      </c>
      <c r="G94" s="54">
        <f t="shared" si="23"/>
        <v>204.75000000000003</v>
      </c>
      <c r="H94" s="54">
        <f t="shared" si="16"/>
        <v>252.00000000000003</v>
      </c>
      <c r="I94" s="40">
        <f t="shared" si="14"/>
        <v>19.63</v>
      </c>
      <c r="J94" s="40">
        <f t="shared" si="24"/>
        <v>83.2</v>
      </c>
      <c r="K94" s="40">
        <f t="shared" si="25"/>
        <v>374.4</v>
      </c>
      <c r="L94" s="179">
        <f t="shared" si="17"/>
        <v>477.22999999999996</v>
      </c>
      <c r="M94" s="54">
        <f t="shared" si="18"/>
        <v>61.834500000000006</v>
      </c>
      <c r="N94" s="54">
        <f t="shared" si="19"/>
        <v>262.08000000000004</v>
      </c>
      <c r="O94" s="54">
        <f t="shared" si="20"/>
        <v>1179.3600000000001</v>
      </c>
      <c r="P94" s="54">
        <f t="shared" si="21"/>
        <v>1503.2745000000002</v>
      </c>
    </row>
    <row r="95" spans="2:16" ht="15" customHeight="1" x14ac:dyDescent="0.3">
      <c r="B95" s="164">
        <v>81</v>
      </c>
      <c r="C95" s="165">
        <v>3</v>
      </c>
      <c r="D95" s="165">
        <f t="shared" si="15"/>
        <v>3.1500000000000004</v>
      </c>
      <c r="E95" s="54">
        <f t="shared" si="13"/>
        <v>6.3000000000000007</v>
      </c>
      <c r="F95" s="54">
        <f t="shared" si="22"/>
        <v>40.950000000000003</v>
      </c>
      <c r="G95" s="54">
        <f t="shared" si="23"/>
        <v>207.90000000000003</v>
      </c>
      <c r="H95" s="54">
        <f t="shared" si="16"/>
        <v>255.15000000000003</v>
      </c>
      <c r="I95" s="40">
        <f t="shared" si="14"/>
        <v>19.63</v>
      </c>
      <c r="J95" s="40">
        <f t="shared" si="24"/>
        <v>83.2</v>
      </c>
      <c r="K95" s="40">
        <f t="shared" si="25"/>
        <v>380.15999999999997</v>
      </c>
      <c r="L95" s="179">
        <f t="shared" si="17"/>
        <v>482.98999999999995</v>
      </c>
      <c r="M95" s="54">
        <f t="shared" si="18"/>
        <v>61.834500000000006</v>
      </c>
      <c r="N95" s="54">
        <f t="shared" si="19"/>
        <v>262.08000000000004</v>
      </c>
      <c r="O95" s="54">
        <f t="shared" si="20"/>
        <v>1197.5040000000001</v>
      </c>
      <c r="P95" s="54">
        <f t="shared" si="21"/>
        <v>1521.4185000000002</v>
      </c>
    </row>
    <row r="96" spans="2:16" ht="15" customHeight="1" x14ac:dyDescent="0.3">
      <c r="B96" s="164">
        <v>82</v>
      </c>
      <c r="C96" s="165">
        <v>7</v>
      </c>
      <c r="D96" s="165">
        <f t="shared" si="15"/>
        <v>7.3500000000000005</v>
      </c>
      <c r="E96" s="54">
        <f t="shared" si="13"/>
        <v>14.700000000000001</v>
      </c>
      <c r="F96" s="54">
        <f t="shared" si="22"/>
        <v>95.550000000000011</v>
      </c>
      <c r="G96" s="54">
        <f t="shared" si="23"/>
        <v>492.45000000000005</v>
      </c>
      <c r="H96" s="54">
        <f t="shared" si="16"/>
        <v>602.70000000000005</v>
      </c>
      <c r="I96" s="40">
        <f t="shared" si="14"/>
        <v>19.63</v>
      </c>
      <c r="J96" s="40">
        <f t="shared" si="24"/>
        <v>83.2</v>
      </c>
      <c r="K96" s="40">
        <f t="shared" si="25"/>
        <v>385.91999999999996</v>
      </c>
      <c r="L96" s="179">
        <f t="shared" si="17"/>
        <v>488.74999999999994</v>
      </c>
      <c r="M96" s="54">
        <f t="shared" si="18"/>
        <v>144.28049999999999</v>
      </c>
      <c r="N96" s="54">
        <f t="shared" si="19"/>
        <v>611.5200000000001</v>
      </c>
      <c r="O96" s="54">
        <f t="shared" si="20"/>
        <v>2836.5119999999997</v>
      </c>
      <c r="P96" s="54">
        <f t="shared" si="21"/>
        <v>3592.3125</v>
      </c>
    </row>
    <row r="97" spans="2:16" ht="15" customHeight="1" x14ac:dyDescent="0.3">
      <c r="B97" s="164">
        <v>83</v>
      </c>
      <c r="C97" s="165">
        <v>5</v>
      </c>
      <c r="D97" s="165">
        <f t="shared" si="15"/>
        <v>5.25</v>
      </c>
      <c r="E97" s="54">
        <f t="shared" si="13"/>
        <v>10.5</v>
      </c>
      <c r="F97" s="54">
        <f t="shared" si="22"/>
        <v>68.25</v>
      </c>
      <c r="G97" s="54">
        <f t="shared" si="23"/>
        <v>357</v>
      </c>
      <c r="H97" s="54">
        <f t="shared" si="16"/>
        <v>435.75</v>
      </c>
      <c r="I97" s="40">
        <f t="shared" si="14"/>
        <v>19.63</v>
      </c>
      <c r="J97" s="40">
        <f t="shared" si="24"/>
        <v>83.2</v>
      </c>
      <c r="K97" s="40">
        <f t="shared" si="25"/>
        <v>391.68</v>
      </c>
      <c r="L97" s="179">
        <f t="shared" si="17"/>
        <v>494.51</v>
      </c>
      <c r="M97" s="54">
        <f t="shared" si="18"/>
        <v>103.05749999999999</v>
      </c>
      <c r="N97" s="54">
        <f t="shared" si="19"/>
        <v>436.8</v>
      </c>
      <c r="O97" s="54">
        <f t="shared" si="20"/>
        <v>2056.3200000000002</v>
      </c>
      <c r="P97" s="54">
        <f t="shared" si="21"/>
        <v>2596.1775000000002</v>
      </c>
    </row>
    <row r="98" spans="2:16" ht="15" customHeight="1" x14ac:dyDescent="0.3">
      <c r="B98" s="164">
        <v>84</v>
      </c>
      <c r="C98" s="165">
        <v>7</v>
      </c>
      <c r="D98" s="165">
        <f t="shared" si="15"/>
        <v>7.3500000000000005</v>
      </c>
      <c r="E98" s="54">
        <f t="shared" si="13"/>
        <v>14.700000000000001</v>
      </c>
      <c r="F98" s="54">
        <f t="shared" si="22"/>
        <v>95.550000000000011</v>
      </c>
      <c r="G98" s="54">
        <f t="shared" si="23"/>
        <v>507.15000000000003</v>
      </c>
      <c r="H98" s="54">
        <f t="shared" si="16"/>
        <v>617.40000000000009</v>
      </c>
      <c r="I98" s="40">
        <f t="shared" si="14"/>
        <v>19.63</v>
      </c>
      <c r="J98" s="40">
        <f t="shared" si="24"/>
        <v>83.2</v>
      </c>
      <c r="K98" s="40">
        <f t="shared" si="25"/>
        <v>397.44</v>
      </c>
      <c r="L98" s="179">
        <f t="shared" si="17"/>
        <v>500.27</v>
      </c>
      <c r="M98" s="54">
        <f t="shared" si="18"/>
        <v>144.28049999999999</v>
      </c>
      <c r="N98" s="54">
        <f t="shared" si="19"/>
        <v>611.5200000000001</v>
      </c>
      <c r="O98" s="54">
        <f t="shared" si="20"/>
        <v>2921.1840000000002</v>
      </c>
      <c r="P98" s="54">
        <f t="shared" si="21"/>
        <v>3676.9845000000005</v>
      </c>
    </row>
    <row r="99" spans="2:16" ht="15" customHeight="1" x14ac:dyDescent="0.3">
      <c r="B99" s="164">
        <v>85</v>
      </c>
      <c r="C99" s="165">
        <v>1</v>
      </c>
      <c r="D99" s="165">
        <f t="shared" si="15"/>
        <v>1.05</v>
      </c>
      <c r="E99" s="54">
        <f t="shared" si="13"/>
        <v>2.1</v>
      </c>
      <c r="F99" s="54">
        <f t="shared" si="22"/>
        <v>13.65</v>
      </c>
      <c r="G99" s="54">
        <f t="shared" si="23"/>
        <v>73.5</v>
      </c>
      <c r="H99" s="54">
        <f t="shared" si="16"/>
        <v>89.25</v>
      </c>
      <c r="I99" s="40">
        <f t="shared" si="14"/>
        <v>19.63</v>
      </c>
      <c r="J99" s="40">
        <f t="shared" si="24"/>
        <v>83.2</v>
      </c>
      <c r="K99" s="40">
        <f t="shared" si="25"/>
        <v>403.2</v>
      </c>
      <c r="L99" s="179">
        <f t="shared" si="17"/>
        <v>506.03</v>
      </c>
      <c r="M99" s="54">
        <f t="shared" si="18"/>
        <v>20.611499999999999</v>
      </c>
      <c r="N99" s="54">
        <f t="shared" si="19"/>
        <v>87.360000000000014</v>
      </c>
      <c r="O99" s="54">
        <f t="shared" si="20"/>
        <v>423.36</v>
      </c>
      <c r="P99" s="54">
        <f t="shared" si="21"/>
        <v>531.33150000000001</v>
      </c>
    </row>
    <row r="100" spans="2:16" ht="15" customHeight="1" x14ac:dyDescent="0.3">
      <c r="B100" s="164">
        <v>86</v>
      </c>
      <c r="C100" s="165">
        <v>5</v>
      </c>
      <c r="D100" s="165">
        <f t="shared" si="15"/>
        <v>5.25</v>
      </c>
      <c r="E100" s="54">
        <f t="shared" si="13"/>
        <v>10.5</v>
      </c>
      <c r="F100" s="54">
        <f t="shared" si="22"/>
        <v>68.25</v>
      </c>
      <c r="G100" s="54">
        <f t="shared" si="23"/>
        <v>372.75</v>
      </c>
      <c r="H100" s="54">
        <f t="shared" si="16"/>
        <v>451.5</v>
      </c>
      <c r="I100" s="40">
        <f t="shared" si="14"/>
        <v>19.63</v>
      </c>
      <c r="J100" s="40">
        <f t="shared" si="24"/>
        <v>83.2</v>
      </c>
      <c r="K100" s="40">
        <f t="shared" si="25"/>
        <v>408.96</v>
      </c>
      <c r="L100" s="179">
        <f t="shared" si="17"/>
        <v>511.78999999999996</v>
      </c>
      <c r="M100" s="54">
        <f t="shared" si="18"/>
        <v>103.05749999999999</v>
      </c>
      <c r="N100" s="54">
        <f t="shared" si="19"/>
        <v>436.8</v>
      </c>
      <c r="O100" s="54">
        <f t="shared" si="20"/>
        <v>2147.04</v>
      </c>
      <c r="P100" s="54">
        <f t="shared" si="21"/>
        <v>2686.8975</v>
      </c>
    </row>
    <row r="101" spans="2:16" ht="15" customHeight="1" x14ac:dyDescent="0.3">
      <c r="B101" s="164">
        <v>87</v>
      </c>
      <c r="C101" s="165">
        <v>6</v>
      </c>
      <c r="D101" s="165">
        <f t="shared" si="15"/>
        <v>6.3000000000000007</v>
      </c>
      <c r="E101" s="54">
        <f t="shared" si="13"/>
        <v>12.600000000000001</v>
      </c>
      <c r="F101" s="54">
        <f t="shared" si="22"/>
        <v>81.900000000000006</v>
      </c>
      <c r="G101" s="54">
        <f t="shared" si="23"/>
        <v>453.6</v>
      </c>
      <c r="H101" s="54">
        <f t="shared" si="16"/>
        <v>548.1</v>
      </c>
      <c r="I101" s="40">
        <f t="shared" si="14"/>
        <v>19.63</v>
      </c>
      <c r="J101" s="40">
        <f t="shared" si="24"/>
        <v>83.2</v>
      </c>
      <c r="K101" s="40">
        <f t="shared" si="25"/>
        <v>414.71999999999997</v>
      </c>
      <c r="L101" s="179">
        <f t="shared" si="17"/>
        <v>517.54999999999995</v>
      </c>
      <c r="M101" s="54">
        <f t="shared" si="18"/>
        <v>123.66900000000001</v>
      </c>
      <c r="N101" s="54">
        <f t="shared" si="19"/>
        <v>524.16000000000008</v>
      </c>
      <c r="O101" s="54">
        <f t="shared" si="20"/>
        <v>2612.7360000000003</v>
      </c>
      <c r="P101" s="54">
        <f t="shared" si="21"/>
        <v>3260.5650000000005</v>
      </c>
    </row>
    <row r="102" spans="2:16" ht="15" customHeight="1" x14ac:dyDescent="0.3">
      <c r="B102" s="164">
        <v>89</v>
      </c>
      <c r="C102" s="165">
        <v>3</v>
      </c>
      <c r="D102" s="165">
        <f t="shared" si="15"/>
        <v>3.1500000000000004</v>
      </c>
      <c r="E102" s="54">
        <f t="shared" si="13"/>
        <v>6.3000000000000007</v>
      </c>
      <c r="F102" s="54">
        <f t="shared" si="22"/>
        <v>40.950000000000003</v>
      </c>
      <c r="G102" s="54">
        <f t="shared" si="23"/>
        <v>233.10000000000002</v>
      </c>
      <c r="H102" s="54">
        <f t="shared" si="16"/>
        <v>280.35000000000002</v>
      </c>
      <c r="I102" s="40">
        <f t="shared" si="14"/>
        <v>19.63</v>
      </c>
      <c r="J102" s="40">
        <f t="shared" si="24"/>
        <v>83.2</v>
      </c>
      <c r="K102" s="40">
        <f t="shared" si="25"/>
        <v>426.24</v>
      </c>
      <c r="L102" s="179">
        <f t="shared" si="17"/>
        <v>529.07000000000005</v>
      </c>
      <c r="M102" s="54">
        <f t="shared" si="18"/>
        <v>61.834500000000006</v>
      </c>
      <c r="N102" s="54">
        <f t="shared" si="19"/>
        <v>262.08000000000004</v>
      </c>
      <c r="O102" s="54">
        <f t="shared" si="20"/>
        <v>1342.6560000000002</v>
      </c>
      <c r="P102" s="54">
        <f t="shared" si="21"/>
        <v>1666.5705000000003</v>
      </c>
    </row>
    <row r="103" spans="2:16" ht="15" customHeight="1" x14ac:dyDescent="0.3">
      <c r="B103" s="164">
        <v>90</v>
      </c>
      <c r="C103" s="165">
        <v>4</v>
      </c>
      <c r="D103" s="165">
        <f t="shared" si="15"/>
        <v>4.2</v>
      </c>
      <c r="E103" s="54">
        <f t="shared" si="13"/>
        <v>8.4</v>
      </c>
      <c r="F103" s="54">
        <f t="shared" si="22"/>
        <v>54.6</v>
      </c>
      <c r="G103" s="54">
        <f t="shared" si="23"/>
        <v>315</v>
      </c>
      <c r="H103" s="54">
        <f t="shared" si="16"/>
        <v>378</v>
      </c>
      <c r="I103" s="40">
        <f t="shared" si="14"/>
        <v>19.63</v>
      </c>
      <c r="J103" s="40">
        <f t="shared" si="24"/>
        <v>83.2</v>
      </c>
      <c r="K103" s="40">
        <f t="shared" si="25"/>
        <v>432</v>
      </c>
      <c r="L103" s="179">
        <f t="shared" si="17"/>
        <v>534.83000000000004</v>
      </c>
      <c r="M103" s="54">
        <f t="shared" si="18"/>
        <v>82.445999999999998</v>
      </c>
      <c r="N103" s="54">
        <f t="shared" si="19"/>
        <v>349.44000000000005</v>
      </c>
      <c r="O103" s="54">
        <f t="shared" si="20"/>
        <v>1814.4</v>
      </c>
      <c r="P103" s="54">
        <f t="shared" si="21"/>
        <v>2246.2860000000001</v>
      </c>
    </row>
    <row r="104" spans="2:16" ht="15" customHeight="1" x14ac:dyDescent="0.3">
      <c r="B104" s="164">
        <v>91</v>
      </c>
      <c r="C104" s="165">
        <v>5</v>
      </c>
      <c r="D104" s="165">
        <f t="shared" si="15"/>
        <v>5.25</v>
      </c>
      <c r="E104" s="54">
        <f t="shared" si="13"/>
        <v>10.5</v>
      </c>
      <c r="F104" s="54">
        <f t="shared" si="22"/>
        <v>68.25</v>
      </c>
      <c r="G104" s="54">
        <f t="shared" si="23"/>
        <v>399</v>
      </c>
      <c r="H104" s="54">
        <f t="shared" si="16"/>
        <v>477.75</v>
      </c>
      <c r="I104" s="40">
        <f t="shared" si="14"/>
        <v>19.63</v>
      </c>
      <c r="J104" s="40">
        <f t="shared" si="24"/>
        <v>83.2</v>
      </c>
      <c r="K104" s="40">
        <f t="shared" si="25"/>
        <v>437.76</v>
      </c>
      <c r="L104" s="179">
        <f t="shared" si="17"/>
        <v>540.59</v>
      </c>
      <c r="M104" s="54">
        <f t="shared" si="18"/>
        <v>103.05749999999999</v>
      </c>
      <c r="N104" s="54">
        <f t="shared" si="19"/>
        <v>436.8</v>
      </c>
      <c r="O104" s="54">
        <f t="shared" si="20"/>
        <v>2298.2399999999998</v>
      </c>
      <c r="P104" s="54">
        <f t="shared" si="21"/>
        <v>2838.0974999999999</v>
      </c>
    </row>
    <row r="105" spans="2:16" ht="15" customHeight="1" x14ac:dyDescent="0.3">
      <c r="B105" s="164">
        <v>92</v>
      </c>
      <c r="C105" s="165">
        <v>6</v>
      </c>
      <c r="D105" s="165">
        <f t="shared" si="15"/>
        <v>6.3000000000000007</v>
      </c>
      <c r="E105" s="54">
        <f t="shared" si="13"/>
        <v>12.600000000000001</v>
      </c>
      <c r="F105" s="54">
        <f t="shared" si="22"/>
        <v>81.900000000000006</v>
      </c>
      <c r="G105" s="54">
        <f t="shared" si="23"/>
        <v>485.10000000000008</v>
      </c>
      <c r="H105" s="54">
        <f t="shared" si="16"/>
        <v>579.60000000000014</v>
      </c>
      <c r="I105" s="40">
        <f t="shared" si="14"/>
        <v>19.63</v>
      </c>
      <c r="J105" s="40">
        <f t="shared" si="24"/>
        <v>83.2</v>
      </c>
      <c r="K105" s="40">
        <f t="shared" si="25"/>
        <v>443.52</v>
      </c>
      <c r="L105" s="179">
        <f t="shared" si="17"/>
        <v>546.35</v>
      </c>
      <c r="M105" s="54">
        <f t="shared" si="18"/>
        <v>123.66900000000001</v>
      </c>
      <c r="N105" s="54">
        <f t="shared" si="19"/>
        <v>524.16000000000008</v>
      </c>
      <c r="O105" s="54">
        <f t="shared" si="20"/>
        <v>2794.1760000000004</v>
      </c>
      <c r="P105" s="54">
        <f t="shared" si="21"/>
        <v>3442.0050000000006</v>
      </c>
    </row>
    <row r="106" spans="2:16" ht="15" customHeight="1" x14ac:dyDescent="0.3">
      <c r="B106" s="164">
        <v>93</v>
      </c>
      <c r="C106" s="165">
        <v>4</v>
      </c>
      <c r="D106" s="165">
        <f t="shared" si="15"/>
        <v>4.2</v>
      </c>
      <c r="E106" s="54">
        <f t="shared" si="13"/>
        <v>8.4</v>
      </c>
      <c r="F106" s="54">
        <f t="shared" si="22"/>
        <v>54.6</v>
      </c>
      <c r="G106" s="54">
        <f t="shared" si="23"/>
        <v>327.60000000000002</v>
      </c>
      <c r="H106" s="54">
        <f t="shared" si="16"/>
        <v>390.6</v>
      </c>
      <c r="I106" s="40">
        <f t="shared" si="14"/>
        <v>19.63</v>
      </c>
      <c r="J106" s="40">
        <f t="shared" si="24"/>
        <v>83.2</v>
      </c>
      <c r="K106" s="40">
        <f t="shared" si="25"/>
        <v>449.28</v>
      </c>
      <c r="L106" s="179">
        <f t="shared" si="17"/>
        <v>552.11</v>
      </c>
      <c r="M106" s="54">
        <f t="shared" si="18"/>
        <v>82.445999999999998</v>
      </c>
      <c r="N106" s="54">
        <f t="shared" si="19"/>
        <v>349.44000000000005</v>
      </c>
      <c r="O106" s="54">
        <f t="shared" si="20"/>
        <v>1886.9759999999999</v>
      </c>
      <c r="P106" s="54">
        <f t="shared" si="21"/>
        <v>2318.8620000000001</v>
      </c>
    </row>
    <row r="107" spans="2:16" ht="15" customHeight="1" x14ac:dyDescent="0.3">
      <c r="B107" s="164">
        <v>94</v>
      </c>
      <c r="C107" s="165">
        <v>7</v>
      </c>
      <c r="D107" s="165">
        <f t="shared" si="15"/>
        <v>7.3500000000000005</v>
      </c>
      <c r="E107" s="54">
        <f t="shared" si="13"/>
        <v>14.700000000000001</v>
      </c>
      <c r="F107" s="54">
        <f t="shared" si="22"/>
        <v>95.550000000000011</v>
      </c>
      <c r="G107" s="54">
        <f t="shared" si="23"/>
        <v>580.65000000000009</v>
      </c>
      <c r="H107" s="54">
        <f t="shared" si="16"/>
        <v>690.90000000000009</v>
      </c>
      <c r="I107" s="40">
        <f t="shared" si="14"/>
        <v>19.63</v>
      </c>
      <c r="J107" s="40">
        <f t="shared" si="24"/>
        <v>83.2</v>
      </c>
      <c r="K107" s="40">
        <f t="shared" si="25"/>
        <v>455.03999999999996</v>
      </c>
      <c r="L107" s="179">
        <f t="shared" si="17"/>
        <v>557.87</v>
      </c>
      <c r="M107" s="54">
        <f t="shared" si="18"/>
        <v>144.28049999999999</v>
      </c>
      <c r="N107" s="54">
        <f t="shared" si="19"/>
        <v>611.5200000000001</v>
      </c>
      <c r="O107" s="54">
        <f t="shared" si="20"/>
        <v>3344.5439999999999</v>
      </c>
      <c r="P107" s="54">
        <f t="shared" si="21"/>
        <v>4100.3445000000002</v>
      </c>
    </row>
    <row r="108" spans="2:16" ht="15" customHeight="1" x14ac:dyDescent="0.3">
      <c r="B108" s="164">
        <v>95</v>
      </c>
      <c r="C108" s="165">
        <v>3</v>
      </c>
      <c r="D108" s="165">
        <f t="shared" si="15"/>
        <v>3.1500000000000004</v>
      </c>
      <c r="E108" s="54">
        <f t="shared" si="13"/>
        <v>6.3000000000000007</v>
      </c>
      <c r="F108" s="54">
        <f t="shared" si="22"/>
        <v>40.950000000000003</v>
      </c>
      <c r="G108" s="54">
        <f t="shared" si="23"/>
        <v>252.00000000000003</v>
      </c>
      <c r="H108" s="54">
        <f t="shared" si="16"/>
        <v>299.25</v>
      </c>
      <c r="I108" s="40">
        <f t="shared" si="14"/>
        <v>19.63</v>
      </c>
      <c r="J108" s="40">
        <f t="shared" si="24"/>
        <v>83.2</v>
      </c>
      <c r="K108" s="40">
        <f t="shared" si="25"/>
        <v>460.79999999999995</v>
      </c>
      <c r="L108" s="179">
        <f t="shared" si="17"/>
        <v>563.63</v>
      </c>
      <c r="M108" s="54">
        <f t="shared" si="18"/>
        <v>61.834500000000006</v>
      </c>
      <c r="N108" s="54">
        <f t="shared" si="19"/>
        <v>262.08000000000004</v>
      </c>
      <c r="O108" s="54">
        <f t="shared" si="20"/>
        <v>1451.52</v>
      </c>
      <c r="P108" s="54">
        <f t="shared" si="21"/>
        <v>1775.4345000000001</v>
      </c>
    </row>
    <row r="109" spans="2:16" ht="15" customHeight="1" x14ac:dyDescent="0.3">
      <c r="B109" s="164">
        <v>96</v>
      </c>
      <c r="C109" s="165">
        <v>4</v>
      </c>
      <c r="D109" s="165">
        <f t="shared" si="15"/>
        <v>4.2</v>
      </c>
      <c r="E109" s="54">
        <f t="shared" si="13"/>
        <v>8.4</v>
      </c>
      <c r="F109" s="54">
        <f t="shared" si="22"/>
        <v>54.6</v>
      </c>
      <c r="G109" s="54">
        <f t="shared" si="23"/>
        <v>340.2</v>
      </c>
      <c r="H109" s="54">
        <f t="shared" si="16"/>
        <v>403.2</v>
      </c>
      <c r="I109" s="40">
        <f t="shared" si="14"/>
        <v>19.63</v>
      </c>
      <c r="J109" s="40">
        <f t="shared" si="24"/>
        <v>83.2</v>
      </c>
      <c r="K109" s="40">
        <f t="shared" si="25"/>
        <v>466.56</v>
      </c>
      <c r="L109" s="179">
        <f t="shared" si="17"/>
        <v>569.39</v>
      </c>
      <c r="M109" s="54">
        <f t="shared" si="18"/>
        <v>82.445999999999998</v>
      </c>
      <c r="N109" s="54">
        <f t="shared" si="19"/>
        <v>349.44000000000005</v>
      </c>
      <c r="O109" s="54">
        <f t="shared" si="20"/>
        <v>1959.5520000000001</v>
      </c>
      <c r="P109" s="54">
        <f t="shared" si="21"/>
        <v>2391.4380000000001</v>
      </c>
    </row>
    <row r="110" spans="2:16" ht="15" customHeight="1" x14ac:dyDescent="0.3">
      <c r="B110" s="164">
        <v>97</v>
      </c>
      <c r="C110" s="165">
        <v>4</v>
      </c>
      <c r="D110" s="165">
        <f t="shared" si="15"/>
        <v>4.2</v>
      </c>
      <c r="E110" s="54">
        <f t="shared" si="13"/>
        <v>8.4</v>
      </c>
      <c r="F110" s="54">
        <f t="shared" si="22"/>
        <v>54.6</v>
      </c>
      <c r="G110" s="54">
        <f t="shared" si="23"/>
        <v>344.40000000000003</v>
      </c>
      <c r="H110" s="54">
        <f t="shared" si="16"/>
        <v>407.40000000000003</v>
      </c>
      <c r="I110" s="40">
        <f t="shared" si="14"/>
        <v>19.63</v>
      </c>
      <c r="J110" s="40">
        <f t="shared" si="24"/>
        <v>83.2</v>
      </c>
      <c r="K110" s="40">
        <f t="shared" si="25"/>
        <v>472.32</v>
      </c>
      <c r="L110" s="179">
        <f t="shared" si="17"/>
        <v>575.15</v>
      </c>
      <c r="M110" s="54">
        <f t="shared" si="18"/>
        <v>82.445999999999998</v>
      </c>
      <c r="N110" s="54">
        <f t="shared" si="19"/>
        <v>349.44000000000005</v>
      </c>
      <c r="O110" s="54">
        <f t="shared" si="20"/>
        <v>1983.7440000000001</v>
      </c>
      <c r="P110" s="54">
        <f t="shared" si="21"/>
        <v>2415.63</v>
      </c>
    </row>
    <row r="111" spans="2:16" ht="15" customHeight="1" x14ac:dyDescent="0.3">
      <c r="B111" s="164">
        <v>98</v>
      </c>
      <c r="C111" s="165">
        <v>1</v>
      </c>
      <c r="D111" s="165">
        <f t="shared" si="15"/>
        <v>1.05</v>
      </c>
      <c r="E111" s="54">
        <f t="shared" si="13"/>
        <v>2.1</v>
      </c>
      <c r="F111" s="54">
        <f t="shared" si="22"/>
        <v>13.65</v>
      </c>
      <c r="G111" s="54">
        <f t="shared" si="23"/>
        <v>87.15</v>
      </c>
      <c r="H111" s="54">
        <f t="shared" si="16"/>
        <v>102.9</v>
      </c>
      <c r="I111" s="40">
        <f t="shared" si="14"/>
        <v>19.63</v>
      </c>
      <c r="J111" s="40">
        <f t="shared" si="24"/>
        <v>83.2</v>
      </c>
      <c r="K111" s="40">
        <f t="shared" si="25"/>
        <v>478.08</v>
      </c>
      <c r="L111" s="179">
        <f t="shared" si="17"/>
        <v>580.91</v>
      </c>
      <c r="M111" s="54">
        <f t="shared" si="18"/>
        <v>20.611499999999999</v>
      </c>
      <c r="N111" s="54">
        <f t="shared" si="19"/>
        <v>87.360000000000014</v>
      </c>
      <c r="O111" s="54">
        <f t="shared" si="20"/>
        <v>501.98399999999998</v>
      </c>
      <c r="P111" s="54">
        <f t="shared" si="21"/>
        <v>609.95550000000003</v>
      </c>
    </row>
    <row r="112" spans="2:16" ht="15" customHeight="1" x14ac:dyDescent="0.3">
      <c r="B112" s="164">
        <v>99</v>
      </c>
      <c r="C112" s="165">
        <v>8</v>
      </c>
      <c r="D112" s="165">
        <f t="shared" si="15"/>
        <v>8.4</v>
      </c>
      <c r="E112" s="54">
        <f t="shared" si="13"/>
        <v>16.8</v>
      </c>
      <c r="F112" s="54">
        <f t="shared" si="22"/>
        <v>109.2</v>
      </c>
      <c r="G112" s="54">
        <f t="shared" si="23"/>
        <v>705.6</v>
      </c>
      <c r="H112" s="54">
        <f t="shared" si="16"/>
        <v>831.6</v>
      </c>
      <c r="I112" s="40">
        <f t="shared" si="14"/>
        <v>19.63</v>
      </c>
      <c r="J112" s="40">
        <f t="shared" si="24"/>
        <v>83.2</v>
      </c>
      <c r="K112" s="40">
        <f t="shared" si="25"/>
        <v>483.84</v>
      </c>
      <c r="L112" s="179">
        <f t="shared" si="17"/>
        <v>586.66999999999996</v>
      </c>
      <c r="M112" s="54">
        <f t="shared" si="18"/>
        <v>164.892</v>
      </c>
      <c r="N112" s="54">
        <f t="shared" si="19"/>
        <v>698.88000000000011</v>
      </c>
      <c r="O112" s="54">
        <f t="shared" si="20"/>
        <v>4064.2559999999999</v>
      </c>
      <c r="P112" s="54">
        <f t="shared" si="21"/>
        <v>4928.0280000000002</v>
      </c>
    </row>
    <row r="113" spans="2:16" ht="15" customHeight="1" x14ac:dyDescent="0.3">
      <c r="B113" s="164">
        <v>100</v>
      </c>
      <c r="C113" s="165">
        <v>4</v>
      </c>
      <c r="D113" s="165">
        <f t="shared" si="15"/>
        <v>4.2</v>
      </c>
      <c r="E113" s="54">
        <f t="shared" si="13"/>
        <v>8.4</v>
      </c>
      <c r="F113" s="54">
        <f t="shared" si="22"/>
        <v>54.6</v>
      </c>
      <c r="G113" s="54">
        <f t="shared" si="23"/>
        <v>357</v>
      </c>
      <c r="H113" s="54">
        <f t="shared" si="16"/>
        <v>420</v>
      </c>
      <c r="I113" s="40">
        <f t="shared" si="14"/>
        <v>19.63</v>
      </c>
      <c r="J113" s="40">
        <f t="shared" si="24"/>
        <v>83.2</v>
      </c>
      <c r="K113" s="40">
        <f t="shared" si="25"/>
        <v>489.59999999999997</v>
      </c>
      <c r="L113" s="179">
        <f t="shared" si="17"/>
        <v>592.42999999999995</v>
      </c>
      <c r="M113" s="54">
        <f t="shared" si="18"/>
        <v>82.445999999999998</v>
      </c>
      <c r="N113" s="54">
        <f t="shared" si="19"/>
        <v>349.44000000000005</v>
      </c>
      <c r="O113" s="54">
        <f t="shared" si="20"/>
        <v>2056.3200000000002</v>
      </c>
      <c r="P113" s="54">
        <f t="shared" si="21"/>
        <v>2488.2060000000001</v>
      </c>
    </row>
    <row r="114" spans="2:16" ht="15" customHeight="1" x14ac:dyDescent="0.3">
      <c r="B114" s="164">
        <v>101</v>
      </c>
      <c r="C114" s="165">
        <v>3</v>
      </c>
      <c r="D114" s="165">
        <f t="shared" si="15"/>
        <v>3.1500000000000004</v>
      </c>
      <c r="E114" s="54">
        <f t="shared" si="13"/>
        <v>6.3000000000000007</v>
      </c>
      <c r="F114" s="54">
        <f t="shared" si="22"/>
        <v>40.950000000000003</v>
      </c>
      <c r="G114" s="54">
        <f t="shared" si="23"/>
        <v>270.90000000000003</v>
      </c>
      <c r="H114" s="54">
        <f t="shared" si="16"/>
        <v>318.15000000000003</v>
      </c>
      <c r="I114" s="40">
        <f t="shared" si="14"/>
        <v>19.63</v>
      </c>
      <c r="J114" s="40">
        <f t="shared" si="24"/>
        <v>83.2</v>
      </c>
      <c r="K114" s="40">
        <f t="shared" si="25"/>
        <v>495.35999999999996</v>
      </c>
      <c r="L114" s="179">
        <f t="shared" si="17"/>
        <v>598.18999999999994</v>
      </c>
      <c r="M114" s="54">
        <f t="shared" si="18"/>
        <v>61.834500000000006</v>
      </c>
      <c r="N114" s="54">
        <f t="shared" si="19"/>
        <v>262.08000000000004</v>
      </c>
      <c r="O114" s="54">
        <f t="shared" si="20"/>
        <v>1560.384</v>
      </c>
      <c r="P114" s="54">
        <f t="shared" si="21"/>
        <v>1884.2985000000001</v>
      </c>
    </row>
    <row r="115" spans="2:16" ht="15" customHeight="1" x14ac:dyDescent="0.3">
      <c r="B115" s="164">
        <v>102</v>
      </c>
      <c r="C115" s="165">
        <v>4</v>
      </c>
      <c r="D115" s="165">
        <f t="shared" si="15"/>
        <v>4.2</v>
      </c>
      <c r="E115" s="54">
        <f t="shared" si="13"/>
        <v>8.4</v>
      </c>
      <c r="F115" s="54">
        <f t="shared" si="22"/>
        <v>54.6</v>
      </c>
      <c r="G115" s="54">
        <f t="shared" si="23"/>
        <v>365.40000000000003</v>
      </c>
      <c r="H115" s="54">
        <f t="shared" si="16"/>
        <v>428.40000000000003</v>
      </c>
      <c r="I115" s="40">
        <f t="shared" si="14"/>
        <v>19.63</v>
      </c>
      <c r="J115" s="40">
        <f t="shared" si="24"/>
        <v>83.2</v>
      </c>
      <c r="K115" s="40">
        <f t="shared" si="25"/>
        <v>501.12</v>
      </c>
      <c r="L115" s="179">
        <f t="shared" si="17"/>
        <v>603.95000000000005</v>
      </c>
      <c r="M115" s="54">
        <f t="shared" si="18"/>
        <v>82.445999999999998</v>
      </c>
      <c r="N115" s="54">
        <f t="shared" si="19"/>
        <v>349.44000000000005</v>
      </c>
      <c r="O115" s="54">
        <f t="shared" si="20"/>
        <v>2104.7040000000002</v>
      </c>
      <c r="P115" s="54">
        <f t="shared" si="21"/>
        <v>2536.59</v>
      </c>
    </row>
    <row r="116" spans="2:16" ht="15" customHeight="1" x14ac:dyDescent="0.3">
      <c r="B116" s="164">
        <v>103</v>
      </c>
      <c r="C116" s="165">
        <v>5</v>
      </c>
      <c r="D116" s="165">
        <f t="shared" si="15"/>
        <v>5.25</v>
      </c>
      <c r="E116" s="54">
        <f t="shared" si="13"/>
        <v>10.5</v>
      </c>
      <c r="F116" s="54">
        <f t="shared" si="22"/>
        <v>68.25</v>
      </c>
      <c r="G116" s="54">
        <f t="shared" si="23"/>
        <v>462</v>
      </c>
      <c r="H116" s="54">
        <f t="shared" si="16"/>
        <v>540.75</v>
      </c>
      <c r="I116" s="40">
        <f t="shared" si="14"/>
        <v>19.63</v>
      </c>
      <c r="J116" s="40">
        <f t="shared" si="24"/>
        <v>83.2</v>
      </c>
      <c r="K116" s="40">
        <f t="shared" si="25"/>
        <v>506.88</v>
      </c>
      <c r="L116" s="179">
        <f t="shared" si="17"/>
        <v>609.71</v>
      </c>
      <c r="M116" s="54">
        <f t="shared" si="18"/>
        <v>103.05749999999999</v>
      </c>
      <c r="N116" s="54">
        <f t="shared" si="19"/>
        <v>436.8</v>
      </c>
      <c r="O116" s="54">
        <f t="shared" si="20"/>
        <v>2661.12</v>
      </c>
      <c r="P116" s="54">
        <f t="shared" si="21"/>
        <v>3200.9775</v>
      </c>
    </row>
    <row r="117" spans="2:16" ht="15" customHeight="1" x14ac:dyDescent="0.3">
      <c r="B117" s="164">
        <v>104</v>
      </c>
      <c r="C117" s="165">
        <v>1</v>
      </c>
      <c r="D117" s="165">
        <f t="shared" si="15"/>
        <v>1.05</v>
      </c>
      <c r="E117" s="54">
        <f t="shared" si="13"/>
        <v>2.1</v>
      </c>
      <c r="F117" s="54">
        <f t="shared" si="22"/>
        <v>13.65</v>
      </c>
      <c r="G117" s="54">
        <f t="shared" si="23"/>
        <v>93.45</v>
      </c>
      <c r="H117" s="54">
        <f t="shared" si="16"/>
        <v>109.2</v>
      </c>
      <c r="I117" s="40">
        <f t="shared" si="14"/>
        <v>19.63</v>
      </c>
      <c r="J117" s="40">
        <f t="shared" si="24"/>
        <v>83.2</v>
      </c>
      <c r="K117" s="40">
        <f t="shared" si="25"/>
        <v>512.64</v>
      </c>
      <c r="L117" s="179">
        <f t="shared" si="17"/>
        <v>615.47</v>
      </c>
      <c r="M117" s="54">
        <f t="shared" si="18"/>
        <v>20.611499999999999</v>
      </c>
      <c r="N117" s="54">
        <f t="shared" si="19"/>
        <v>87.360000000000014</v>
      </c>
      <c r="O117" s="54">
        <f t="shared" si="20"/>
        <v>538.27200000000005</v>
      </c>
      <c r="P117" s="54">
        <f t="shared" si="21"/>
        <v>646.24350000000004</v>
      </c>
    </row>
    <row r="118" spans="2:16" ht="15" customHeight="1" x14ac:dyDescent="0.3">
      <c r="B118" s="164">
        <v>105</v>
      </c>
      <c r="C118" s="165">
        <v>2</v>
      </c>
      <c r="D118" s="165">
        <f t="shared" si="15"/>
        <v>2.1</v>
      </c>
      <c r="E118" s="54">
        <f t="shared" si="13"/>
        <v>4.2</v>
      </c>
      <c r="F118" s="54">
        <f t="shared" si="22"/>
        <v>27.3</v>
      </c>
      <c r="G118" s="54">
        <f t="shared" si="23"/>
        <v>189</v>
      </c>
      <c r="H118" s="54">
        <f t="shared" si="16"/>
        <v>220.5</v>
      </c>
      <c r="I118" s="40">
        <f t="shared" si="14"/>
        <v>19.63</v>
      </c>
      <c r="J118" s="40">
        <f t="shared" si="24"/>
        <v>83.2</v>
      </c>
      <c r="K118" s="40">
        <f t="shared" si="25"/>
        <v>518.4</v>
      </c>
      <c r="L118" s="179">
        <f t="shared" si="17"/>
        <v>621.23</v>
      </c>
      <c r="M118" s="54">
        <f t="shared" si="18"/>
        <v>41.222999999999999</v>
      </c>
      <c r="N118" s="54">
        <f t="shared" si="19"/>
        <v>174.72000000000003</v>
      </c>
      <c r="O118" s="54">
        <f t="shared" si="20"/>
        <v>1088.6400000000001</v>
      </c>
      <c r="P118" s="54">
        <f t="shared" si="21"/>
        <v>1304.5830000000001</v>
      </c>
    </row>
    <row r="119" spans="2:16" ht="15" customHeight="1" x14ac:dyDescent="0.3">
      <c r="B119" s="164">
        <v>106</v>
      </c>
      <c r="C119" s="165">
        <v>3</v>
      </c>
      <c r="D119" s="165">
        <f t="shared" si="15"/>
        <v>3.1500000000000004</v>
      </c>
      <c r="E119" s="54">
        <f t="shared" si="13"/>
        <v>6.3000000000000007</v>
      </c>
      <c r="F119" s="54">
        <f t="shared" si="22"/>
        <v>40.950000000000003</v>
      </c>
      <c r="G119" s="54">
        <f t="shared" si="23"/>
        <v>286.65000000000003</v>
      </c>
      <c r="H119" s="54">
        <f t="shared" si="16"/>
        <v>333.90000000000003</v>
      </c>
      <c r="I119" s="40">
        <f t="shared" si="14"/>
        <v>19.63</v>
      </c>
      <c r="J119" s="40">
        <f t="shared" si="24"/>
        <v>83.2</v>
      </c>
      <c r="K119" s="40">
        <f t="shared" si="25"/>
        <v>524.16</v>
      </c>
      <c r="L119" s="179">
        <f t="shared" si="17"/>
        <v>626.99</v>
      </c>
      <c r="M119" s="54">
        <f t="shared" si="18"/>
        <v>61.834500000000006</v>
      </c>
      <c r="N119" s="54">
        <f t="shared" si="19"/>
        <v>262.08000000000004</v>
      </c>
      <c r="O119" s="54">
        <f t="shared" si="20"/>
        <v>1651.104</v>
      </c>
      <c r="P119" s="54">
        <f t="shared" si="21"/>
        <v>1975.0185000000001</v>
      </c>
    </row>
    <row r="120" spans="2:16" ht="15" customHeight="1" x14ac:dyDescent="0.3">
      <c r="B120" s="164">
        <v>107</v>
      </c>
      <c r="C120" s="165">
        <v>4</v>
      </c>
      <c r="D120" s="165">
        <f t="shared" si="15"/>
        <v>4.2</v>
      </c>
      <c r="E120" s="54">
        <f t="shared" si="13"/>
        <v>8.4</v>
      </c>
      <c r="F120" s="54">
        <f t="shared" si="22"/>
        <v>54.6</v>
      </c>
      <c r="G120" s="54">
        <f t="shared" si="23"/>
        <v>386.40000000000003</v>
      </c>
      <c r="H120" s="54">
        <f t="shared" si="16"/>
        <v>449.40000000000003</v>
      </c>
      <c r="I120" s="40">
        <f t="shared" si="14"/>
        <v>19.63</v>
      </c>
      <c r="J120" s="40">
        <f t="shared" si="24"/>
        <v>83.2</v>
      </c>
      <c r="K120" s="40">
        <f t="shared" si="25"/>
        <v>529.91999999999996</v>
      </c>
      <c r="L120" s="179">
        <f t="shared" si="17"/>
        <v>632.75</v>
      </c>
      <c r="M120" s="54">
        <f t="shared" si="18"/>
        <v>82.445999999999998</v>
      </c>
      <c r="N120" s="54">
        <f t="shared" si="19"/>
        <v>349.44000000000005</v>
      </c>
      <c r="O120" s="54">
        <f t="shared" si="20"/>
        <v>2225.6639999999998</v>
      </c>
      <c r="P120" s="54">
        <f t="shared" si="21"/>
        <v>2657.5499999999997</v>
      </c>
    </row>
    <row r="121" spans="2:16" ht="15" customHeight="1" x14ac:dyDescent="0.3">
      <c r="B121" s="164">
        <v>108</v>
      </c>
      <c r="C121" s="165">
        <v>3</v>
      </c>
      <c r="D121" s="165">
        <f t="shared" si="15"/>
        <v>3.1500000000000004</v>
      </c>
      <c r="E121" s="54">
        <f t="shared" si="13"/>
        <v>6.3000000000000007</v>
      </c>
      <c r="F121" s="54">
        <f t="shared" si="22"/>
        <v>40.950000000000003</v>
      </c>
      <c r="G121" s="54">
        <f t="shared" si="23"/>
        <v>292.95000000000005</v>
      </c>
      <c r="H121" s="54">
        <f t="shared" si="16"/>
        <v>340.20000000000005</v>
      </c>
      <c r="I121" s="40">
        <f t="shared" si="14"/>
        <v>19.63</v>
      </c>
      <c r="J121" s="40">
        <f t="shared" si="24"/>
        <v>83.2</v>
      </c>
      <c r="K121" s="40">
        <f t="shared" si="25"/>
        <v>535.67999999999995</v>
      </c>
      <c r="L121" s="179">
        <f t="shared" si="17"/>
        <v>638.51</v>
      </c>
      <c r="M121" s="54">
        <f t="shared" si="18"/>
        <v>61.834500000000006</v>
      </c>
      <c r="N121" s="54">
        <f t="shared" si="19"/>
        <v>262.08000000000004</v>
      </c>
      <c r="O121" s="54">
        <f t="shared" si="20"/>
        <v>1687.3920000000001</v>
      </c>
      <c r="P121" s="54">
        <f t="shared" si="21"/>
        <v>2011.3065000000001</v>
      </c>
    </row>
    <row r="122" spans="2:16" ht="15" customHeight="1" x14ac:dyDescent="0.3">
      <c r="B122" s="164">
        <v>109</v>
      </c>
      <c r="C122" s="165">
        <v>4</v>
      </c>
      <c r="D122" s="165">
        <f t="shared" si="15"/>
        <v>4.2</v>
      </c>
      <c r="E122" s="54">
        <f t="shared" si="13"/>
        <v>8.4</v>
      </c>
      <c r="F122" s="54">
        <f t="shared" si="22"/>
        <v>54.6</v>
      </c>
      <c r="G122" s="54">
        <f t="shared" si="23"/>
        <v>394.8</v>
      </c>
      <c r="H122" s="54">
        <f t="shared" si="16"/>
        <v>457.8</v>
      </c>
      <c r="I122" s="40">
        <f t="shared" si="14"/>
        <v>19.63</v>
      </c>
      <c r="J122" s="40">
        <f t="shared" si="24"/>
        <v>83.2</v>
      </c>
      <c r="K122" s="40">
        <f t="shared" si="25"/>
        <v>541.43999999999994</v>
      </c>
      <c r="L122" s="179">
        <f t="shared" si="17"/>
        <v>644.27</v>
      </c>
      <c r="M122" s="54">
        <f t="shared" si="18"/>
        <v>82.445999999999998</v>
      </c>
      <c r="N122" s="54">
        <f t="shared" si="19"/>
        <v>349.44000000000005</v>
      </c>
      <c r="O122" s="54">
        <f t="shared" si="20"/>
        <v>2274.0479999999998</v>
      </c>
      <c r="P122" s="54">
        <f t="shared" si="21"/>
        <v>2705.9339999999997</v>
      </c>
    </row>
    <row r="123" spans="2:16" ht="15" customHeight="1" x14ac:dyDescent="0.3">
      <c r="B123" s="164">
        <v>110</v>
      </c>
      <c r="C123" s="165">
        <v>6</v>
      </c>
      <c r="D123" s="165">
        <f t="shared" si="15"/>
        <v>6.3000000000000007</v>
      </c>
      <c r="E123" s="54">
        <f t="shared" si="13"/>
        <v>12.600000000000001</v>
      </c>
      <c r="F123" s="54">
        <f t="shared" si="22"/>
        <v>81.900000000000006</v>
      </c>
      <c r="G123" s="54">
        <f t="shared" si="23"/>
        <v>598.50000000000011</v>
      </c>
      <c r="H123" s="54">
        <f t="shared" si="16"/>
        <v>693.00000000000011</v>
      </c>
      <c r="I123" s="40">
        <f t="shared" si="14"/>
        <v>19.63</v>
      </c>
      <c r="J123" s="40">
        <f t="shared" si="24"/>
        <v>83.2</v>
      </c>
      <c r="K123" s="40">
        <f t="shared" si="25"/>
        <v>547.19999999999993</v>
      </c>
      <c r="L123" s="179">
        <f t="shared" si="17"/>
        <v>650.03</v>
      </c>
      <c r="M123" s="54">
        <f t="shared" si="18"/>
        <v>123.66900000000001</v>
      </c>
      <c r="N123" s="54">
        <f t="shared" si="19"/>
        <v>524.16000000000008</v>
      </c>
      <c r="O123" s="54">
        <f t="shared" si="20"/>
        <v>3447.36</v>
      </c>
      <c r="P123" s="54">
        <f t="shared" si="21"/>
        <v>4095.1890000000003</v>
      </c>
    </row>
    <row r="124" spans="2:16" ht="15" customHeight="1" x14ac:dyDescent="0.3">
      <c r="B124" s="164">
        <v>111</v>
      </c>
      <c r="C124" s="165">
        <v>3</v>
      </c>
      <c r="D124" s="165">
        <f t="shared" si="15"/>
        <v>3.1500000000000004</v>
      </c>
      <c r="E124" s="54">
        <f t="shared" si="13"/>
        <v>6.3000000000000007</v>
      </c>
      <c r="F124" s="54">
        <f t="shared" si="22"/>
        <v>40.950000000000003</v>
      </c>
      <c r="G124" s="54">
        <f t="shared" si="23"/>
        <v>302.40000000000003</v>
      </c>
      <c r="H124" s="54">
        <f t="shared" si="16"/>
        <v>349.65000000000003</v>
      </c>
      <c r="I124" s="40">
        <f t="shared" si="14"/>
        <v>19.63</v>
      </c>
      <c r="J124" s="40">
        <f t="shared" si="24"/>
        <v>83.2</v>
      </c>
      <c r="K124" s="40">
        <f t="shared" si="25"/>
        <v>552.96</v>
      </c>
      <c r="L124" s="179">
        <f t="shared" si="17"/>
        <v>655.79000000000008</v>
      </c>
      <c r="M124" s="54">
        <f t="shared" si="18"/>
        <v>61.834500000000006</v>
      </c>
      <c r="N124" s="54">
        <f t="shared" si="19"/>
        <v>262.08000000000004</v>
      </c>
      <c r="O124" s="54">
        <f t="shared" si="20"/>
        <v>1741.8240000000003</v>
      </c>
      <c r="P124" s="54">
        <f t="shared" si="21"/>
        <v>2065.7385000000004</v>
      </c>
    </row>
    <row r="125" spans="2:16" ht="15" customHeight="1" x14ac:dyDescent="0.3">
      <c r="B125" s="164">
        <v>112</v>
      </c>
      <c r="C125" s="165">
        <v>2</v>
      </c>
      <c r="D125" s="165">
        <f t="shared" si="15"/>
        <v>2.1</v>
      </c>
      <c r="E125" s="54">
        <f t="shared" si="13"/>
        <v>4.2</v>
      </c>
      <c r="F125" s="54">
        <f t="shared" si="22"/>
        <v>27.3</v>
      </c>
      <c r="G125" s="54">
        <f t="shared" si="23"/>
        <v>203.70000000000002</v>
      </c>
      <c r="H125" s="54">
        <f t="shared" si="16"/>
        <v>235.20000000000002</v>
      </c>
      <c r="I125" s="40">
        <f t="shared" si="14"/>
        <v>19.63</v>
      </c>
      <c r="J125" s="40">
        <f t="shared" si="24"/>
        <v>83.2</v>
      </c>
      <c r="K125" s="40">
        <f t="shared" si="25"/>
        <v>558.72</v>
      </c>
      <c r="L125" s="179">
        <f t="shared" si="17"/>
        <v>661.55000000000007</v>
      </c>
      <c r="M125" s="54">
        <f t="shared" si="18"/>
        <v>41.222999999999999</v>
      </c>
      <c r="N125" s="54">
        <f t="shared" si="19"/>
        <v>174.72000000000003</v>
      </c>
      <c r="O125" s="54">
        <f t="shared" si="20"/>
        <v>1173.3120000000001</v>
      </c>
      <c r="P125" s="54">
        <f t="shared" si="21"/>
        <v>1389.2550000000001</v>
      </c>
    </row>
    <row r="126" spans="2:16" ht="15" customHeight="1" x14ac:dyDescent="0.3">
      <c r="B126" s="164">
        <v>113</v>
      </c>
      <c r="C126" s="165">
        <v>2</v>
      </c>
      <c r="D126" s="165">
        <f t="shared" si="15"/>
        <v>2.1</v>
      </c>
      <c r="E126" s="54">
        <f t="shared" si="13"/>
        <v>4.2</v>
      </c>
      <c r="F126" s="54">
        <f t="shared" si="22"/>
        <v>27.3</v>
      </c>
      <c r="G126" s="54">
        <f t="shared" si="23"/>
        <v>205.8</v>
      </c>
      <c r="H126" s="54">
        <f t="shared" si="16"/>
        <v>237.3</v>
      </c>
      <c r="I126" s="40">
        <f t="shared" si="14"/>
        <v>19.63</v>
      </c>
      <c r="J126" s="40">
        <f t="shared" si="24"/>
        <v>83.2</v>
      </c>
      <c r="K126" s="40">
        <f t="shared" si="25"/>
        <v>564.48</v>
      </c>
      <c r="L126" s="179">
        <f t="shared" si="17"/>
        <v>667.31000000000006</v>
      </c>
      <c r="M126" s="54">
        <f t="shared" si="18"/>
        <v>41.222999999999999</v>
      </c>
      <c r="N126" s="54">
        <f t="shared" si="19"/>
        <v>174.72000000000003</v>
      </c>
      <c r="O126" s="54">
        <f t="shared" si="20"/>
        <v>1185.4080000000001</v>
      </c>
      <c r="P126" s="54">
        <f t="shared" si="21"/>
        <v>1401.3510000000001</v>
      </c>
    </row>
    <row r="127" spans="2:16" ht="15" customHeight="1" x14ac:dyDescent="0.3">
      <c r="B127" s="164">
        <v>114</v>
      </c>
      <c r="C127" s="165">
        <v>6</v>
      </c>
      <c r="D127" s="165">
        <f t="shared" si="15"/>
        <v>6.3000000000000007</v>
      </c>
      <c r="E127" s="54">
        <f t="shared" si="13"/>
        <v>12.600000000000001</v>
      </c>
      <c r="F127" s="54">
        <f t="shared" si="22"/>
        <v>81.900000000000006</v>
      </c>
      <c r="G127" s="54">
        <f t="shared" si="23"/>
        <v>623.70000000000005</v>
      </c>
      <c r="H127" s="54">
        <f t="shared" si="16"/>
        <v>718.2</v>
      </c>
      <c r="I127" s="40">
        <f t="shared" si="14"/>
        <v>19.63</v>
      </c>
      <c r="J127" s="40">
        <f t="shared" si="24"/>
        <v>83.2</v>
      </c>
      <c r="K127" s="40">
        <f t="shared" si="25"/>
        <v>570.24</v>
      </c>
      <c r="L127" s="179">
        <f t="shared" si="17"/>
        <v>673.07</v>
      </c>
      <c r="M127" s="54">
        <f t="shared" si="18"/>
        <v>123.66900000000001</v>
      </c>
      <c r="N127" s="54">
        <f t="shared" si="19"/>
        <v>524.16000000000008</v>
      </c>
      <c r="O127" s="54">
        <f t="shared" si="20"/>
        <v>3592.5120000000006</v>
      </c>
      <c r="P127" s="54">
        <f t="shared" si="21"/>
        <v>4240.3410000000003</v>
      </c>
    </row>
    <row r="128" spans="2:16" ht="15" customHeight="1" x14ac:dyDescent="0.3">
      <c r="B128" s="164">
        <v>115</v>
      </c>
      <c r="C128" s="165">
        <v>2</v>
      </c>
      <c r="D128" s="165">
        <f t="shared" si="15"/>
        <v>2.1</v>
      </c>
      <c r="E128" s="54">
        <f t="shared" si="13"/>
        <v>4.2</v>
      </c>
      <c r="F128" s="54">
        <f t="shared" si="22"/>
        <v>27.3</v>
      </c>
      <c r="G128" s="54">
        <f t="shared" si="23"/>
        <v>210</v>
      </c>
      <c r="H128" s="54">
        <f t="shared" si="16"/>
        <v>241.5</v>
      </c>
      <c r="I128" s="40">
        <f t="shared" si="14"/>
        <v>19.63</v>
      </c>
      <c r="J128" s="40">
        <f t="shared" si="24"/>
        <v>83.2</v>
      </c>
      <c r="K128" s="40">
        <f t="shared" si="25"/>
        <v>576</v>
      </c>
      <c r="L128" s="179">
        <f t="shared" si="17"/>
        <v>678.83</v>
      </c>
      <c r="M128" s="54">
        <f t="shared" si="18"/>
        <v>41.222999999999999</v>
      </c>
      <c r="N128" s="54">
        <f t="shared" si="19"/>
        <v>174.72000000000003</v>
      </c>
      <c r="O128" s="54">
        <f t="shared" si="20"/>
        <v>1209.6000000000001</v>
      </c>
      <c r="P128" s="54">
        <f t="shared" si="21"/>
        <v>1425.5430000000001</v>
      </c>
    </row>
    <row r="129" spans="2:16" ht="15" customHeight="1" x14ac:dyDescent="0.3">
      <c r="B129" s="164">
        <v>116</v>
      </c>
      <c r="C129" s="165">
        <v>6</v>
      </c>
      <c r="D129" s="165">
        <f t="shared" si="15"/>
        <v>6.3000000000000007</v>
      </c>
      <c r="E129" s="54">
        <f t="shared" si="13"/>
        <v>12.600000000000001</v>
      </c>
      <c r="F129" s="54">
        <f t="shared" si="22"/>
        <v>81.900000000000006</v>
      </c>
      <c r="G129" s="54">
        <f t="shared" si="23"/>
        <v>636.30000000000007</v>
      </c>
      <c r="H129" s="54">
        <f t="shared" si="16"/>
        <v>730.80000000000007</v>
      </c>
      <c r="I129" s="40">
        <f t="shared" si="14"/>
        <v>19.63</v>
      </c>
      <c r="J129" s="40">
        <f t="shared" si="24"/>
        <v>83.2</v>
      </c>
      <c r="K129" s="40">
        <f t="shared" si="25"/>
        <v>581.76</v>
      </c>
      <c r="L129" s="179">
        <f t="shared" si="17"/>
        <v>684.59</v>
      </c>
      <c r="M129" s="54">
        <f t="shared" si="18"/>
        <v>123.66900000000001</v>
      </c>
      <c r="N129" s="54">
        <f t="shared" si="19"/>
        <v>524.16000000000008</v>
      </c>
      <c r="O129" s="54">
        <f t="shared" si="20"/>
        <v>3665.0880000000002</v>
      </c>
      <c r="P129" s="54">
        <f t="shared" si="21"/>
        <v>4312.9170000000004</v>
      </c>
    </row>
    <row r="130" spans="2:16" ht="15" customHeight="1" x14ac:dyDescent="0.3">
      <c r="B130" s="164">
        <v>117</v>
      </c>
      <c r="C130" s="165">
        <v>3</v>
      </c>
      <c r="D130" s="165">
        <f t="shared" si="15"/>
        <v>3.1500000000000004</v>
      </c>
      <c r="E130" s="54">
        <f t="shared" si="13"/>
        <v>6.3000000000000007</v>
      </c>
      <c r="F130" s="54">
        <f t="shared" si="22"/>
        <v>40.950000000000003</v>
      </c>
      <c r="G130" s="54">
        <f t="shared" si="23"/>
        <v>321.3</v>
      </c>
      <c r="H130" s="54">
        <f t="shared" si="16"/>
        <v>368.55</v>
      </c>
      <c r="I130" s="40">
        <f t="shared" si="14"/>
        <v>19.63</v>
      </c>
      <c r="J130" s="40">
        <f t="shared" si="24"/>
        <v>83.2</v>
      </c>
      <c r="K130" s="40">
        <f t="shared" si="25"/>
        <v>587.52</v>
      </c>
      <c r="L130" s="179">
        <f t="shared" si="17"/>
        <v>690.35</v>
      </c>
      <c r="M130" s="54">
        <f t="shared" si="18"/>
        <v>61.834500000000006</v>
      </c>
      <c r="N130" s="54">
        <f t="shared" si="19"/>
        <v>262.08000000000004</v>
      </c>
      <c r="O130" s="54">
        <f t="shared" si="20"/>
        <v>1850.6880000000001</v>
      </c>
      <c r="P130" s="54">
        <f t="shared" si="21"/>
        <v>2174.6025</v>
      </c>
    </row>
    <row r="131" spans="2:16" ht="15" customHeight="1" x14ac:dyDescent="0.3">
      <c r="B131" s="164">
        <v>118</v>
      </c>
      <c r="C131" s="165">
        <v>3</v>
      </c>
      <c r="D131" s="165">
        <f t="shared" si="15"/>
        <v>3.1500000000000004</v>
      </c>
      <c r="E131" s="54">
        <f t="shared" si="13"/>
        <v>6.3000000000000007</v>
      </c>
      <c r="F131" s="54">
        <f t="shared" si="22"/>
        <v>40.950000000000003</v>
      </c>
      <c r="G131" s="54">
        <f t="shared" si="23"/>
        <v>324.45000000000005</v>
      </c>
      <c r="H131" s="54">
        <f t="shared" si="16"/>
        <v>371.70000000000005</v>
      </c>
      <c r="I131" s="40">
        <f t="shared" si="14"/>
        <v>19.63</v>
      </c>
      <c r="J131" s="40">
        <f t="shared" si="24"/>
        <v>83.2</v>
      </c>
      <c r="K131" s="40">
        <f t="shared" si="25"/>
        <v>593.28</v>
      </c>
      <c r="L131" s="179">
        <f t="shared" si="17"/>
        <v>696.11</v>
      </c>
      <c r="M131" s="54">
        <f t="shared" si="18"/>
        <v>61.834500000000006</v>
      </c>
      <c r="N131" s="54">
        <f t="shared" si="19"/>
        <v>262.08000000000004</v>
      </c>
      <c r="O131" s="54">
        <f t="shared" si="20"/>
        <v>1868.8320000000001</v>
      </c>
      <c r="P131" s="54">
        <f t="shared" si="21"/>
        <v>2192.7465000000002</v>
      </c>
    </row>
    <row r="132" spans="2:16" ht="15" customHeight="1" x14ac:dyDescent="0.3">
      <c r="B132" s="164">
        <v>119</v>
      </c>
      <c r="C132" s="165">
        <v>3</v>
      </c>
      <c r="D132" s="165">
        <f t="shared" si="15"/>
        <v>3.1500000000000004</v>
      </c>
      <c r="E132" s="54">
        <f t="shared" si="13"/>
        <v>6.3000000000000007</v>
      </c>
      <c r="F132" s="54">
        <f t="shared" si="22"/>
        <v>40.950000000000003</v>
      </c>
      <c r="G132" s="54">
        <f t="shared" si="23"/>
        <v>327.60000000000002</v>
      </c>
      <c r="H132" s="54">
        <f t="shared" si="16"/>
        <v>374.85</v>
      </c>
      <c r="I132" s="40">
        <f t="shared" si="14"/>
        <v>19.63</v>
      </c>
      <c r="J132" s="40">
        <f t="shared" si="24"/>
        <v>83.2</v>
      </c>
      <c r="K132" s="40">
        <f t="shared" si="25"/>
        <v>599.04</v>
      </c>
      <c r="L132" s="179">
        <f t="shared" si="17"/>
        <v>701.87</v>
      </c>
      <c r="M132" s="54">
        <f t="shared" si="18"/>
        <v>61.834500000000006</v>
      </c>
      <c r="N132" s="54">
        <f t="shared" si="19"/>
        <v>262.08000000000004</v>
      </c>
      <c r="O132" s="54">
        <f t="shared" si="20"/>
        <v>1886.9760000000001</v>
      </c>
      <c r="P132" s="54">
        <f t="shared" si="21"/>
        <v>2210.8905</v>
      </c>
    </row>
    <row r="133" spans="2:16" ht="15" customHeight="1" x14ac:dyDescent="0.3">
      <c r="B133" s="164">
        <v>120</v>
      </c>
      <c r="C133" s="165">
        <v>4</v>
      </c>
      <c r="D133" s="165">
        <f t="shared" si="15"/>
        <v>4.2</v>
      </c>
      <c r="E133" s="54">
        <f t="shared" si="13"/>
        <v>8.4</v>
      </c>
      <c r="F133" s="54">
        <f t="shared" si="22"/>
        <v>54.6</v>
      </c>
      <c r="G133" s="54">
        <f t="shared" si="23"/>
        <v>441</v>
      </c>
      <c r="H133" s="54">
        <f t="shared" si="16"/>
        <v>504</v>
      </c>
      <c r="I133" s="40">
        <f t="shared" si="14"/>
        <v>19.63</v>
      </c>
      <c r="J133" s="40">
        <f t="shared" si="24"/>
        <v>83.2</v>
      </c>
      <c r="K133" s="40">
        <f t="shared" si="25"/>
        <v>604.79999999999995</v>
      </c>
      <c r="L133" s="179">
        <f t="shared" si="17"/>
        <v>707.63</v>
      </c>
      <c r="M133" s="54">
        <f t="shared" si="18"/>
        <v>82.445999999999998</v>
      </c>
      <c r="N133" s="54">
        <f t="shared" si="19"/>
        <v>349.44000000000005</v>
      </c>
      <c r="O133" s="54">
        <f t="shared" si="20"/>
        <v>2540.16</v>
      </c>
      <c r="P133" s="54">
        <f t="shared" si="21"/>
        <v>2972.0459999999998</v>
      </c>
    </row>
    <row r="134" spans="2:16" ht="15" customHeight="1" x14ac:dyDescent="0.3">
      <c r="B134" s="164">
        <v>121</v>
      </c>
      <c r="C134" s="165">
        <v>5</v>
      </c>
      <c r="D134" s="165">
        <f t="shared" si="15"/>
        <v>5.25</v>
      </c>
      <c r="E134" s="54">
        <f t="shared" si="13"/>
        <v>10.5</v>
      </c>
      <c r="F134" s="54">
        <f t="shared" si="22"/>
        <v>68.25</v>
      </c>
      <c r="G134" s="54">
        <f t="shared" si="23"/>
        <v>556.5</v>
      </c>
      <c r="H134" s="54">
        <f t="shared" si="16"/>
        <v>635.25</v>
      </c>
      <c r="I134" s="40">
        <f t="shared" si="14"/>
        <v>19.63</v>
      </c>
      <c r="J134" s="40">
        <f t="shared" si="24"/>
        <v>83.2</v>
      </c>
      <c r="K134" s="40">
        <f t="shared" si="25"/>
        <v>610.55999999999995</v>
      </c>
      <c r="L134" s="179">
        <f t="shared" si="17"/>
        <v>713.39</v>
      </c>
      <c r="M134" s="54">
        <f t="shared" si="18"/>
        <v>103.05749999999999</v>
      </c>
      <c r="N134" s="54">
        <f t="shared" si="19"/>
        <v>436.8</v>
      </c>
      <c r="O134" s="54">
        <f t="shared" si="20"/>
        <v>3205.4399999999996</v>
      </c>
      <c r="P134" s="54">
        <f t="shared" si="21"/>
        <v>3745.2974999999997</v>
      </c>
    </row>
    <row r="135" spans="2:16" ht="15" customHeight="1" x14ac:dyDescent="0.3">
      <c r="B135" s="164">
        <v>122</v>
      </c>
      <c r="C135" s="165">
        <v>3</v>
      </c>
      <c r="D135" s="165">
        <f t="shared" si="15"/>
        <v>3.1500000000000004</v>
      </c>
      <c r="E135" s="54">
        <f t="shared" si="13"/>
        <v>6.3000000000000007</v>
      </c>
      <c r="F135" s="54">
        <f t="shared" si="22"/>
        <v>40.950000000000003</v>
      </c>
      <c r="G135" s="54">
        <f t="shared" si="23"/>
        <v>337.05</v>
      </c>
      <c r="H135" s="54">
        <f t="shared" si="16"/>
        <v>384.3</v>
      </c>
      <c r="I135" s="40">
        <f t="shared" si="14"/>
        <v>19.63</v>
      </c>
      <c r="J135" s="40">
        <f t="shared" si="24"/>
        <v>83.2</v>
      </c>
      <c r="K135" s="40">
        <f t="shared" si="25"/>
        <v>616.31999999999994</v>
      </c>
      <c r="L135" s="179">
        <f t="shared" si="17"/>
        <v>719.15</v>
      </c>
      <c r="M135" s="54">
        <f t="shared" si="18"/>
        <v>61.834500000000006</v>
      </c>
      <c r="N135" s="54">
        <f t="shared" si="19"/>
        <v>262.08000000000004</v>
      </c>
      <c r="O135" s="54">
        <f t="shared" si="20"/>
        <v>1941.4080000000001</v>
      </c>
      <c r="P135" s="54">
        <f t="shared" si="21"/>
        <v>2265.3225000000002</v>
      </c>
    </row>
    <row r="136" spans="2:16" ht="15" customHeight="1" x14ac:dyDescent="0.3">
      <c r="B136" s="164">
        <v>123</v>
      </c>
      <c r="C136" s="165">
        <v>1</v>
      </c>
      <c r="D136" s="165">
        <f t="shared" si="15"/>
        <v>1.05</v>
      </c>
      <c r="E136" s="54">
        <f t="shared" si="13"/>
        <v>2.1</v>
      </c>
      <c r="F136" s="54">
        <f t="shared" si="22"/>
        <v>13.65</v>
      </c>
      <c r="G136" s="54">
        <f t="shared" si="23"/>
        <v>113.4</v>
      </c>
      <c r="H136" s="54">
        <f t="shared" si="16"/>
        <v>129.15</v>
      </c>
      <c r="I136" s="40">
        <f t="shared" si="14"/>
        <v>19.63</v>
      </c>
      <c r="J136" s="40">
        <f t="shared" si="24"/>
        <v>83.2</v>
      </c>
      <c r="K136" s="40">
        <f t="shared" si="25"/>
        <v>622.07999999999993</v>
      </c>
      <c r="L136" s="179">
        <f t="shared" si="17"/>
        <v>724.91</v>
      </c>
      <c r="M136" s="54">
        <f t="shared" si="18"/>
        <v>20.611499999999999</v>
      </c>
      <c r="N136" s="54">
        <f t="shared" si="19"/>
        <v>87.360000000000014</v>
      </c>
      <c r="O136" s="54">
        <f t="shared" si="20"/>
        <v>653.18399999999997</v>
      </c>
      <c r="P136" s="54">
        <f t="shared" si="21"/>
        <v>761.15549999999996</v>
      </c>
    </row>
    <row r="137" spans="2:16" ht="15" customHeight="1" x14ac:dyDescent="0.3">
      <c r="B137" s="164">
        <v>124</v>
      </c>
      <c r="C137" s="165">
        <v>4</v>
      </c>
      <c r="D137" s="165">
        <f t="shared" si="15"/>
        <v>4.2</v>
      </c>
      <c r="E137" s="54">
        <f t="shared" si="13"/>
        <v>8.4</v>
      </c>
      <c r="F137" s="54">
        <f t="shared" si="22"/>
        <v>54.6</v>
      </c>
      <c r="G137" s="54">
        <f t="shared" si="23"/>
        <v>457.8</v>
      </c>
      <c r="H137" s="54">
        <f t="shared" si="16"/>
        <v>520.79999999999995</v>
      </c>
      <c r="I137" s="40">
        <f t="shared" si="14"/>
        <v>19.63</v>
      </c>
      <c r="J137" s="40">
        <f t="shared" si="24"/>
        <v>83.2</v>
      </c>
      <c r="K137" s="40">
        <f t="shared" si="25"/>
        <v>627.84</v>
      </c>
      <c r="L137" s="179">
        <f t="shared" si="17"/>
        <v>730.67000000000007</v>
      </c>
      <c r="M137" s="54">
        <f t="shared" si="18"/>
        <v>82.445999999999998</v>
      </c>
      <c r="N137" s="54">
        <f t="shared" si="19"/>
        <v>349.44000000000005</v>
      </c>
      <c r="O137" s="54">
        <f t="shared" si="20"/>
        <v>2636.9280000000003</v>
      </c>
      <c r="P137" s="54">
        <f t="shared" si="21"/>
        <v>3068.8140000000003</v>
      </c>
    </row>
    <row r="138" spans="2:16" ht="15" customHeight="1" x14ac:dyDescent="0.3">
      <c r="B138" s="164">
        <v>125</v>
      </c>
      <c r="C138" s="165">
        <v>3</v>
      </c>
      <c r="D138" s="165">
        <f t="shared" si="15"/>
        <v>3.1500000000000004</v>
      </c>
      <c r="E138" s="54">
        <f t="shared" si="13"/>
        <v>6.3000000000000007</v>
      </c>
      <c r="F138" s="54">
        <f t="shared" si="22"/>
        <v>40.950000000000003</v>
      </c>
      <c r="G138" s="54">
        <f t="shared" si="23"/>
        <v>346.50000000000006</v>
      </c>
      <c r="H138" s="54">
        <f t="shared" si="16"/>
        <v>393.75000000000006</v>
      </c>
      <c r="I138" s="40">
        <f t="shared" si="14"/>
        <v>19.63</v>
      </c>
      <c r="J138" s="40">
        <f t="shared" si="24"/>
        <v>83.2</v>
      </c>
      <c r="K138" s="40">
        <f t="shared" si="25"/>
        <v>633.6</v>
      </c>
      <c r="L138" s="179">
        <f t="shared" si="17"/>
        <v>736.43000000000006</v>
      </c>
      <c r="M138" s="54">
        <f t="shared" si="18"/>
        <v>61.834500000000006</v>
      </c>
      <c r="N138" s="54">
        <f t="shared" si="19"/>
        <v>262.08000000000004</v>
      </c>
      <c r="O138" s="54">
        <f t="shared" si="20"/>
        <v>1995.8400000000004</v>
      </c>
      <c r="P138" s="54">
        <f t="shared" si="21"/>
        <v>2319.7545000000005</v>
      </c>
    </row>
    <row r="139" spans="2:16" ht="15" customHeight="1" x14ac:dyDescent="0.3">
      <c r="B139" s="164">
        <v>126</v>
      </c>
      <c r="C139" s="165">
        <v>5</v>
      </c>
      <c r="D139" s="165">
        <f t="shared" si="15"/>
        <v>5.25</v>
      </c>
      <c r="E139" s="54">
        <f t="shared" si="13"/>
        <v>10.5</v>
      </c>
      <c r="F139" s="54">
        <f t="shared" si="22"/>
        <v>68.25</v>
      </c>
      <c r="G139" s="54">
        <f t="shared" si="23"/>
        <v>582.75</v>
      </c>
      <c r="H139" s="54">
        <f t="shared" si="16"/>
        <v>661.5</v>
      </c>
      <c r="I139" s="40">
        <f t="shared" si="14"/>
        <v>19.63</v>
      </c>
      <c r="J139" s="40">
        <f t="shared" si="24"/>
        <v>83.2</v>
      </c>
      <c r="K139" s="40">
        <f t="shared" si="25"/>
        <v>639.36</v>
      </c>
      <c r="L139" s="179">
        <f t="shared" si="17"/>
        <v>742.19</v>
      </c>
      <c r="M139" s="54">
        <f t="shared" si="18"/>
        <v>103.05749999999999</v>
      </c>
      <c r="N139" s="54">
        <f t="shared" si="19"/>
        <v>436.8</v>
      </c>
      <c r="O139" s="54">
        <f t="shared" si="20"/>
        <v>3356.64</v>
      </c>
      <c r="P139" s="54">
        <f t="shared" si="21"/>
        <v>3896.4974999999999</v>
      </c>
    </row>
    <row r="140" spans="2:16" ht="15" customHeight="1" x14ac:dyDescent="0.3">
      <c r="B140" s="164">
        <v>130</v>
      </c>
      <c r="C140" s="165">
        <v>1</v>
      </c>
      <c r="D140" s="165">
        <f t="shared" si="15"/>
        <v>1.05</v>
      </c>
      <c r="E140" s="54">
        <f t="shared" si="13"/>
        <v>2.1</v>
      </c>
      <c r="F140" s="54">
        <f t="shared" si="22"/>
        <v>13.65</v>
      </c>
      <c r="G140" s="54">
        <f t="shared" si="23"/>
        <v>120.75</v>
      </c>
      <c r="H140" s="54">
        <f t="shared" si="16"/>
        <v>136.5</v>
      </c>
      <c r="I140" s="40">
        <f t="shared" si="14"/>
        <v>19.63</v>
      </c>
      <c r="J140" s="40">
        <f t="shared" si="24"/>
        <v>83.2</v>
      </c>
      <c r="K140" s="40">
        <f t="shared" si="25"/>
        <v>662.4</v>
      </c>
      <c r="L140" s="179">
        <f t="shared" si="17"/>
        <v>765.23</v>
      </c>
      <c r="M140" s="54">
        <f t="shared" si="18"/>
        <v>20.611499999999999</v>
      </c>
      <c r="N140" s="54">
        <f t="shared" si="19"/>
        <v>87.360000000000014</v>
      </c>
      <c r="O140" s="54">
        <f t="shared" si="20"/>
        <v>695.52</v>
      </c>
      <c r="P140" s="54">
        <f t="shared" si="21"/>
        <v>803.49149999999997</v>
      </c>
    </row>
    <row r="141" spans="2:16" ht="15" customHeight="1" x14ac:dyDescent="0.3">
      <c r="B141" s="164">
        <v>131</v>
      </c>
      <c r="C141" s="165">
        <v>3</v>
      </c>
      <c r="D141" s="165">
        <f t="shared" si="15"/>
        <v>3.1500000000000004</v>
      </c>
      <c r="E141" s="54">
        <f t="shared" si="13"/>
        <v>6.3000000000000007</v>
      </c>
      <c r="F141" s="54">
        <f t="shared" si="22"/>
        <v>40.950000000000003</v>
      </c>
      <c r="G141" s="54">
        <f t="shared" si="23"/>
        <v>365.40000000000003</v>
      </c>
      <c r="H141" s="54">
        <f t="shared" si="16"/>
        <v>412.65000000000003</v>
      </c>
      <c r="I141" s="40">
        <f t="shared" si="14"/>
        <v>19.63</v>
      </c>
      <c r="J141" s="40">
        <f t="shared" si="24"/>
        <v>83.2</v>
      </c>
      <c r="K141" s="40">
        <f t="shared" si="25"/>
        <v>668.16</v>
      </c>
      <c r="L141" s="179">
        <f t="shared" si="17"/>
        <v>770.99</v>
      </c>
      <c r="M141" s="54">
        <f t="shared" si="18"/>
        <v>61.834500000000006</v>
      </c>
      <c r="N141" s="54">
        <f t="shared" si="19"/>
        <v>262.08000000000004</v>
      </c>
      <c r="O141" s="54">
        <f t="shared" si="20"/>
        <v>2104.7040000000002</v>
      </c>
      <c r="P141" s="54">
        <f t="shared" si="21"/>
        <v>2428.6185</v>
      </c>
    </row>
    <row r="142" spans="2:16" ht="15" customHeight="1" x14ac:dyDescent="0.3">
      <c r="B142" s="164">
        <v>132</v>
      </c>
      <c r="C142" s="165">
        <v>3</v>
      </c>
      <c r="D142" s="165">
        <f t="shared" si="15"/>
        <v>3.1500000000000004</v>
      </c>
      <c r="E142" s="54">
        <f t="shared" ref="E142:E205" si="26">+IF($B142&gt;2,2,$B142)*$D142</f>
        <v>6.3000000000000007</v>
      </c>
      <c r="F142" s="54">
        <f t="shared" si="22"/>
        <v>40.950000000000003</v>
      </c>
      <c r="G142" s="54">
        <f t="shared" si="23"/>
        <v>368.55000000000007</v>
      </c>
      <c r="H142" s="54">
        <f t="shared" si="16"/>
        <v>415.80000000000007</v>
      </c>
      <c r="I142" s="40">
        <f t="shared" ref="I142:I205" si="27">+$I$9</f>
        <v>19.63</v>
      </c>
      <c r="J142" s="40">
        <f t="shared" si="24"/>
        <v>83.2</v>
      </c>
      <c r="K142" s="40">
        <f t="shared" si="25"/>
        <v>673.92</v>
      </c>
      <c r="L142" s="179">
        <f t="shared" si="17"/>
        <v>776.75</v>
      </c>
      <c r="M142" s="54">
        <f t="shared" si="18"/>
        <v>61.834500000000006</v>
      </c>
      <c r="N142" s="54">
        <f t="shared" si="19"/>
        <v>262.08000000000004</v>
      </c>
      <c r="O142" s="54">
        <f t="shared" si="20"/>
        <v>2122.848</v>
      </c>
      <c r="P142" s="54">
        <f t="shared" si="21"/>
        <v>2446.7624999999998</v>
      </c>
    </row>
    <row r="143" spans="2:16" ht="15" customHeight="1" x14ac:dyDescent="0.3">
      <c r="B143" s="164">
        <v>133</v>
      </c>
      <c r="C143" s="165">
        <v>3</v>
      </c>
      <c r="D143" s="165">
        <f t="shared" ref="D143:D206" si="28">+C143*(1+$D$10)</f>
        <v>3.1500000000000004</v>
      </c>
      <c r="E143" s="54">
        <f t="shared" si="26"/>
        <v>6.3000000000000007</v>
      </c>
      <c r="F143" s="54">
        <f t="shared" si="22"/>
        <v>40.950000000000003</v>
      </c>
      <c r="G143" s="54">
        <f t="shared" si="23"/>
        <v>371.70000000000005</v>
      </c>
      <c r="H143" s="54">
        <f t="shared" ref="H143:H206" si="29">+SUM(E143:G143)</f>
        <v>418.95000000000005</v>
      </c>
      <c r="I143" s="40">
        <f t="shared" si="27"/>
        <v>19.63</v>
      </c>
      <c r="J143" s="40">
        <f t="shared" si="24"/>
        <v>83.2</v>
      </c>
      <c r="K143" s="40">
        <f t="shared" si="25"/>
        <v>679.68</v>
      </c>
      <c r="L143" s="179">
        <f t="shared" ref="L143:L206" si="30">+SUM(I143:K143)</f>
        <v>782.51</v>
      </c>
      <c r="M143" s="54">
        <f t="shared" ref="M143:M206" si="31">+I143*$D143</f>
        <v>61.834500000000006</v>
      </c>
      <c r="N143" s="54">
        <f t="shared" ref="N143:N206" si="32">+J143*$D143</f>
        <v>262.08000000000004</v>
      </c>
      <c r="O143" s="54">
        <f t="shared" ref="O143:O206" si="33">+K143*$D143</f>
        <v>2140.9920000000002</v>
      </c>
      <c r="P143" s="54">
        <f t="shared" ref="P143:P206" si="34">+SUM(M143:O143)</f>
        <v>2464.9065000000001</v>
      </c>
    </row>
    <row r="144" spans="2:16" ht="15" customHeight="1" x14ac:dyDescent="0.3">
      <c r="B144" s="164">
        <v>134</v>
      </c>
      <c r="C144" s="165">
        <v>2</v>
      </c>
      <c r="D144" s="165">
        <f t="shared" si="28"/>
        <v>2.1</v>
      </c>
      <c r="E144" s="54">
        <f t="shared" si="26"/>
        <v>4.2</v>
      </c>
      <c r="F144" s="54">
        <f t="shared" si="22"/>
        <v>27.3</v>
      </c>
      <c r="G144" s="54">
        <f t="shared" si="23"/>
        <v>249.9</v>
      </c>
      <c r="H144" s="54">
        <f t="shared" si="29"/>
        <v>281.39999999999998</v>
      </c>
      <c r="I144" s="40">
        <f t="shared" si="27"/>
        <v>19.63</v>
      </c>
      <c r="J144" s="40">
        <f t="shared" si="24"/>
        <v>83.2</v>
      </c>
      <c r="K144" s="40">
        <f t="shared" si="25"/>
        <v>685.43999999999994</v>
      </c>
      <c r="L144" s="179">
        <f t="shared" si="30"/>
        <v>788.27</v>
      </c>
      <c r="M144" s="54">
        <f t="shared" si="31"/>
        <v>41.222999999999999</v>
      </c>
      <c r="N144" s="54">
        <f t="shared" si="32"/>
        <v>174.72000000000003</v>
      </c>
      <c r="O144" s="54">
        <f t="shared" si="33"/>
        <v>1439.424</v>
      </c>
      <c r="P144" s="54">
        <f t="shared" si="34"/>
        <v>1655.367</v>
      </c>
    </row>
    <row r="145" spans="2:16" ht="15" customHeight="1" x14ac:dyDescent="0.3">
      <c r="B145" s="164">
        <v>135</v>
      </c>
      <c r="C145" s="165">
        <v>1</v>
      </c>
      <c r="D145" s="165">
        <f t="shared" si="28"/>
        <v>1.05</v>
      </c>
      <c r="E145" s="54">
        <f t="shared" si="26"/>
        <v>2.1</v>
      </c>
      <c r="F145" s="54">
        <f t="shared" ref="F145:F208" si="35">+IF($B145&gt;15,13,$B145-2)*$D145</f>
        <v>13.65</v>
      </c>
      <c r="G145" s="54">
        <f t="shared" ref="G145:G208" si="36">+IF($B145&gt;15,$B145-15,0)*$D145</f>
        <v>126</v>
      </c>
      <c r="H145" s="54">
        <f t="shared" si="29"/>
        <v>141.75</v>
      </c>
      <c r="I145" s="40">
        <f t="shared" si="27"/>
        <v>19.63</v>
      </c>
      <c r="J145" s="40">
        <f t="shared" ref="J145:J208" si="37">+IF($B145&gt;15,13,$B145-2)*$J$9</f>
        <v>83.2</v>
      </c>
      <c r="K145" s="40">
        <f t="shared" ref="K145:K208" si="38">+IF($B145&gt;15,$B145-15,0)*$K$9</f>
        <v>691.19999999999993</v>
      </c>
      <c r="L145" s="179">
        <f t="shared" si="30"/>
        <v>794.03</v>
      </c>
      <c r="M145" s="54">
        <f t="shared" si="31"/>
        <v>20.611499999999999</v>
      </c>
      <c r="N145" s="54">
        <f t="shared" si="32"/>
        <v>87.360000000000014</v>
      </c>
      <c r="O145" s="54">
        <f t="shared" si="33"/>
        <v>725.76</v>
      </c>
      <c r="P145" s="54">
        <f t="shared" si="34"/>
        <v>833.73149999999998</v>
      </c>
    </row>
    <row r="146" spans="2:16" ht="15" customHeight="1" x14ac:dyDescent="0.3">
      <c r="B146" s="164">
        <v>137</v>
      </c>
      <c r="C146" s="165">
        <v>3</v>
      </c>
      <c r="D146" s="165">
        <f t="shared" si="28"/>
        <v>3.1500000000000004</v>
      </c>
      <c r="E146" s="54">
        <f t="shared" si="26"/>
        <v>6.3000000000000007</v>
      </c>
      <c r="F146" s="54">
        <f t="shared" si="35"/>
        <v>40.950000000000003</v>
      </c>
      <c r="G146" s="54">
        <f t="shared" si="36"/>
        <v>384.30000000000007</v>
      </c>
      <c r="H146" s="54">
        <f t="shared" si="29"/>
        <v>431.55000000000007</v>
      </c>
      <c r="I146" s="40">
        <f t="shared" si="27"/>
        <v>19.63</v>
      </c>
      <c r="J146" s="40">
        <f t="shared" si="37"/>
        <v>83.2</v>
      </c>
      <c r="K146" s="40">
        <f t="shared" si="38"/>
        <v>702.72</v>
      </c>
      <c r="L146" s="179">
        <f t="shared" si="30"/>
        <v>805.55000000000007</v>
      </c>
      <c r="M146" s="54">
        <f t="shared" si="31"/>
        <v>61.834500000000006</v>
      </c>
      <c r="N146" s="54">
        <f t="shared" si="32"/>
        <v>262.08000000000004</v>
      </c>
      <c r="O146" s="54">
        <f t="shared" si="33"/>
        <v>2213.5680000000002</v>
      </c>
      <c r="P146" s="54">
        <f t="shared" si="34"/>
        <v>2537.4825000000001</v>
      </c>
    </row>
    <row r="147" spans="2:16" ht="15" customHeight="1" x14ac:dyDescent="0.3">
      <c r="B147" s="164">
        <v>138</v>
      </c>
      <c r="C147" s="165">
        <v>4</v>
      </c>
      <c r="D147" s="165">
        <f t="shared" si="28"/>
        <v>4.2</v>
      </c>
      <c r="E147" s="54">
        <f t="shared" si="26"/>
        <v>8.4</v>
      </c>
      <c r="F147" s="54">
        <f t="shared" si="35"/>
        <v>54.6</v>
      </c>
      <c r="G147" s="54">
        <f t="shared" si="36"/>
        <v>516.6</v>
      </c>
      <c r="H147" s="54">
        <f t="shared" si="29"/>
        <v>579.6</v>
      </c>
      <c r="I147" s="40">
        <f t="shared" si="27"/>
        <v>19.63</v>
      </c>
      <c r="J147" s="40">
        <f t="shared" si="37"/>
        <v>83.2</v>
      </c>
      <c r="K147" s="40">
        <f t="shared" si="38"/>
        <v>708.48</v>
      </c>
      <c r="L147" s="179">
        <f t="shared" si="30"/>
        <v>811.31000000000006</v>
      </c>
      <c r="M147" s="54">
        <f t="shared" si="31"/>
        <v>82.445999999999998</v>
      </c>
      <c r="N147" s="54">
        <f t="shared" si="32"/>
        <v>349.44000000000005</v>
      </c>
      <c r="O147" s="54">
        <f t="shared" si="33"/>
        <v>2975.616</v>
      </c>
      <c r="P147" s="54">
        <f t="shared" si="34"/>
        <v>3407.502</v>
      </c>
    </row>
    <row r="148" spans="2:16" ht="15" customHeight="1" x14ac:dyDescent="0.3">
      <c r="B148" s="164">
        <v>139</v>
      </c>
      <c r="C148" s="165">
        <v>1</v>
      </c>
      <c r="D148" s="165">
        <f t="shared" si="28"/>
        <v>1.05</v>
      </c>
      <c r="E148" s="54">
        <f t="shared" si="26"/>
        <v>2.1</v>
      </c>
      <c r="F148" s="54">
        <f t="shared" si="35"/>
        <v>13.65</v>
      </c>
      <c r="G148" s="54">
        <f t="shared" si="36"/>
        <v>130.20000000000002</v>
      </c>
      <c r="H148" s="54">
        <f t="shared" si="29"/>
        <v>145.95000000000002</v>
      </c>
      <c r="I148" s="40">
        <f t="shared" si="27"/>
        <v>19.63</v>
      </c>
      <c r="J148" s="40">
        <f t="shared" si="37"/>
        <v>83.2</v>
      </c>
      <c r="K148" s="40">
        <f t="shared" si="38"/>
        <v>714.24</v>
      </c>
      <c r="L148" s="179">
        <f t="shared" si="30"/>
        <v>817.07</v>
      </c>
      <c r="M148" s="54">
        <f t="shared" si="31"/>
        <v>20.611499999999999</v>
      </c>
      <c r="N148" s="54">
        <f t="shared" si="32"/>
        <v>87.360000000000014</v>
      </c>
      <c r="O148" s="54">
        <f t="shared" si="33"/>
        <v>749.952</v>
      </c>
      <c r="P148" s="54">
        <f t="shared" si="34"/>
        <v>857.92349999999999</v>
      </c>
    </row>
    <row r="149" spans="2:16" ht="15" customHeight="1" x14ac:dyDescent="0.3">
      <c r="B149" s="164">
        <v>141</v>
      </c>
      <c r="C149" s="165">
        <v>5</v>
      </c>
      <c r="D149" s="165">
        <f t="shared" si="28"/>
        <v>5.25</v>
      </c>
      <c r="E149" s="54">
        <f t="shared" si="26"/>
        <v>10.5</v>
      </c>
      <c r="F149" s="54">
        <f t="shared" si="35"/>
        <v>68.25</v>
      </c>
      <c r="G149" s="54">
        <f t="shared" si="36"/>
        <v>661.5</v>
      </c>
      <c r="H149" s="54">
        <f t="shared" si="29"/>
        <v>740.25</v>
      </c>
      <c r="I149" s="40">
        <f t="shared" si="27"/>
        <v>19.63</v>
      </c>
      <c r="J149" s="40">
        <f t="shared" si="37"/>
        <v>83.2</v>
      </c>
      <c r="K149" s="40">
        <f t="shared" si="38"/>
        <v>725.76</v>
      </c>
      <c r="L149" s="179">
        <f t="shared" si="30"/>
        <v>828.59</v>
      </c>
      <c r="M149" s="54">
        <f t="shared" si="31"/>
        <v>103.05749999999999</v>
      </c>
      <c r="N149" s="54">
        <f t="shared" si="32"/>
        <v>436.8</v>
      </c>
      <c r="O149" s="54">
        <f t="shared" si="33"/>
        <v>3810.24</v>
      </c>
      <c r="P149" s="54">
        <f t="shared" si="34"/>
        <v>4350.0974999999999</v>
      </c>
    </row>
    <row r="150" spans="2:16" ht="15" customHeight="1" x14ac:dyDescent="0.3">
      <c r="B150" s="164">
        <v>143</v>
      </c>
      <c r="C150" s="165">
        <v>2</v>
      </c>
      <c r="D150" s="165">
        <f t="shared" si="28"/>
        <v>2.1</v>
      </c>
      <c r="E150" s="54">
        <f t="shared" si="26"/>
        <v>4.2</v>
      </c>
      <c r="F150" s="54">
        <f t="shared" si="35"/>
        <v>27.3</v>
      </c>
      <c r="G150" s="54">
        <f t="shared" si="36"/>
        <v>268.8</v>
      </c>
      <c r="H150" s="54">
        <f t="shared" si="29"/>
        <v>300.3</v>
      </c>
      <c r="I150" s="40">
        <f t="shared" si="27"/>
        <v>19.63</v>
      </c>
      <c r="J150" s="40">
        <f t="shared" si="37"/>
        <v>83.2</v>
      </c>
      <c r="K150" s="40">
        <f t="shared" si="38"/>
        <v>737.28</v>
      </c>
      <c r="L150" s="179">
        <f t="shared" si="30"/>
        <v>840.11</v>
      </c>
      <c r="M150" s="54">
        <f t="shared" si="31"/>
        <v>41.222999999999999</v>
      </c>
      <c r="N150" s="54">
        <f t="shared" si="32"/>
        <v>174.72000000000003</v>
      </c>
      <c r="O150" s="54">
        <f t="shared" si="33"/>
        <v>1548.288</v>
      </c>
      <c r="P150" s="54">
        <f t="shared" si="34"/>
        <v>1764.231</v>
      </c>
    </row>
    <row r="151" spans="2:16" ht="15" customHeight="1" x14ac:dyDescent="0.3">
      <c r="B151" s="164">
        <v>144</v>
      </c>
      <c r="C151" s="165">
        <v>1</v>
      </c>
      <c r="D151" s="165">
        <f t="shared" si="28"/>
        <v>1.05</v>
      </c>
      <c r="E151" s="54">
        <f t="shared" si="26"/>
        <v>2.1</v>
      </c>
      <c r="F151" s="54">
        <f t="shared" si="35"/>
        <v>13.65</v>
      </c>
      <c r="G151" s="54">
        <f t="shared" si="36"/>
        <v>135.45000000000002</v>
      </c>
      <c r="H151" s="54">
        <f t="shared" si="29"/>
        <v>151.20000000000002</v>
      </c>
      <c r="I151" s="40">
        <f t="shared" si="27"/>
        <v>19.63</v>
      </c>
      <c r="J151" s="40">
        <f t="shared" si="37"/>
        <v>83.2</v>
      </c>
      <c r="K151" s="40">
        <f t="shared" si="38"/>
        <v>743.04</v>
      </c>
      <c r="L151" s="179">
        <f t="shared" si="30"/>
        <v>845.87</v>
      </c>
      <c r="M151" s="54">
        <f t="shared" si="31"/>
        <v>20.611499999999999</v>
      </c>
      <c r="N151" s="54">
        <f t="shared" si="32"/>
        <v>87.360000000000014</v>
      </c>
      <c r="O151" s="54">
        <f t="shared" si="33"/>
        <v>780.19200000000001</v>
      </c>
      <c r="P151" s="54">
        <f t="shared" si="34"/>
        <v>888.1635</v>
      </c>
    </row>
    <row r="152" spans="2:16" ht="15" customHeight="1" x14ac:dyDescent="0.3">
      <c r="B152" s="164">
        <v>146</v>
      </c>
      <c r="C152" s="165">
        <v>2</v>
      </c>
      <c r="D152" s="165">
        <f t="shared" si="28"/>
        <v>2.1</v>
      </c>
      <c r="E152" s="54">
        <f t="shared" si="26"/>
        <v>4.2</v>
      </c>
      <c r="F152" s="54">
        <f t="shared" si="35"/>
        <v>27.3</v>
      </c>
      <c r="G152" s="54">
        <f t="shared" si="36"/>
        <v>275.10000000000002</v>
      </c>
      <c r="H152" s="54">
        <f t="shared" si="29"/>
        <v>306.60000000000002</v>
      </c>
      <c r="I152" s="40">
        <f t="shared" si="27"/>
        <v>19.63</v>
      </c>
      <c r="J152" s="40">
        <f t="shared" si="37"/>
        <v>83.2</v>
      </c>
      <c r="K152" s="40">
        <f t="shared" si="38"/>
        <v>754.56</v>
      </c>
      <c r="L152" s="179">
        <f t="shared" si="30"/>
        <v>857.39</v>
      </c>
      <c r="M152" s="54">
        <f t="shared" si="31"/>
        <v>41.222999999999999</v>
      </c>
      <c r="N152" s="54">
        <f t="shared" si="32"/>
        <v>174.72000000000003</v>
      </c>
      <c r="O152" s="54">
        <f t="shared" si="33"/>
        <v>1584.576</v>
      </c>
      <c r="P152" s="54">
        <f t="shared" si="34"/>
        <v>1800.519</v>
      </c>
    </row>
    <row r="153" spans="2:16" ht="15" customHeight="1" x14ac:dyDescent="0.3">
      <c r="B153" s="164">
        <v>147</v>
      </c>
      <c r="C153" s="165">
        <v>1</v>
      </c>
      <c r="D153" s="165">
        <f t="shared" si="28"/>
        <v>1.05</v>
      </c>
      <c r="E153" s="54">
        <f t="shared" si="26"/>
        <v>2.1</v>
      </c>
      <c r="F153" s="54">
        <f t="shared" si="35"/>
        <v>13.65</v>
      </c>
      <c r="G153" s="54">
        <f t="shared" si="36"/>
        <v>138.6</v>
      </c>
      <c r="H153" s="54">
        <f t="shared" si="29"/>
        <v>154.35</v>
      </c>
      <c r="I153" s="40">
        <f t="shared" si="27"/>
        <v>19.63</v>
      </c>
      <c r="J153" s="40">
        <f t="shared" si="37"/>
        <v>83.2</v>
      </c>
      <c r="K153" s="40">
        <f t="shared" si="38"/>
        <v>760.31999999999994</v>
      </c>
      <c r="L153" s="179">
        <f t="shared" si="30"/>
        <v>863.15</v>
      </c>
      <c r="M153" s="54">
        <f t="shared" si="31"/>
        <v>20.611499999999999</v>
      </c>
      <c r="N153" s="54">
        <f t="shared" si="32"/>
        <v>87.360000000000014</v>
      </c>
      <c r="O153" s="54">
        <f t="shared" si="33"/>
        <v>798.33600000000001</v>
      </c>
      <c r="P153" s="54">
        <f t="shared" si="34"/>
        <v>906.3075</v>
      </c>
    </row>
    <row r="154" spans="2:16" ht="15" customHeight="1" x14ac:dyDescent="0.3">
      <c r="B154" s="164">
        <v>148</v>
      </c>
      <c r="C154" s="165">
        <v>1</v>
      </c>
      <c r="D154" s="165">
        <f t="shared" si="28"/>
        <v>1.05</v>
      </c>
      <c r="E154" s="54">
        <f t="shared" si="26"/>
        <v>2.1</v>
      </c>
      <c r="F154" s="54">
        <f t="shared" si="35"/>
        <v>13.65</v>
      </c>
      <c r="G154" s="54">
        <f t="shared" si="36"/>
        <v>139.65</v>
      </c>
      <c r="H154" s="54">
        <f t="shared" si="29"/>
        <v>155.4</v>
      </c>
      <c r="I154" s="40">
        <f t="shared" si="27"/>
        <v>19.63</v>
      </c>
      <c r="J154" s="40">
        <f t="shared" si="37"/>
        <v>83.2</v>
      </c>
      <c r="K154" s="40">
        <f t="shared" si="38"/>
        <v>766.07999999999993</v>
      </c>
      <c r="L154" s="179">
        <f t="shared" si="30"/>
        <v>868.91</v>
      </c>
      <c r="M154" s="54">
        <f t="shared" si="31"/>
        <v>20.611499999999999</v>
      </c>
      <c r="N154" s="54">
        <f t="shared" si="32"/>
        <v>87.360000000000014</v>
      </c>
      <c r="O154" s="54">
        <f t="shared" si="33"/>
        <v>804.3839999999999</v>
      </c>
      <c r="P154" s="54">
        <f t="shared" si="34"/>
        <v>912.35549999999989</v>
      </c>
    </row>
    <row r="155" spans="2:16" ht="15" customHeight="1" x14ac:dyDescent="0.3">
      <c r="B155" s="164">
        <v>149</v>
      </c>
      <c r="C155" s="165">
        <v>2</v>
      </c>
      <c r="D155" s="165">
        <f t="shared" si="28"/>
        <v>2.1</v>
      </c>
      <c r="E155" s="54">
        <f t="shared" si="26"/>
        <v>4.2</v>
      </c>
      <c r="F155" s="54">
        <f t="shared" si="35"/>
        <v>27.3</v>
      </c>
      <c r="G155" s="54">
        <f t="shared" si="36"/>
        <v>281.40000000000003</v>
      </c>
      <c r="H155" s="54">
        <f t="shared" si="29"/>
        <v>312.90000000000003</v>
      </c>
      <c r="I155" s="40">
        <f t="shared" si="27"/>
        <v>19.63</v>
      </c>
      <c r="J155" s="40">
        <f t="shared" si="37"/>
        <v>83.2</v>
      </c>
      <c r="K155" s="40">
        <f t="shared" si="38"/>
        <v>771.83999999999992</v>
      </c>
      <c r="L155" s="179">
        <f t="shared" si="30"/>
        <v>874.67</v>
      </c>
      <c r="M155" s="54">
        <f t="shared" si="31"/>
        <v>41.222999999999999</v>
      </c>
      <c r="N155" s="54">
        <f t="shared" si="32"/>
        <v>174.72000000000003</v>
      </c>
      <c r="O155" s="54">
        <f t="shared" si="33"/>
        <v>1620.8639999999998</v>
      </c>
      <c r="P155" s="54">
        <f t="shared" si="34"/>
        <v>1836.8069999999998</v>
      </c>
    </row>
    <row r="156" spans="2:16" ht="15" customHeight="1" x14ac:dyDescent="0.3">
      <c r="B156" s="164">
        <v>150</v>
      </c>
      <c r="C156" s="165">
        <v>3</v>
      </c>
      <c r="D156" s="165">
        <f t="shared" si="28"/>
        <v>3.1500000000000004</v>
      </c>
      <c r="E156" s="54">
        <f t="shared" si="26"/>
        <v>6.3000000000000007</v>
      </c>
      <c r="F156" s="54">
        <f t="shared" si="35"/>
        <v>40.950000000000003</v>
      </c>
      <c r="G156" s="54">
        <f t="shared" si="36"/>
        <v>425.25000000000006</v>
      </c>
      <c r="H156" s="54">
        <f t="shared" si="29"/>
        <v>472.50000000000006</v>
      </c>
      <c r="I156" s="40">
        <f t="shared" si="27"/>
        <v>19.63</v>
      </c>
      <c r="J156" s="40">
        <f t="shared" si="37"/>
        <v>83.2</v>
      </c>
      <c r="K156" s="40">
        <f t="shared" si="38"/>
        <v>777.6</v>
      </c>
      <c r="L156" s="179">
        <f t="shared" si="30"/>
        <v>880.43000000000006</v>
      </c>
      <c r="M156" s="54">
        <f t="shared" si="31"/>
        <v>61.834500000000006</v>
      </c>
      <c r="N156" s="54">
        <f t="shared" si="32"/>
        <v>262.08000000000004</v>
      </c>
      <c r="O156" s="54">
        <f t="shared" si="33"/>
        <v>2449.4400000000005</v>
      </c>
      <c r="P156" s="54">
        <f t="shared" si="34"/>
        <v>2773.3545000000004</v>
      </c>
    </row>
    <row r="157" spans="2:16" ht="15" customHeight="1" x14ac:dyDescent="0.3">
      <c r="B157" s="164">
        <v>151</v>
      </c>
      <c r="C157" s="165">
        <v>3</v>
      </c>
      <c r="D157" s="165">
        <f t="shared" si="28"/>
        <v>3.1500000000000004</v>
      </c>
      <c r="E157" s="54">
        <f t="shared" si="26"/>
        <v>6.3000000000000007</v>
      </c>
      <c r="F157" s="54">
        <f t="shared" si="35"/>
        <v>40.950000000000003</v>
      </c>
      <c r="G157" s="54">
        <f t="shared" si="36"/>
        <v>428.40000000000003</v>
      </c>
      <c r="H157" s="54">
        <f t="shared" si="29"/>
        <v>475.65000000000003</v>
      </c>
      <c r="I157" s="40">
        <f t="shared" si="27"/>
        <v>19.63</v>
      </c>
      <c r="J157" s="40">
        <f t="shared" si="37"/>
        <v>83.2</v>
      </c>
      <c r="K157" s="40">
        <f t="shared" si="38"/>
        <v>783.36</v>
      </c>
      <c r="L157" s="179">
        <f t="shared" si="30"/>
        <v>886.19</v>
      </c>
      <c r="M157" s="54">
        <f t="shared" si="31"/>
        <v>61.834500000000006</v>
      </c>
      <c r="N157" s="54">
        <f t="shared" si="32"/>
        <v>262.08000000000004</v>
      </c>
      <c r="O157" s="54">
        <f t="shared" si="33"/>
        <v>2467.5840000000003</v>
      </c>
      <c r="P157" s="54">
        <f t="shared" si="34"/>
        <v>2791.4985000000001</v>
      </c>
    </row>
    <row r="158" spans="2:16" ht="15" customHeight="1" x14ac:dyDescent="0.3">
      <c r="B158" s="164">
        <v>152</v>
      </c>
      <c r="C158" s="165">
        <v>1</v>
      </c>
      <c r="D158" s="165">
        <f t="shared" si="28"/>
        <v>1.05</v>
      </c>
      <c r="E158" s="54">
        <f t="shared" si="26"/>
        <v>2.1</v>
      </c>
      <c r="F158" s="54">
        <f t="shared" si="35"/>
        <v>13.65</v>
      </c>
      <c r="G158" s="54">
        <f t="shared" si="36"/>
        <v>143.85</v>
      </c>
      <c r="H158" s="54">
        <f t="shared" si="29"/>
        <v>159.6</v>
      </c>
      <c r="I158" s="40">
        <f t="shared" si="27"/>
        <v>19.63</v>
      </c>
      <c r="J158" s="40">
        <f t="shared" si="37"/>
        <v>83.2</v>
      </c>
      <c r="K158" s="40">
        <f t="shared" si="38"/>
        <v>789.12</v>
      </c>
      <c r="L158" s="179">
        <f t="shared" si="30"/>
        <v>891.95</v>
      </c>
      <c r="M158" s="54">
        <f t="shared" si="31"/>
        <v>20.611499999999999</v>
      </c>
      <c r="N158" s="54">
        <f t="shared" si="32"/>
        <v>87.360000000000014</v>
      </c>
      <c r="O158" s="54">
        <f t="shared" si="33"/>
        <v>828.57600000000002</v>
      </c>
      <c r="P158" s="54">
        <f t="shared" si="34"/>
        <v>936.54750000000001</v>
      </c>
    </row>
    <row r="159" spans="2:16" ht="15" customHeight="1" x14ac:dyDescent="0.3">
      <c r="B159" s="164">
        <v>154</v>
      </c>
      <c r="C159" s="165">
        <v>1</v>
      </c>
      <c r="D159" s="165">
        <f t="shared" si="28"/>
        <v>1.05</v>
      </c>
      <c r="E159" s="54">
        <f t="shared" si="26"/>
        <v>2.1</v>
      </c>
      <c r="F159" s="54">
        <f t="shared" si="35"/>
        <v>13.65</v>
      </c>
      <c r="G159" s="54">
        <f t="shared" si="36"/>
        <v>145.95000000000002</v>
      </c>
      <c r="H159" s="54">
        <f t="shared" si="29"/>
        <v>161.70000000000002</v>
      </c>
      <c r="I159" s="40">
        <f t="shared" si="27"/>
        <v>19.63</v>
      </c>
      <c r="J159" s="40">
        <f t="shared" si="37"/>
        <v>83.2</v>
      </c>
      <c r="K159" s="40">
        <f t="shared" si="38"/>
        <v>800.64</v>
      </c>
      <c r="L159" s="179">
        <f t="shared" si="30"/>
        <v>903.47</v>
      </c>
      <c r="M159" s="54">
        <f t="shared" si="31"/>
        <v>20.611499999999999</v>
      </c>
      <c r="N159" s="54">
        <f t="shared" si="32"/>
        <v>87.360000000000014</v>
      </c>
      <c r="O159" s="54">
        <f t="shared" si="33"/>
        <v>840.67200000000003</v>
      </c>
      <c r="P159" s="54">
        <f t="shared" si="34"/>
        <v>948.64350000000002</v>
      </c>
    </row>
    <row r="160" spans="2:16" ht="15" customHeight="1" x14ac:dyDescent="0.3">
      <c r="B160" s="164">
        <v>156</v>
      </c>
      <c r="C160" s="165">
        <v>2</v>
      </c>
      <c r="D160" s="165">
        <f t="shared" si="28"/>
        <v>2.1</v>
      </c>
      <c r="E160" s="54">
        <f t="shared" si="26"/>
        <v>4.2</v>
      </c>
      <c r="F160" s="54">
        <f t="shared" si="35"/>
        <v>27.3</v>
      </c>
      <c r="G160" s="54">
        <f t="shared" si="36"/>
        <v>296.10000000000002</v>
      </c>
      <c r="H160" s="54">
        <f t="shared" si="29"/>
        <v>327.60000000000002</v>
      </c>
      <c r="I160" s="40">
        <f t="shared" si="27"/>
        <v>19.63</v>
      </c>
      <c r="J160" s="40">
        <f t="shared" si="37"/>
        <v>83.2</v>
      </c>
      <c r="K160" s="40">
        <f t="shared" si="38"/>
        <v>812.16</v>
      </c>
      <c r="L160" s="179">
        <f t="shared" si="30"/>
        <v>914.99</v>
      </c>
      <c r="M160" s="54">
        <f t="shared" si="31"/>
        <v>41.222999999999999</v>
      </c>
      <c r="N160" s="54">
        <f t="shared" si="32"/>
        <v>174.72000000000003</v>
      </c>
      <c r="O160" s="54">
        <f t="shared" si="33"/>
        <v>1705.5360000000001</v>
      </c>
      <c r="P160" s="54">
        <f t="shared" si="34"/>
        <v>1921.479</v>
      </c>
    </row>
    <row r="161" spans="2:16" ht="15" customHeight="1" x14ac:dyDescent="0.3">
      <c r="B161" s="164">
        <v>157</v>
      </c>
      <c r="C161" s="165">
        <v>1</v>
      </c>
      <c r="D161" s="165">
        <f t="shared" si="28"/>
        <v>1.05</v>
      </c>
      <c r="E161" s="54">
        <f t="shared" si="26"/>
        <v>2.1</v>
      </c>
      <c r="F161" s="54">
        <f t="shared" si="35"/>
        <v>13.65</v>
      </c>
      <c r="G161" s="54">
        <f t="shared" si="36"/>
        <v>149.1</v>
      </c>
      <c r="H161" s="54">
        <f t="shared" si="29"/>
        <v>164.85</v>
      </c>
      <c r="I161" s="40">
        <f t="shared" si="27"/>
        <v>19.63</v>
      </c>
      <c r="J161" s="40">
        <f t="shared" si="37"/>
        <v>83.2</v>
      </c>
      <c r="K161" s="40">
        <f t="shared" si="38"/>
        <v>817.92</v>
      </c>
      <c r="L161" s="179">
        <f t="shared" si="30"/>
        <v>920.75</v>
      </c>
      <c r="M161" s="54">
        <f t="shared" si="31"/>
        <v>20.611499999999999</v>
      </c>
      <c r="N161" s="54">
        <f t="shared" si="32"/>
        <v>87.360000000000014</v>
      </c>
      <c r="O161" s="54">
        <f t="shared" si="33"/>
        <v>858.81600000000003</v>
      </c>
      <c r="P161" s="54">
        <f t="shared" si="34"/>
        <v>966.78750000000002</v>
      </c>
    </row>
    <row r="162" spans="2:16" ht="15" customHeight="1" x14ac:dyDescent="0.3">
      <c r="B162" s="164">
        <v>158</v>
      </c>
      <c r="C162" s="165">
        <v>1</v>
      </c>
      <c r="D162" s="165">
        <f t="shared" si="28"/>
        <v>1.05</v>
      </c>
      <c r="E162" s="54">
        <f t="shared" si="26"/>
        <v>2.1</v>
      </c>
      <c r="F162" s="54">
        <f t="shared" si="35"/>
        <v>13.65</v>
      </c>
      <c r="G162" s="54">
        <f t="shared" si="36"/>
        <v>150.15</v>
      </c>
      <c r="H162" s="54">
        <f t="shared" si="29"/>
        <v>165.9</v>
      </c>
      <c r="I162" s="40">
        <f t="shared" si="27"/>
        <v>19.63</v>
      </c>
      <c r="J162" s="40">
        <f t="shared" si="37"/>
        <v>83.2</v>
      </c>
      <c r="K162" s="40">
        <f t="shared" si="38"/>
        <v>823.68</v>
      </c>
      <c r="L162" s="179">
        <f t="shared" si="30"/>
        <v>926.51</v>
      </c>
      <c r="M162" s="54">
        <f t="shared" si="31"/>
        <v>20.611499999999999</v>
      </c>
      <c r="N162" s="54">
        <f t="shared" si="32"/>
        <v>87.360000000000014</v>
      </c>
      <c r="O162" s="54">
        <f t="shared" si="33"/>
        <v>864.86400000000003</v>
      </c>
      <c r="P162" s="54">
        <f t="shared" si="34"/>
        <v>972.83550000000002</v>
      </c>
    </row>
    <row r="163" spans="2:16" ht="15" customHeight="1" x14ac:dyDescent="0.3">
      <c r="B163" s="164">
        <v>160</v>
      </c>
      <c r="C163" s="165">
        <v>1</v>
      </c>
      <c r="D163" s="165">
        <f t="shared" si="28"/>
        <v>1.05</v>
      </c>
      <c r="E163" s="54">
        <f t="shared" si="26"/>
        <v>2.1</v>
      </c>
      <c r="F163" s="54">
        <f t="shared" si="35"/>
        <v>13.65</v>
      </c>
      <c r="G163" s="54">
        <f t="shared" si="36"/>
        <v>152.25</v>
      </c>
      <c r="H163" s="54">
        <f t="shared" si="29"/>
        <v>168</v>
      </c>
      <c r="I163" s="40">
        <f t="shared" si="27"/>
        <v>19.63</v>
      </c>
      <c r="J163" s="40">
        <f t="shared" si="37"/>
        <v>83.2</v>
      </c>
      <c r="K163" s="40">
        <f t="shared" si="38"/>
        <v>835.19999999999993</v>
      </c>
      <c r="L163" s="179">
        <f t="shared" si="30"/>
        <v>938.03</v>
      </c>
      <c r="M163" s="54">
        <f t="shared" si="31"/>
        <v>20.611499999999999</v>
      </c>
      <c r="N163" s="54">
        <f t="shared" si="32"/>
        <v>87.360000000000014</v>
      </c>
      <c r="O163" s="54">
        <f t="shared" si="33"/>
        <v>876.95999999999992</v>
      </c>
      <c r="P163" s="54">
        <f t="shared" si="34"/>
        <v>984.93149999999991</v>
      </c>
    </row>
    <row r="164" spans="2:16" ht="15" customHeight="1" x14ac:dyDescent="0.3">
      <c r="B164" s="164">
        <v>161</v>
      </c>
      <c r="C164" s="165">
        <v>1</v>
      </c>
      <c r="D164" s="165">
        <f t="shared" si="28"/>
        <v>1.05</v>
      </c>
      <c r="E164" s="54">
        <f t="shared" si="26"/>
        <v>2.1</v>
      </c>
      <c r="F164" s="54">
        <f t="shared" si="35"/>
        <v>13.65</v>
      </c>
      <c r="G164" s="54">
        <f t="shared" si="36"/>
        <v>153.30000000000001</v>
      </c>
      <c r="H164" s="54">
        <f t="shared" si="29"/>
        <v>169.05</v>
      </c>
      <c r="I164" s="40">
        <f t="shared" si="27"/>
        <v>19.63</v>
      </c>
      <c r="J164" s="40">
        <f t="shared" si="37"/>
        <v>83.2</v>
      </c>
      <c r="K164" s="40">
        <f t="shared" si="38"/>
        <v>840.95999999999992</v>
      </c>
      <c r="L164" s="179">
        <f t="shared" si="30"/>
        <v>943.79</v>
      </c>
      <c r="M164" s="54">
        <f t="shared" si="31"/>
        <v>20.611499999999999</v>
      </c>
      <c r="N164" s="54">
        <f t="shared" si="32"/>
        <v>87.360000000000014</v>
      </c>
      <c r="O164" s="54">
        <f t="shared" si="33"/>
        <v>883.00799999999992</v>
      </c>
      <c r="P164" s="54">
        <f t="shared" si="34"/>
        <v>990.97949999999992</v>
      </c>
    </row>
    <row r="165" spans="2:16" ht="15" customHeight="1" x14ac:dyDescent="0.3">
      <c r="B165" s="164">
        <v>162</v>
      </c>
      <c r="C165" s="165">
        <v>2</v>
      </c>
      <c r="D165" s="165">
        <f t="shared" si="28"/>
        <v>2.1</v>
      </c>
      <c r="E165" s="54">
        <f t="shared" si="26"/>
        <v>4.2</v>
      </c>
      <c r="F165" s="54">
        <f t="shared" si="35"/>
        <v>27.3</v>
      </c>
      <c r="G165" s="54">
        <f t="shared" si="36"/>
        <v>308.7</v>
      </c>
      <c r="H165" s="54">
        <f t="shared" si="29"/>
        <v>340.2</v>
      </c>
      <c r="I165" s="40">
        <f t="shared" si="27"/>
        <v>19.63</v>
      </c>
      <c r="J165" s="40">
        <f t="shared" si="37"/>
        <v>83.2</v>
      </c>
      <c r="K165" s="40">
        <f t="shared" si="38"/>
        <v>846.71999999999991</v>
      </c>
      <c r="L165" s="179">
        <f t="shared" si="30"/>
        <v>949.55</v>
      </c>
      <c r="M165" s="54">
        <f t="shared" si="31"/>
        <v>41.222999999999999</v>
      </c>
      <c r="N165" s="54">
        <f t="shared" si="32"/>
        <v>174.72000000000003</v>
      </c>
      <c r="O165" s="54">
        <f t="shared" si="33"/>
        <v>1778.1119999999999</v>
      </c>
      <c r="P165" s="54">
        <f t="shared" si="34"/>
        <v>1994.0549999999998</v>
      </c>
    </row>
    <row r="166" spans="2:16" ht="15" customHeight="1" x14ac:dyDescent="0.3">
      <c r="B166" s="164">
        <v>163</v>
      </c>
      <c r="C166" s="165">
        <v>2</v>
      </c>
      <c r="D166" s="165">
        <f t="shared" si="28"/>
        <v>2.1</v>
      </c>
      <c r="E166" s="54">
        <f t="shared" si="26"/>
        <v>4.2</v>
      </c>
      <c r="F166" s="54">
        <f t="shared" si="35"/>
        <v>27.3</v>
      </c>
      <c r="G166" s="54">
        <f t="shared" si="36"/>
        <v>310.8</v>
      </c>
      <c r="H166" s="54">
        <f t="shared" si="29"/>
        <v>342.3</v>
      </c>
      <c r="I166" s="40">
        <f t="shared" si="27"/>
        <v>19.63</v>
      </c>
      <c r="J166" s="40">
        <f t="shared" si="37"/>
        <v>83.2</v>
      </c>
      <c r="K166" s="40">
        <f t="shared" si="38"/>
        <v>852.48</v>
      </c>
      <c r="L166" s="179">
        <f t="shared" si="30"/>
        <v>955.31000000000006</v>
      </c>
      <c r="M166" s="54">
        <f t="shared" si="31"/>
        <v>41.222999999999999</v>
      </c>
      <c r="N166" s="54">
        <f t="shared" si="32"/>
        <v>174.72000000000003</v>
      </c>
      <c r="O166" s="54">
        <f t="shared" si="33"/>
        <v>1790.2080000000001</v>
      </c>
      <c r="P166" s="54">
        <f t="shared" si="34"/>
        <v>2006.1510000000001</v>
      </c>
    </row>
    <row r="167" spans="2:16" ht="15" customHeight="1" x14ac:dyDescent="0.3">
      <c r="B167" s="164">
        <v>164</v>
      </c>
      <c r="C167" s="165">
        <v>1</v>
      </c>
      <c r="D167" s="165">
        <f t="shared" si="28"/>
        <v>1.05</v>
      </c>
      <c r="E167" s="54">
        <f t="shared" si="26"/>
        <v>2.1</v>
      </c>
      <c r="F167" s="54">
        <f t="shared" si="35"/>
        <v>13.65</v>
      </c>
      <c r="G167" s="54">
        <f t="shared" si="36"/>
        <v>156.45000000000002</v>
      </c>
      <c r="H167" s="54">
        <f t="shared" si="29"/>
        <v>172.20000000000002</v>
      </c>
      <c r="I167" s="40">
        <f t="shared" si="27"/>
        <v>19.63</v>
      </c>
      <c r="J167" s="40">
        <f t="shared" si="37"/>
        <v>83.2</v>
      </c>
      <c r="K167" s="40">
        <f t="shared" si="38"/>
        <v>858.24</v>
      </c>
      <c r="L167" s="179">
        <f t="shared" si="30"/>
        <v>961.07</v>
      </c>
      <c r="M167" s="54">
        <f t="shared" si="31"/>
        <v>20.611499999999999</v>
      </c>
      <c r="N167" s="54">
        <f t="shared" si="32"/>
        <v>87.360000000000014</v>
      </c>
      <c r="O167" s="54">
        <f t="shared" si="33"/>
        <v>901.15200000000004</v>
      </c>
      <c r="P167" s="54">
        <f t="shared" si="34"/>
        <v>1009.1235</v>
      </c>
    </row>
    <row r="168" spans="2:16" ht="15" customHeight="1" x14ac:dyDescent="0.3">
      <c r="B168" s="164">
        <v>165</v>
      </c>
      <c r="C168" s="165">
        <v>1</v>
      </c>
      <c r="D168" s="165">
        <f t="shared" si="28"/>
        <v>1.05</v>
      </c>
      <c r="E168" s="54">
        <f t="shared" si="26"/>
        <v>2.1</v>
      </c>
      <c r="F168" s="54">
        <f t="shared" si="35"/>
        <v>13.65</v>
      </c>
      <c r="G168" s="54">
        <f t="shared" si="36"/>
        <v>157.5</v>
      </c>
      <c r="H168" s="54">
        <f t="shared" si="29"/>
        <v>173.25</v>
      </c>
      <c r="I168" s="40">
        <f t="shared" si="27"/>
        <v>19.63</v>
      </c>
      <c r="J168" s="40">
        <f t="shared" si="37"/>
        <v>83.2</v>
      </c>
      <c r="K168" s="40">
        <f t="shared" si="38"/>
        <v>864</v>
      </c>
      <c r="L168" s="179">
        <f t="shared" si="30"/>
        <v>966.83</v>
      </c>
      <c r="M168" s="54">
        <f t="shared" si="31"/>
        <v>20.611499999999999</v>
      </c>
      <c r="N168" s="54">
        <f t="shared" si="32"/>
        <v>87.360000000000014</v>
      </c>
      <c r="O168" s="54">
        <f t="shared" si="33"/>
        <v>907.2</v>
      </c>
      <c r="P168" s="54">
        <f t="shared" si="34"/>
        <v>1015.1715</v>
      </c>
    </row>
    <row r="169" spans="2:16" ht="15" customHeight="1" x14ac:dyDescent="0.3">
      <c r="B169" s="164">
        <v>166</v>
      </c>
      <c r="C169" s="165">
        <v>1</v>
      </c>
      <c r="D169" s="165">
        <f t="shared" si="28"/>
        <v>1.05</v>
      </c>
      <c r="E169" s="54">
        <f t="shared" si="26"/>
        <v>2.1</v>
      </c>
      <c r="F169" s="54">
        <f t="shared" si="35"/>
        <v>13.65</v>
      </c>
      <c r="G169" s="54">
        <f t="shared" si="36"/>
        <v>158.55000000000001</v>
      </c>
      <c r="H169" s="54">
        <f t="shared" si="29"/>
        <v>174.3</v>
      </c>
      <c r="I169" s="40">
        <f t="shared" si="27"/>
        <v>19.63</v>
      </c>
      <c r="J169" s="40">
        <f t="shared" si="37"/>
        <v>83.2</v>
      </c>
      <c r="K169" s="40">
        <f t="shared" si="38"/>
        <v>869.76</v>
      </c>
      <c r="L169" s="179">
        <f t="shared" si="30"/>
        <v>972.59</v>
      </c>
      <c r="M169" s="54">
        <f t="shared" si="31"/>
        <v>20.611499999999999</v>
      </c>
      <c r="N169" s="54">
        <f t="shared" si="32"/>
        <v>87.360000000000014</v>
      </c>
      <c r="O169" s="54">
        <f t="shared" si="33"/>
        <v>913.24800000000005</v>
      </c>
      <c r="P169" s="54">
        <f t="shared" si="34"/>
        <v>1021.2195</v>
      </c>
    </row>
    <row r="170" spans="2:16" ht="15" customHeight="1" x14ac:dyDescent="0.3">
      <c r="B170" s="164">
        <v>167</v>
      </c>
      <c r="C170" s="165">
        <v>1</v>
      </c>
      <c r="D170" s="165">
        <f t="shared" si="28"/>
        <v>1.05</v>
      </c>
      <c r="E170" s="54">
        <f t="shared" si="26"/>
        <v>2.1</v>
      </c>
      <c r="F170" s="54">
        <f t="shared" si="35"/>
        <v>13.65</v>
      </c>
      <c r="G170" s="54">
        <f t="shared" si="36"/>
        <v>159.6</v>
      </c>
      <c r="H170" s="54">
        <f t="shared" si="29"/>
        <v>175.35</v>
      </c>
      <c r="I170" s="40">
        <f t="shared" si="27"/>
        <v>19.63</v>
      </c>
      <c r="J170" s="40">
        <f t="shared" si="37"/>
        <v>83.2</v>
      </c>
      <c r="K170" s="40">
        <f t="shared" si="38"/>
        <v>875.52</v>
      </c>
      <c r="L170" s="179">
        <f t="shared" si="30"/>
        <v>978.35</v>
      </c>
      <c r="M170" s="54">
        <f t="shared" si="31"/>
        <v>20.611499999999999</v>
      </c>
      <c r="N170" s="54">
        <f t="shared" si="32"/>
        <v>87.360000000000014</v>
      </c>
      <c r="O170" s="54">
        <f t="shared" si="33"/>
        <v>919.29600000000005</v>
      </c>
      <c r="P170" s="54">
        <f t="shared" si="34"/>
        <v>1027.2675000000002</v>
      </c>
    </row>
    <row r="171" spans="2:16" ht="15" customHeight="1" x14ac:dyDescent="0.3">
      <c r="B171" s="164">
        <v>168</v>
      </c>
      <c r="C171" s="165">
        <v>2</v>
      </c>
      <c r="D171" s="165">
        <f t="shared" si="28"/>
        <v>2.1</v>
      </c>
      <c r="E171" s="54">
        <f t="shared" si="26"/>
        <v>4.2</v>
      </c>
      <c r="F171" s="54">
        <f t="shared" si="35"/>
        <v>27.3</v>
      </c>
      <c r="G171" s="54">
        <f t="shared" si="36"/>
        <v>321.3</v>
      </c>
      <c r="H171" s="54">
        <f t="shared" si="29"/>
        <v>352.8</v>
      </c>
      <c r="I171" s="40">
        <f t="shared" si="27"/>
        <v>19.63</v>
      </c>
      <c r="J171" s="40">
        <f t="shared" si="37"/>
        <v>83.2</v>
      </c>
      <c r="K171" s="40">
        <f t="shared" si="38"/>
        <v>881.28</v>
      </c>
      <c r="L171" s="179">
        <f t="shared" si="30"/>
        <v>984.11</v>
      </c>
      <c r="M171" s="54">
        <f t="shared" si="31"/>
        <v>41.222999999999999</v>
      </c>
      <c r="N171" s="54">
        <f t="shared" si="32"/>
        <v>174.72000000000003</v>
      </c>
      <c r="O171" s="54">
        <f t="shared" si="33"/>
        <v>1850.6880000000001</v>
      </c>
      <c r="P171" s="54">
        <f t="shared" si="34"/>
        <v>2066.6310000000003</v>
      </c>
    </row>
    <row r="172" spans="2:16" ht="15" customHeight="1" x14ac:dyDescent="0.3">
      <c r="B172" s="164">
        <v>169</v>
      </c>
      <c r="C172" s="165">
        <v>3</v>
      </c>
      <c r="D172" s="165">
        <f t="shared" si="28"/>
        <v>3.1500000000000004</v>
      </c>
      <c r="E172" s="54">
        <f t="shared" si="26"/>
        <v>6.3000000000000007</v>
      </c>
      <c r="F172" s="54">
        <f t="shared" si="35"/>
        <v>40.950000000000003</v>
      </c>
      <c r="G172" s="54">
        <f t="shared" si="36"/>
        <v>485.10000000000008</v>
      </c>
      <c r="H172" s="54">
        <f t="shared" si="29"/>
        <v>532.35000000000014</v>
      </c>
      <c r="I172" s="40">
        <f t="shared" si="27"/>
        <v>19.63</v>
      </c>
      <c r="J172" s="40">
        <f t="shared" si="37"/>
        <v>83.2</v>
      </c>
      <c r="K172" s="40">
        <f t="shared" si="38"/>
        <v>887.04</v>
      </c>
      <c r="L172" s="179">
        <f t="shared" si="30"/>
        <v>989.87</v>
      </c>
      <c r="M172" s="54">
        <f t="shared" si="31"/>
        <v>61.834500000000006</v>
      </c>
      <c r="N172" s="54">
        <f t="shared" si="32"/>
        <v>262.08000000000004</v>
      </c>
      <c r="O172" s="54">
        <f t="shared" si="33"/>
        <v>2794.1760000000004</v>
      </c>
      <c r="P172" s="54">
        <f t="shared" si="34"/>
        <v>3118.0905000000002</v>
      </c>
    </row>
    <row r="173" spans="2:16" ht="15" customHeight="1" x14ac:dyDescent="0.3">
      <c r="B173" s="164">
        <v>171</v>
      </c>
      <c r="C173" s="165">
        <v>1</v>
      </c>
      <c r="D173" s="165">
        <f t="shared" si="28"/>
        <v>1.05</v>
      </c>
      <c r="E173" s="54">
        <f t="shared" si="26"/>
        <v>2.1</v>
      </c>
      <c r="F173" s="54">
        <f t="shared" si="35"/>
        <v>13.65</v>
      </c>
      <c r="G173" s="54">
        <f t="shared" si="36"/>
        <v>163.80000000000001</v>
      </c>
      <c r="H173" s="54">
        <f t="shared" si="29"/>
        <v>179.55</v>
      </c>
      <c r="I173" s="40">
        <f t="shared" si="27"/>
        <v>19.63</v>
      </c>
      <c r="J173" s="40">
        <f t="shared" si="37"/>
        <v>83.2</v>
      </c>
      <c r="K173" s="40">
        <f t="shared" si="38"/>
        <v>898.56</v>
      </c>
      <c r="L173" s="179">
        <f t="shared" si="30"/>
        <v>1001.39</v>
      </c>
      <c r="M173" s="54">
        <f t="shared" si="31"/>
        <v>20.611499999999999</v>
      </c>
      <c r="N173" s="54">
        <f t="shared" si="32"/>
        <v>87.360000000000014</v>
      </c>
      <c r="O173" s="54">
        <f t="shared" si="33"/>
        <v>943.48799999999994</v>
      </c>
      <c r="P173" s="54">
        <f t="shared" si="34"/>
        <v>1051.4594999999999</v>
      </c>
    </row>
    <row r="174" spans="2:16" ht="15" customHeight="1" x14ac:dyDescent="0.3">
      <c r="B174" s="164">
        <v>172</v>
      </c>
      <c r="C174" s="165">
        <v>1</v>
      </c>
      <c r="D174" s="165">
        <f t="shared" si="28"/>
        <v>1.05</v>
      </c>
      <c r="E174" s="54">
        <f t="shared" si="26"/>
        <v>2.1</v>
      </c>
      <c r="F174" s="54">
        <f t="shared" si="35"/>
        <v>13.65</v>
      </c>
      <c r="G174" s="54">
        <f t="shared" si="36"/>
        <v>164.85</v>
      </c>
      <c r="H174" s="54">
        <f t="shared" si="29"/>
        <v>180.6</v>
      </c>
      <c r="I174" s="40">
        <f t="shared" si="27"/>
        <v>19.63</v>
      </c>
      <c r="J174" s="40">
        <f t="shared" si="37"/>
        <v>83.2</v>
      </c>
      <c r="K174" s="40">
        <f t="shared" si="38"/>
        <v>904.31999999999994</v>
      </c>
      <c r="L174" s="179">
        <f t="shared" si="30"/>
        <v>1007.15</v>
      </c>
      <c r="M174" s="54">
        <f t="shared" si="31"/>
        <v>20.611499999999999</v>
      </c>
      <c r="N174" s="54">
        <f t="shared" si="32"/>
        <v>87.360000000000014</v>
      </c>
      <c r="O174" s="54">
        <f t="shared" si="33"/>
        <v>949.53599999999994</v>
      </c>
      <c r="P174" s="54">
        <f t="shared" si="34"/>
        <v>1057.5074999999999</v>
      </c>
    </row>
    <row r="175" spans="2:16" ht="15" customHeight="1" x14ac:dyDescent="0.3">
      <c r="B175" s="164">
        <v>173</v>
      </c>
      <c r="C175" s="165">
        <v>1</v>
      </c>
      <c r="D175" s="165">
        <f t="shared" si="28"/>
        <v>1.05</v>
      </c>
      <c r="E175" s="54">
        <f t="shared" si="26"/>
        <v>2.1</v>
      </c>
      <c r="F175" s="54">
        <f t="shared" si="35"/>
        <v>13.65</v>
      </c>
      <c r="G175" s="54">
        <f t="shared" si="36"/>
        <v>165.9</v>
      </c>
      <c r="H175" s="54">
        <f t="shared" si="29"/>
        <v>181.65</v>
      </c>
      <c r="I175" s="40">
        <f t="shared" si="27"/>
        <v>19.63</v>
      </c>
      <c r="J175" s="40">
        <f t="shared" si="37"/>
        <v>83.2</v>
      </c>
      <c r="K175" s="40">
        <f t="shared" si="38"/>
        <v>910.07999999999993</v>
      </c>
      <c r="L175" s="179">
        <f t="shared" si="30"/>
        <v>1012.91</v>
      </c>
      <c r="M175" s="54">
        <f t="shared" si="31"/>
        <v>20.611499999999999</v>
      </c>
      <c r="N175" s="54">
        <f t="shared" si="32"/>
        <v>87.360000000000014</v>
      </c>
      <c r="O175" s="54">
        <f t="shared" si="33"/>
        <v>955.58399999999995</v>
      </c>
      <c r="P175" s="54">
        <f t="shared" si="34"/>
        <v>1063.5554999999999</v>
      </c>
    </row>
    <row r="176" spans="2:16" ht="15" customHeight="1" x14ac:dyDescent="0.3">
      <c r="B176" s="164">
        <v>174</v>
      </c>
      <c r="C176" s="165">
        <v>1</v>
      </c>
      <c r="D176" s="165">
        <f t="shared" si="28"/>
        <v>1.05</v>
      </c>
      <c r="E176" s="54">
        <f t="shared" si="26"/>
        <v>2.1</v>
      </c>
      <c r="F176" s="54">
        <f t="shared" si="35"/>
        <v>13.65</v>
      </c>
      <c r="G176" s="54">
        <f t="shared" si="36"/>
        <v>166.95000000000002</v>
      </c>
      <c r="H176" s="54">
        <f t="shared" si="29"/>
        <v>182.70000000000002</v>
      </c>
      <c r="I176" s="40">
        <f t="shared" si="27"/>
        <v>19.63</v>
      </c>
      <c r="J176" s="40">
        <f t="shared" si="37"/>
        <v>83.2</v>
      </c>
      <c r="K176" s="40">
        <f t="shared" si="38"/>
        <v>915.83999999999992</v>
      </c>
      <c r="L176" s="179">
        <f t="shared" si="30"/>
        <v>1018.67</v>
      </c>
      <c r="M176" s="54">
        <f t="shared" si="31"/>
        <v>20.611499999999999</v>
      </c>
      <c r="N176" s="54">
        <f t="shared" si="32"/>
        <v>87.360000000000014</v>
      </c>
      <c r="O176" s="54">
        <f t="shared" si="33"/>
        <v>961.63199999999995</v>
      </c>
      <c r="P176" s="54">
        <f t="shared" si="34"/>
        <v>1069.6034999999999</v>
      </c>
    </row>
    <row r="177" spans="2:16" ht="15" customHeight="1" x14ac:dyDescent="0.3">
      <c r="B177" s="164">
        <v>175</v>
      </c>
      <c r="C177" s="165">
        <v>1</v>
      </c>
      <c r="D177" s="165">
        <f t="shared" si="28"/>
        <v>1.05</v>
      </c>
      <c r="E177" s="54">
        <f t="shared" si="26"/>
        <v>2.1</v>
      </c>
      <c r="F177" s="54">
        <f t="shared" si="35"/>
        <v>13.65</v>
      </c>
      <c r="G177" s="54">
        <f t="shared" si="36"/>
        <v>168</v>
      </c>
      <c r="H177" s="54">
        <f t="shared" si="29"/>
        <v>183.75</v>
      </c>
      <c r="I177" s="40">
        <f t="shared" si="27"/>
        <v>19.63</v>
      </c>
      <c r="J177" s="40">
        <f t="shared" si="37"/>
        <v>83.2</v>
      </c>
      <c r="K177" s="40">
        <f t="shared" si="38"/>
        <v>921.59999999999991</v>
      </c>
      <c r="L177" s="179">
        <f t="shared" si="30"/>
        <v>1024.4299999999998</v>
      </c>
      <c r="M177" s="54">
        <f t="shared" si="31"/>
        <v>20.611499999999999</v>
      </c>
      <c r="N177" s="54">
        <f t="shared" si="32"/>
        <v>87.360000000000014</v>
      </c>
      <c r="O177" s="54">
        <f t="shared" si="33"/>
        <v>967.68</v>
      </c>
      <c r="P177" s="54">
        <f t="shared" si="34"/>
        <v>1075.6514999999999</v>
      </c>
    </row>
    <row r="178" spans="2:16" ht="15" customHeight="1" x14ac:dyDescent="0.3">
      <c r="B178" s="164">
        <v>176</v>
      </c>
      <c r="C178" s="165">
        <v>1</v>
      </c>
      <c r="D178" s="165">
        <f t="shared" si="28"/>
        <v>1.05</v>
      </c>
      <c r="E178" s="54">
        <f t="shared" si="26"/>
        <v>2.1</v>
      </c>
      <c r="F178" s="54">
        <f t="shared" si="35"/>
        <v>13.65</v>
      </c>
      <c r="G178" s="54">
        <f t="shared" si="36"/>
        <v>169.05</v>
      </c>
      <c r="H178" s="54">
        <f t="shared" si="29"/>
        <v>184.8</v>
      </c>
      <c r="I178" s="40">
        <f t="shared" si="27"/>
        <v>19.63</v>
      </c>
      <c r="J178" s="40">
        <f t="shared" si="37"/>
        <v>83.2</v>
      </c>
      <c r="K178" s="40">
        <f t="shared" si="38"/>
        <v>927.36</v>
      </c>
      <c r="L178" s="179">
        <f t="shared" si="30"/>
        <v>1030.19</v>
      </c>
      <c r="M178" s="54">
        <f t="shared" si="31"/>
        <v>20.611499999999999</v>
      </c>
      <c r="N178" s="54">
        <f t="shared" si="32"/>
        <v>87.360000000000014</v>
      </c>
      <c r="O178" s="54">
        <f t="shared" si="33"/>
        <v>973.72800000000007</v>
      </c>
      <c r="P178" s="54">
        <f t="shared" si="34"/>
        <v>1081.6995000000002</v>
      </c>
    </row>
    <row r="179" spans="2:16" ht="15" customHeight="1" x14ac:dyDescent="0.3">
      <c r="B179" s="164">
        <v>178</v>
      </c>
      <c r="C179" s="165">
        <v>2</v>
      </c>
      <c r="D179" s="165">
        <f t="shared" si="28"/>
        <v>2.1</v>
      </c>
      <c r="E179" s="54">
        <f t="shared" si="26"/>
        <v>4.2</v>
      </c>
      <c r="F179" s="54">
        <f t="shared" si="35"/>
        <v>27.3</v>
      </c>
      <c r="G179" s="54">
        <f t="shared" si="36"/>
        <v>342.3</v>
      </c>
      <c r="H179" s="54">
        <f t="shared" si="29"/>
        <v>373.8</v>
      </c>
      <c r="I179" s="40">
        <f t="shared" si="27"/>
        <v>19.63</v>
      </c>
      <c r="J179" s="40">
        <f t="shared" si="37"/>
        <v>83.2</v>
      </c>
      <c r="K179" s="40">
        <f t="shared" si="38"/>
        <v>938.88</v>
      </c>
      <c r="L179" s="179">
        <f t="shared" si="30"/>
        <v>1041.71</v>
      </c>
      <c r="M179" s="54">
        <f t="shared" si="31"/>
        <v>41.222999999999999</v>
      </c>
      <c r="N179" s="54">
        <f t="shared" si="32"/>
        <v>174.72000000000003</v>
      </c>
      <c r="O179" s="54">
        <f t="shared" si="33"/>
        <v>1971.6480000000001</v>
      </c>
      <c r="P179" s="54">
        <f t="shared" si="34"/>
        <v>2187.5910000000003</v>
      </c>
    </row>
    <row r="180" spans="2:16" ht="15" customHeight="1" x14ac:dyDescent="0.3">
      <c r="B180" s="164">
        <v>179</v>
      </c>
      <c r="C180" s="165">
        <v>2</v>
      </c>
      <c r="D180" s="165">
        <f t="shared" si="28"/>
        <v>2.1</v>
      </c>
      <c r="E180" s="54">
        <f t="shared" si="26"/>
        <v>4.2</v>
      </c>
      <c r="F180" s="54">
        <f t="shared" si="35"/>
        <v>27.3</v>
      </c>
      <c r="G180" s="54">
        <f t="shared" si="36"/>
        <v>344.40000000000003</v>
      </c>
      <c r="H180" s="54">
        <f t="shared" si="29"/>
        <v>375.90000000000003</v>
      </c>
      <c r="I180" s="40">
        <f t="shared" si="27"/>
        <v>19.63</v>
      </c>
      <c r="J180" s="40">
        <f t="shared" si="37"/>
        <v>83.2</v>
      </c>
      <c r="K180" s="40">
        <f t="shared" si="38"/>
        <v>944.64</v>
      </c>
      <c r="L180" s="179">
        <f t="shared" si="30"/>
        <v>1047.47</v>
      </c>
      <c r="M180" s="54">
        <f t="shared" si="31"/>
        <v>41.222999999999999</v>
      </c>
      <c r="N180" s="54">
        <f t="shared" si="32"/>
        <v>174.72000000000003</v>
      </c>
      <c r="O180" s="54">
        <f t="shared" si="33"/>
        <v>1983.7440000000001</v>
      </c>
      <c r="P180" s="54">
        <f t="shared" si="34"/>
        <v>2199.6870000000004</v>
      </c>
    </row>
    <row r="181" spans="2:16" ht="15" customHeight="1" x14ac:dyDescent="0.3">
      <c r="B181" s="164">
        <v>180</v>
      </c>
      <c r="C181" s="165">
        <v>2</v>
      </c>
      <c r="D181" s="165">
        <f t="shared" si="28"/>
        <v>2.1</v>
      </c>
      <c r="E181" s="54">
        <f t="shared" si="26"/>
        <v>4.2</v>
      </c>
      <c r="F181" s="54">
        <f t="shared" si="35"/>
        <v>27.3</v>
      </c>
      <c r="G181" s="54">
        <f t="shared" si="36"/>
        <v>346.5</v>
      </c>
      <c r="H181" s="54">
        <f t="shared" si="29"/>
        <v>378</v>
      </c>
      <c r="I181" s="40">
        <f t="shared" si="27"/>
        <v>19.63</v>
      </c>
      <c r="J181" s="40">
        <f t="shared" si="37"/>
        <v>83.2</v>
      </c>
      <c r="K181" s="40">
        <f t="shared" si="38"/>
        <v>950.4</v>
      </c>
      <c r="L181" s="179">
        <f t="shared" si="30"/>
        <v>1053.23</v>
      </c>
      <c r="M181" s="54">
        <f t="shared" si="31"/>
        <v>41.222999999999999</v>
      </c>
      <c r="N181" s="54">
        <f t="shared" si="32"/>
        <v>174.72000000000003</v>
      </c>
      <c r="O181" s="54">
        <f t="shared" si="33"/>
        <v>1995.8400000000001</v>
      </c>
      <c r="P181" s="54">
        <f t="shared" si="34"/>
        <v>2211.7830000000004</v>
      </c>
    </row>
    <row r="182" spans="2:16" ht="15" customHeight="1" x14ac:dyDescent="0.3">
      <c r="B182" s="164">
        <v>182</v>
      </c>
      <c r="C182" s="165">
        <v>3</v>
      </c>
      <c r="D182" s="165">
        <f t="shared" si="28"/>
        <v>3.1500000000000004</v>
      </c>
      <c r="E182" s="54">
        <f t="shared" si="26"/>
        <v>6.3000000000000007</v>
      </c>
      <c r="F182" s="54">
        <f t="shared" si="35"/>
        <v>40.950000000000003</v>
      </c>
      <c r="G182" s="54">
        <f t="shared" si="36"/>
        <v>526.05000000000007</v>
      </c>
      <c r="H182" s="54">
        <f t="shared" si="29"/>
        <v>573.30000000000007</v>
      </c>
      <c r="I182" s="40">
        <f t="shared" si="27"/>
        <v>19.63</v>
      </c>
      <c r="J182" s="40">
        <f t="shared" si="37"/>
        <v>83.2</v>
      </c>
      <c r="K182" s="40">
        <f t="shared" si="38"/>
        <v>961.92</v>
      </c>
      <c r="L182" s="179">
        <f t="shared" si="30"/>
        <v>1064.75</v>
      </c>
      <c r="M182" s="54">
        <f t="shared" si="31"/>
        <v>61.834500000000006</v>
      </c>
      <c r="N182" s="54">
        <f t="shared" si="32"/>
        <v>262.08000000000004</v>
      </c>
      <c r="O182" s="54">
        <f t="shared" si="33"/>
        <v>3030.0480000000002</v>
      </c>
      <c r="P182" s="54">
        <f t="shared" si="34"/>
        <v>3353.9625000000001</v>
      </c>
    </row>
    <row r="183" spans="2:16" ht="15" customHeight="1" x14ac:dyDescent="0.3">
      <c r="B183" s="164">
        <v>184</v>
      </c>
      <c r="C183" s="165">
        <v>1</v>
      </c>
      <c r="D183" s="165">
        <f t="shared" si="28"/>
        <v>1.05</v>
      </c>
      <c r="E183" s="54">
        <f t="shared" si="26"/>
        <v>2.1</v>
      </c>
      <c r="F183" s="54">
        <f t="shared" si="35"/>
        <v>13.65</v>
      </c>
      <c r="G183" s="54">
        <f t="shared" si="36"/>
        <v>177.45000000000002</v>
      </c>
      <c r="H183" s="54">
        <f t="shared" si="29"/>
        <v>193.20000000000002</v>
      </c>
      <c r="I183" s="40">
        <f t="shared" si="27"/>
        <v>19.63</v>
      </c>
      <c r="J183" s="40">
        <f t="shared" si="37"/>
        <v>83.2</v>
      </c>
      <c r="K183" s="40">
        <f t="shared" si="38"/>
        <v>973.43999999999994</v>
      </c>
      <c r="L183" s="179">
        <f t="shared" si="30"/>
        <v>1076.27</v>
      </c>
      <c r="M183" s="54">
        <f t="shared" si="31"/>
        <v>20.611499999999999</v>
      </c>
      <c r="N183" s="54">
        <f t="shared" si="32"/>
        <v>87.360000000000014</v>
      </c>
      <c r="O183" s="54">
        <f t="shared" si="33"/>
        <v>1022.112</v>
      </c>
      <c r="P183" s="54">
        <f t="shared" si="34"/>
        <v>1130.0835</v>
      </c>
    </row>
    <row r="184" spans="2:16" ht="15" customHeight="1" x14ac:dyDescent="0.3">
      <c r="B184" s="164">
        <v>186</v>
      </c>
      <c r="C184" s="165">
        <v>1</v>
      </c>
      <c r="D184" s="165">
        <f t="shared" si="28"/>
        <v>1.05</v>
      </c>
      <c r="E184" s="54">
        <f t="shared" si="26"/>
        <v>2.1</v>
      </c>
      <c r="F184" s="54">
        <f t="shared" si="35"/>
        <v>13.65</v>
      </c>
      <c r="G184" s="54">
        <f t="shared" si="36"/>
        <v>179.55</v>
      </c>
      <c r="H184" s="54">
        <f t="shared" si="29"/>
        <v>195.3</v>
      </c>
      <c r="I184" s="40">
        <f t="shared" si="27"/>
        <v>19.63</v>
      </c>
      <c r="J184" s="40">
        <f t="shared" si="37"/>
        <v>83.2</v>
      </c>
      <c r="K184" s="40">
        <f t="shared" si="38"/>
        <v>984.95999999999992</v>
      </c>
      <c r="L184" s="179">
        <f t="shared" si="30"/>
        <v>1087.79</v>
      </c>
      <c r="M184" s="54">
        <f t="shared" si="31"/>
        <v>20.611499999999999</v>
      </c>
      <c r="N184" s="54">
        <f t="shared" si="32"/>
        <v>87.360000000000014</v>
      </c>
      <c r="O184" s="54">
        <f t="shared" si="33"/>
        <v>1034.2079999999999</v>
      </c>
      <c r="P184" s="54">
        <f t="shared" si="34"/>
        <v>1142.1795</v>
      </c>
    </row>
    <row r="185" spans="2:16" ht="15" customHeight="1" x14ac:dyDescent="0.3">
      <c r="B185" s="164">
        <v>187</v>
      </c>
      <c r="C185" s="165">
        <v>1</v>
      </c>
      <c r="D185" s="165">
        <f t="shared" si="28"/>
        <v>1.05</v>
      </c>
      <c r="E185" s="54">
        <f t="shared" si="26"/>
        <v>2.1</v>
      </c>
      <c r="F185" s="54">
        <f t="shared" si="35"/>
        <v>13.65</v>
      </c>
      <c r="G185" s="54">
        <f t="shared" si="36"/>
        <v>180.6</v>
      </c>
      <c r="H185" s="54">
        <f t="shared" si="29"/>
        <v>196.35</v>
      </c>
      <c r="I185" s="40">
        <f t="shared" si="27"/>
        <v>19.63</v>
      </c>
      <c r="J185" s="40">
        <f t="shared" si="37"/>
        <v>83.2</v>
      </c>
      <c r="K185" s="40">
        <f t="shared" si="38"/>
        <v>990.71999999999991</v>
      </c>
      <c r="L185" s="179">
        <f t="shared" si="30"/>
        <v>1093.55</v>
      </c>
      <c r="M185" s="54">
        <f t="shared" si="31"/>
        <v>20.611499999999999</v>
      </c>
      <c r="N185" s="54">
        <f t="shared" si="32"/>
        <v>87.360000000000014</v>
      </c>
      <c r="O185" s="54">
        <f t="shared" si="33"/>
        <v>1040.2559999999999</v>
      </c>
      <c r="P185" s="54">
        <f t="shared" si="34"/>
        <v>1148.2275</v>
      </c>
    </row>
    <row r="186" spans="2:16" ht="15" customHeight="1" x14ac:dyDescent="0.3">
      <c r="B186" s="164">
        <v>188</v>
      </c>
      <c r="C186" s="165">
        <v>2</v>
      </c>
      <c r="D186" s="165">
        <f t="shared" si="28"/>
        <v>2.1</v>
      </c>
      <c r="E186" s="54">
        <f t="shared" si="26"/>
        <v>4.2</v>
      </c>
      <c r="F186" s="54">
        <f t="shared" si="35"/>
        <v>27.3</v>
      </c>
      <c r="G186" s="54">
        <f t="shared" si="36"/>
        <v>363.3</v>
      </c>
      <c r="H186" s="54">
        <f t="shared" si="29"/>
        <v>394.8</v>
      </c>
      <c r="I186" s="40">
        <f t="shared" si="27"/>
        <v>19.63</v>
      </c>
      <c r="J186" s="40">
        <f t="shared" si="37"/>
        <v>83.2</v>
      </c>
      <c r="K186" s="40">
        <f t="shared" si="38"/>
        <v>996.48</v>
      </c>
      <c r="L186" s="179">
        <f t="shared" si="30"/>
        <v>1099.31</v>
      </c>
      <c r="M186" s="54">
        <f t="shared" si="31"/>
        <v>41.222999999999999</v>
      </c>
      <c r="N186" s="54">
        <f t="shared" si="32"/>
        <v>174.72000000000003</v>
      </c>
      <c r="O186" s="54">
        <f t="shared" si="33"/>
        <v>2092.6080000000002</v>
      </c>
      <c r="P186" s="54">
        <f t="shared" si="34"/>
        <v>2308.5510000000004</v>
      </c>
    </row>
    <row r="187" spans="2:16" ht="15" customHeight="1" x14ac:dyDescent="0.3">
      <c r="B187" s="164">
        <v>189</v>
      </c>
      <c r="C187" s="165">
        <v>1</v>
      </c>
      <c r="D187" s="165">
        <f t="shared" si="28"/>
        <v>1.05</v>
      </c>
      <c r="E187" s="54">
        <f t="shared" si="26"/>
        <v>2.1</v>
      </c>
      <c r="F187" s="54">
        <f t="shared" si="35"/>
        <v>13.65</v>
      </c>
      <c r="G187" s="54">
        <f t="shared" si="36"/>
        <v>182.70000000000002</v>
      </c>
      <c r="H187" s="54">
        <f t="shared" si="29"/>
        <v>198.45000000000002</v>
      </c>
      <c r="I187" s="40">
        <f t="shared" si="27"/>
        <v>19.63</v>
      </c>
      <c r="J187" s="40">
        <f t="shared" si="37"/>
        <v>83.2</v>
      </c>
      <c r="K187" s="40">
        <f t="shared" si="38"/>
        <v>1002.24</v>
      </c>
      <c r="L187" s="179">
        <f t="shared" si="30"/>
        <v>1105.07</v>
      </c>
      <c r="M187" s="54">
        <f t="shared" si="31"/>
        <v>20.611499999999999</v>
      </c>
      <c r="N187" s="54">
        <f t="shared" si="32"/>
        <v>87.360000000000014</v>
      </c>
      <c r="O187" s="54">
        <f t="shared" si="33"/>
        <v>1052.3520000000001</v>
      </c>
      <c r="P187" s="54">
        <f t="shared" si="34"/>
        <v>1160.3235000000002</v>
      </c>
    </row>
    <row r="188" spans="2:16" ht="15" customHeight="1" x14ac:dyDescent="0.3">
      <c r="B188" s="164">
        <v>194</v>
      </c>
      <c r="C188" s="165">
        <v>1</v>
      </c>
      <c r="D188" s="165">
        <f t="shared" si="28"/>
        <v>1.05</v>
      </c>
      <c r="E188" s="54">
        <f t="shared" si="26"/>
        <v>2.1</v>
      </c>
      <c r="F188" s="54">
        <f t="shared" si="35"/>
        <v>13.65</v>
      </c>
      <c r="G188" s="54">
        <f t="shared" si="36"/>
        <v>187.95000000000002</v>
      </c>
      <c r="H188" s="54">
        <f t="shared" si="29"/>
        <v>203.70000000000002</v>
      </c>
      <c r="I188" s="40">
        <f t="shared" si="27"/>
        <v>19.63</v>
      </c>
      <c r="J188" s="40">
        <f t="shared" si="37"/>
        <v>83.2</v>
      </c>
      <c r="K188" s="40">
        <f t="shared" si="38"/>
        <v>1031.04</v>
      </c>
      <c r="L188" s="179">
        <f t="shared" si="30"/>
        <v>1133.8699999999999</v>
      </c>
      <c r="M188" s="54">
        <f t="shared" si="31"/>
        <v>20.611499999999999</v>
      </c>
      <c r="N188" s="54">
        <f t="shared" si="32"/>
        <v>87.360000000000014</v>
      </c>
      <c r="O188" s="54">
        <f t="shared" si="33"/>
        <v>1082.5920000000001</v>
      </c>
      <c r="P188" s="54">
        <f t="shared" si="34"/>
        <v>1190.5635000000002</v>
      </c>
    </row>
    <row r="189" spans="2:16" ht="15" customHeight="1" x14ac:dyDescent="0.3">
      <c r="B189" s="164">
        <v>197</v>
      </c>
      <c r="C189" s="165">
        <v>1</v>
      </c>
      <c r="D189" s="165">
        <f t="shared" si="28"/>
        <v>1.05</v>
      </c>
      <c r="E189" s="54">
        <f t="shared" si="26"/>
        <v>2.1</v>
      </c>
      <c r="F189" s="54">
        <f t="shared" si="35"/>
        <v>13.65</v>
      </c>
      <c r="G189" s="54">
        <f t="shared" si="36"/>
        <v>191.1</v>
      </c>
      <c r="H189" s="54">
        <f t="shared" si="29"/>
        <v>206.85</v>
      </c>
      <c r="I189" s="40">
        <f t="shared" si="27"/>
        <v>19.63</v>
      </c>
      <c r="J189" s="40">
        <f t="shared" si="37"/>
        <v>83.2</v>
      </c>
      <c r="K189" s="40">
        <f t="shared" si="38"/>
        <v>1048.32</v>
      </c>
      <c r="L189" s="179">
        <f t="shared" si="30"/>
        <v>1151.1499999999999</v>
      </c>
      <c r="M189" s="54">
        <f t="shared" si="31"/>
        <v>20.611499999999999</v>
      </c>
      <c r="N189" s="54">
        <f t="shared" si="32"/>
        <v>87.360000000000014</v>
      </c>
      <c r="O189" s="54">
        <f t="shared" si="33"/>
        <v>1100.7359999999999</v>
      </c>
      <c r="P189" s="54">
        <f t="shared" si="34"/>
        <v>1208.7075</v>
      </c>
    </row>
    <row r="190" spans="2:16" ht="15" customHeight="1" x14ac:dyDescent="0.3">
      <c r="B190" s="164">
        <v>199</v>
      </c>
      <c r="C190" s="165">
        <v>1</v>
      </c>
      <c r="D190" s="165">
        <f t="shared" si="28"/>
        <v>1.05</v>
      </c>
      <c r="E190" s="54">
        <f t="shared" si="26"/>
        <v>2.1</v>
      </c>
      <c r="F190" s="54">
        <f t="shared" si="35"/>
        <v>13.65</v>
      </c>
      <c r="G190" s="54">
        <f t="shared" si="36"/>
        <v>193.20000000000002</v>
      </c>
      <c r="H190" s="54">
        <f t="shared" si="29"/>
        <v>208.95000000000002</v>
      </c>
      <c r="I190" s="40">
        <f t="shared" si="27"/>
        <v>19.63</v>
      </c>
      <c r="J190" s="40">
        <f t="shared" si="37"/>
        <v>83.2</v>
      </c>
      <c r="K190" s="40">
        <f t="shared" si="38"/>
        <v>1059.8399999999999</v>
      </c>
      <c r="L190" s="179">
        <f t="shared" si="30"/>
        <v>1162.6699999999998</v>
      </c>
      <c r="M190" s="54">
        <f t="shared" si="31"/>
        <v>20.611499999999999</v>
      </c>
      <c r="N190" s="54">
        <f t="shared" si="32"/>
        <v>87.360000000000014</v>
      </c>
      <c r="O190" s="54">
        <f t="shared" si="33"/>
        <v>1112.8319999999999</v>
      </c>
      <c r="P190" s="54">
        <f t="shared" si="34"/>
        <v>1220.8035</v>
      </c>
    </row>
    <row r="191" spans="2:16" ht="15" customHeight="1" x14ac:dyDescent="0.3">
      <c r="B191" s="164">
        <v>204</v>
      </c>
      <c r="C191" s="165">
        <v>2</v>
      </c>
      <c r="D191" s="165">
        <f t="shared" si="28"/>
        <v>2.1</v>
      </c>
      <c r="E191" s="54">
        <f t="shared" si="26"/>
        <v>4.2</v>
      </c>
      <c r="F191" s="54">
        <f t="shared" si="35"/>
        <v>27.3</v>
      </c>
      <c r="G191" s="54">
        <f t="shared" si="36"/>
        <v>396.90000000000003</v>
      </c>
      <c r="H191" s="54">
        <f t="shared" si="29"/>
        <v>428.40000000000003</v>
      </c>
      <c r="I191" s="40">
        <f t="shared" si="27"/>
        <v>19.63</v>
      </c>
      <c r="J191" s="40">
        <f t="shared" si="37"/>
        <v>83.2</v>
      </c>
      <c r="K191" s="40">
        <f t="shared" si="38"/>
        <v>1088.6399999999999</v>
      </c>
      <c r="L191" s="179">
        <f t="shared" si="30"/>
        <v>1191.4699999999998</v>
      </c>
      <c r="M191" s="54">
        <f t="shared" si="31"/>
        <v>41.222999999999999</v>
      </c>
      <c r="N191" s="54">
        <f t="shared" si="32"/>
        <v>174.72000000000003</v>
      </c>
      <c r="O191" s="54">
        <f t="shared" si="33"/>
        <v>2286.1439999999998</v>
      </c>
      <c r="P191" s="54">
        <f t="shared" si="34"/>
        <v>2502.087</v>
      </c>
    </row>
    <row r="192" spans="2:16" ht="15" customHeight="1" x14ac:dyDescent="0.3">
      <c r="B192" s="164">
        <v>206</v>
      </c>
      <c r="C192" s="165">
        <v>1</v>
      </c>
      <c r="D192" s="165">
        <f t="shared" si="28"/>
        <v>1.05</v>
      </c>
      <c r="E192" s="54">
        <f t="shared" si="26"/>
        <v>2.1</v>
      </c>
      <c r="F192" s="54">
        <f t="shared" si="35"/>
        <v>13.65</v>
      </c>
      <c r="G192" s="54">
        <f t="shared" si="36"/>
        <v>200.55</v>
      </c>
      <c r="H192" s="54">
        <f t="shared" si="29"/>
        <v>216.3</v>
      </c>
      <c r="I192" s="40">
        <f t="shared" si="27"/>
        <v>19.63</v>
      </c>
      <c r="J192" s="40">
        <f t="shared" si="37"/>
        <v>83.2</v>
      </c>
      <c r="K192" s="40">
        <f t="shared" si="38"/>
        <v>1100.1599999999999</v>
      </c>
      <c r="L192" s="179">
        <f t="shared" si="30"/>
        <v>1202.9899999999998</v>
      </c>
      <c r="M192" s="54">
        <f t="shared" si="31"/>
        <v>20.611499999999999</v>
      </c>
      <c r="N192" s="54">
        <f t="shared" si="32"/>
        <v>87.360000000000014</v>
      </c>
      <c r="O192" s="54">
        <f t="shared" si="33"/>
        <v>1155.1679999999999</v>
      </c>
      <c r="P192" s="54">
        <f t="shared" si="34"/>
        <v>1263.1395</v>
      </c>
    </row>
    <row r="193" spans="2:16" ht="15" customHeight="1" x14ac:dyDescent="0.3">
      <c r="B193" s="164">
        <v>207</v>
      </c>
      <c r="C193" s="165">
        <v>1</v>
      </c>
      <c r="D193" s="165">
        <f t="shared" si="28"/>
        <v>1.05</v>
      </c>
      <c r="E193" s="54">
        <f t="shared" si="26"/>
        <v>2.1</v>
      </c>
      <c r="F193" s="54">
        <f t="shared" si="35"/>
        <v>13.65</v>
      </c>
      <c r="G193" s="54">
        <f t="shared" si="36"/>
        <v>201.60000000000002</v>
      </c>
      <c r="H193" s="54">
        <f t="shared" si="29"/>
        <v>217.35000000000002</v>
      </c>
      <c r="I193" s="40">
        <f t="shared" si="27"/>
        <v>19.63</v>
      </c>
      <c r="J193" s="40">
        <f t="shared" si="37"/>
        <v>83.2</v>
      </c>
      <c r="K193" s="40">
        <f t="shared" si="38"/>
        <v>1105.92</v>
      </c>
      <c r="L193" s="179">
        <f t="shared" si="30"/>
        <v>1208.75</v>
      </c>
      <c r="M193" s="54">
        <f t="shared" si="31"/>
        <v>20.611499999999999</v>
      </c>
      <c r="N193" s="54">
        <f t="shared" si="32"/>
        <v>87.360000000000014</v>
      </c>
      <c r="O193" s="54">
        <f t="shared" si="33"/>
        <v>1161.2160000000001</v>
      </c>
      <c r="P193" s="54">
        <f t="shared" si="34"/>
        <v>1269.1875000000002</v>
      </c>
    </row>
    <row r="194" spans="2:16" ht="15" customHeight="1" x14ac:dyDescent="0.3">
      <c r="B194" s="164">
        <v>211</v>
      </c>
      <c r="C194" s="165">
        <v>1</v>
      </c>
      <c r="D194" s="165">
        <f t="shared" si="28"/>
        <v>1.05</v>
      </c>
      <c r="E194" s="54">
        <f t="shared" si="26"/>
        <v>2.1</v>
      </c>
      <c r="F194" s="54">
        <f t="shared" si="35"/>
        <v>13.65</v>
      </c>
      <c r="G194" s="54">
        <f t="shared" si="36"/>
        <v>205.8</v>
      </c>
      <c r="H194" s="54">
        <f t="shared" si="29"/>
        <v>221.55</v>
      </c>
      <c r="I194" s="40">
        <f t="shared" si="27"/>
        <v>19.63</v>
      </c>
      <c r="J194" s="40">
        <f t="shared" si="37"/>
        <v>83.2</v>
      </c>
      <c r="K194" s="40">
        <f t="shared" si="38"/>
        <v>1128.96</v>
      </c>
      <c r="L194" s="179">
        <f t="shared" si="30"/>
        <v>1231.79</v>
      </c>
      <c r="M194" s="54">
        <f t="shared" si="31"/>
        <v>20.611499999999999</v>
      </c>
      <c r="N194" s="54">
        <f t="shared" si="32"/>
        <v>87.360000000000014</v>
      </c>
      <c r="O194" s="54">
        <f t="shared" si="33"/>
        <v>1185.4080000000001</v>
      </c>
      <c r="P194" s="54">
        <f t="shared" si="34"/>
        <v>1293.3795000000002</v>
      </c>
    </row>
    <row r="195" spans="2:16" ht="15" customHeight="1" x14ac:dyDescent="0.3">
      <c r="B195" s="164">
        <v>212</v>
      </c>
      <c r="C195" s="165">
        <v>1</v>
      </c>
      <c r="D195" s="165">
        <f t="shared" si="28"/>
        <v>1.05</v>
      </c>
      <c r="E195" s="54">
        <f t="shared" si="26"/>
        <v>2.1</v>
      </c>
      <c r="F195" s="54">
        <f t="shared" si="35"/>
        <v>13.65</v>
      </c>
      <c r="G195" s="54">
        <f t="shared" si="36"/>
        <v>206.85000000000002</v>
      </c>
      <c r="H195" s="54">
        <f t="shared" si="29"/>
        <v>222.60000000000002</v>
      </c>
      <c r="I195" s="40">
        <f t="shared" si="27"/>
        <v>19.63</v>
      </c>
      <c r="J195" s="40">
        <f t="shared" si="37"/>
        <v>83.2</v>
      </c>
      <c r="K195" s="40">
        <f t="shared" si="38"/>
        <v>1134.72</v>
      </c>
      <c r="L195" s="179">
        <f t="shared" si="30"/>
        <v>1237.55</v>
      </c>
      <c r="M195" s="54">
        <f t="shared" si="31"/>
        <v>20.611499999999999</v>
      </c>
      <c r="N195" s="54">
        <f t="shared" si="32"/>
        <v>87.360000000000014</v>
      </c>
      <c r="O195" s="54">
        <f t="shared" si="33"/>
        <v>1191.4560000000001</v>
      </c>
      <c r="P195" s="54">
        <f t="shared" si="34"/>
        <v>1299.4275000000002</v>
      </c>
    </row>
    <row r="196" spans="2:16" ht="15" customHeight="1" x14ac:dyDescent="0.3">
      <c r="B196" s="164">
        <v>216</v>
      </c>
      <c r="C196" s="165">
        <v>1</v>
      </c>
      <c r="D196" s="165">
        <f t="shared" si="28"/>
        <v>1.05</v>
      </c>
      <c r="E196" s="54">
        <f t="shared" si="26"/>
        <v>2.1</v>
      </c>
      <c r="F196" s="54">
        <f t="shared" si="35"/>
        <v>13.65</v>
      </c>
      <c r="G196" s="54">
        <f t="shared" si="36"/>
        <v>211.05</v>
      </c>
      <c r="H196" s="54">
        <f t="shared" si="29"/>
        <v>226.8</v>
      </c>
      <c r="I196" s="40">
        <f t="shared" si="27"/>
        <v>19.63</v>
      </c>
      <c r="J196" s="40">
        <f t="shared" si="37"/>
        <v>83.2</v>
      </c>
      <c r="K196" s="40">
        <f t="shared" si="38"/>
        <v>1157.76</v>
      </c>
      <c r="L196" s="179">
        <f t="shared" si="30"/>
        <v>1260.5899999999999</v>
      </c>
      <c r="M196" s="54">
        <f t="shared" si="31"/>
        <v>20.611499999999999</v>
      </c>
      <c r="N196" s="54">
        <f t="shared" si="32"/>
        <v>87.360000000000014</v>
      </c>
      <c r="O196" s="54">
        <f t="shared" si="33"/>
        <v>1215.6480000000001</v>
      </c>
      <c r="P196" s="54">
        <f t="shared" si="34"/>
        <v>1323.6195000000002</v>
      </c>
    </row>
    <row r="197" spans="2:16" ht="15" customHeight="1" x14ac:dyDescent="0.3">
      <c r="B197" s="164">
        <v>219</v>
      </c>
      <c r="C197" s="165">
        <v>2</v>
      </c>
      <c r="D197" s="165">
        <f t="shared" si="28"/>
        <v>2.1</v>
      </c>
      <c r="E197" s="54">
        <f t="shared" si="26"/>
        <v>4.2</v>
      </c>
      <c r="F197" s="54">
        <f t="shared" si="35"/>
        <v>27.3</v>
      </c>
      <c r="G197" s="54">
        <f t="shared" si="36"/>
        <v>428.40000000000003</v>
      </c>
      <c r="H197" s="54">
        <f t="shared" si="29"/>
        <v>459.90000000000003</v>
      </c>
      <c r="I197" s="40">
        <f t="shared" si="27"/>
        <v>19.63</v>
      </c>
      <c r="J197" s="40">
        <f t="shared" si="37"/>
        <v>83.2</v>
      </c>
      <c r="K197" s="40">
        <f t="shared" si="38"/>
        <v>1175.04</v>
      </c>
      <c r="L197" s="179">
        <f t="shared" si="30"/>
        <v>1277.8699999999999</v>
      </c>
      <c r="M197" s="54">
        <f t="shared" si="31"/>
        <v>41.222999999999999</v>
      </c>
      <c r="N197" s="54">
        <f t="shared" si="32"/>
        <v>174.72000000000003</v>
      </c>
      <c r="O197" s="54">
        <f t="shared" si="33"/>
        <v>2467.5839999999998</v>
      </c>
      <c r="P197" s="54">
        <f t="shared" si="34"/>
        <v>2683.527</v>
      </c>
    </row>
    <row r="198" spans="2:16" ht="15" customHeight="1" x14ac:dyDescent="0.3">
      <c r="B198" s="164">
        <v>220</v>
      </c>
      <c r="C198" s="165">
        <v>1</v>
      </c>
      <c r="D198" s="165">
        <f t="shared" si="28"/>
        <v>1.05</v>
      </c>
      <c r="E198" s="54">
        <f t="shared" si="26"/>
        <v>2.1</v>
      </c>
      <c r="F198" s="54">
        <f t="shared" si="35"/>
        <v>13.65</v>
      </c>
      <c r="G198" s="54">
        <f t="shared" si="36"/>
        <v>215.25</v>
      </c>
      <c r="H198" s="54">
        <f t="shared" si="29"/>
        <v>231</v>
      </c>
      <c r="I198" s="40">
        <f t="shared" si="27"/>
        <v>19.63</v>
      </c>
      <c r="J198" s="40">
        <f t="shared" si="37"/>
        <v>83.2</v>
      </c>
      <c r="K198" s="40">
        <f t="shared" si="38"/>
        <v>1180.8</v>
      </c>
      <c r="L198" s="179">
        <f t="shared" si="30"/>
        <v>1283.6299999999999</v>
      </c>
      <c r="M198" s="54">
        <f t="shared" si="31"/>
        <v>20.611499999999999</v>
      </c>
      <c r="N198" s="54">
        <f t="shared" si="32"/>
        <v>87.360000000000014</v>
      </c>
      <c r="O198" s="54">
        <f t="shared" si="33"/>
        <v>1239.8399999999999</v>
      </c>
      <c r="P198" s="54">
        <f t="shared" si="34"/>
        <v>1347.8115</v>
      </c>
    </row>
    <row r="199" spans="2:16" ht="15" customHeight="1" x14ac:dyDescent="0.3">
      <c r="B199" s="164">
        <v>221</v>
      </c>
      <c r="C199" s="165">
        <v>1</v>
      </c>
      <c r="D199" s="165">
        <f t="shared" si="28"/>
        <v>1.05</v>
      </c>
      <c r="E199" s="54">
        <f t="shared" si="26"/>
        <v>2.1</v>
      </c>
      <c r="F199" s="54">
        <f t="shared" si="35"/>
        <v>13.65</v>
      </c>
      <c r="G199" s="54">
        <f t="shared" si="36"/>
        <v>216.3</v>
      </c>
      <c r="H199" s="54">
        <f t="shared" si="29"/>
        <v>232.05</v>
      </c>
      <c r="I199" s="40">
        <f t="shared" si="27"/>
        <v>19.63</v>
      </c>
      <c r="J199" s="40">
        <f t="shared" si="37"/>
        <v>83.2</v>
      </c>
      <c r="K199" s="40">
        <f t="shared" si="38"/>
        <v>1186.56</v>
      </c>
      <c r="L199" s="179">
        <f t="shared" si="30"/>
        <v>1289.3899999999999</v>
      </c>
      <c r="M199" s="54">
        <f t="shared" si="31"/>
        <v>20.611499999999999</v>
      </c>
      <c r="N199" s="54">
        <f t="shared" si="32"/>
        <v>87.360000000000014</v>
      </c>
      <c r="O199" s="54">
        <f t="shared" si="33"/>
        <v>1245.8879999999999</v>
      </c>
      <c r="P199" s="54">
        <f t="shared" si="34"/>
        <v>1353.8595</v>
      </c>
    </row>
    <row r="200" spans="2:16" ht="15" customHeight="1" x14ac:dyDescent="0.3">
      <c r="B200" s="164">
        <v>222</v>
      </c>
      <c r="C200" s="165">
        <v>1</v>
      </c>
      <c r="D200" s="165">
        <f t="shared" si="28"/>
        <v>1.05</v>
      </c>
      <c r="E200" s="54">
        <f t="shared" si="26"/>
        <v>2.1</v>
      </c>
      <c r="F200" s="54">
        <f t="shared" si="35"/>
        <v>13.65</v>
      </c>
      <c r="G200" s="54">
        <f t="shared" si="36"/>
        <v>217.35000000000002</v>
      </c>
      <c r="H200" s="54">
        <f t="shared" si="29"/>
        <v>233.10000000000002</v>
      </c>
      <c r="I200" s="40">
        <f t="shared" si="27"/>
        <v>19.63</v>
      </c>
      <c r="J200" s="40">
        <f t="shared" si="37"/>
        <v>83.2</v>
      </c>
      <c r="K200" s="40">
        <f t="shared" si="38"/>
        <v>1192.32</v>
      </c>
      <c r="L200" s="179">
        <f t="shared" si="30"/>
        <v>1295.1499999999999</v>
      </c>
      <c r="M200" s="54">
        <f t="shared" si="31"/>
        <v>20.611499999999999</v>
      </c>
      <c r="N200" s="54">
        <f t="shared" si="32"/>
        <v>87.360000000000014</v>
      </c>
      <c r="O200" s="54">
        <f t="shared" si="33"/>
        <v>1251.9359999999999</v>
      </c>
      <c r="P200" s="54">
        <f t="shared" si="34"/>
        <v>1359.9075</v>
      </c>
    </row>
    <row r="201" spans="2:16" ht="15" customHeight="1" x14ac:dyDescent="0.3">
      <c r="B201" s="164">
        <v>226</v>
      </c>
      <c r="C201" s="165">
        <v>2</v>
      </c>
      <c r="D201" s="165">
        <f t="shared" si="28"/>
        <v>2.1</v>
      </c>
      <c r="E201" s="54">
        <f t="shared" si="26"/>
        <v>4.2</v>
      </c>
      <c r="F201" s="54">
        <f t="shared" si="35"/>
        <v>27.3</v>
      </c>
      <c r="G201" s="54">
        <f t="shared" si="36"/>
        <v>443.1</v>
      </c>
      <c r="H201" s="54">
        <f t="shared" si="29"/>
        <v>474.6</v>
      </c>
      <c r="I201" s="40">
        <f t="shared" si="27"/>
        <v>19.63</v>
      </c>
      <c r="J201" s="40">
        <f t="shared" si="37"/>
        <v>83.2</v>
      </c>
      <c r="K201" s="40">
        <f t="shared" si="38"/>
        <v>1215.3599999999999</v>
      </c>
      <c r="L201" s="179">
        <f t="shared" si="30"/>
        <v>1318.1899999999998</v>
      </c>
      <c r="M201" s="54">
        <f t="shared" si="31"/>
        <v>41.222999999999999</v>
      </c>
      <c r="N201" s="54">
        <f t="shared" si="32"/>
        <v>174.72000000000003</v>
      </c>
      <c r="O201" s="54">
        <f t="shared" si="33"/>
        <v>2552.2559999999999</v>
      </c>
      <c r="P201" s="54">
        <f t="shared" si="34"/>
        <v>2768.1990000000001</v>
      </c>
    </row>
    <row r="202" spans="2:16" ht="15" customHeight="1" x14ac:dyDescent="0.3">
      <c r="B202" s="164">
        <v>229</v>
      </c>
      <c r="C202" s="165">
        <v>1</v>
      </c>
      <c r="D202" s="165">
        <f t="shared" si="28"/>
        <v>1.05</v>
      </c>
      <c r="E202" s="54">
        <f t="shared" si="26"/>
        <v>2.1</v>
      </c>
      <c r="F202" s="54">
        <f t="shared" si="35"/>
        <v>13.65</v>
      </c>
      <c r="G202" s="54">
        <f t="shared" si="36"/>
        <v>224.70000000000002</v>
      </c>
      <c r="H202" s="54">
        <f t="shared" si="29"/>
        <v>240.45000000000002</v>
      </c>
      <c r="I202" s="40">
        <f t="shared" si="27"/>
        <v>19.63</v>
      </c>
      <c r="J202" s="40">
        <f t="shared" si="37"/>
        <v>83.2</v>
      </c>
      <c r="K202" s="40">
        <f t="shared" si="38"/>
        <v>1232.6399999999999</v>
      </c>
      <c r="L202" s="179">
        <f t="shared" si="30"/>
        <v>1335.4699999999998</v>
      </c>
      <c r="M202" s="54">
        <f t="shared" si="31"/>
        <v>20.611499999999999</v>
      </c>
      <c r="N202" s="54">
        <f t="shared" si="32"/>
        <v>87.360000000000014</v>
      </c>
      <c r="O202" s="54">
        <f t="shared" si="33"/>
        <v>1294.2719999999999</v>
      </c>
      <c r="P202" s="54">
        <f t="shared" si="34"/>
        <v>1402.2435</v>
      </c>
    </row>
    <row r="203" spans="2:16" ht="15" customHeight="1" x14ac:dyDescent="0.3">
      <c r="B203" s="164">
        <v>231</v>
      </c>
      <c r="C203" s="165">
        <v>1</v>
      </c>
      <c r="D203" s="165">
        <f t="shared" si="28"/>
        <v>1.05</v>
      </c>
      <c r="E203" s="54">
        <f t="shared" si="26"/>
        <v>2.1</v>
      </c>
      <c r="F203" s="54">
        <f t="shared" si="35"/>
        <v>13.65</v>
      </c>
      <c r="G203" s="54">
        <f t="shared" si="36"/>
        <v>226.8</v>
      </c>
      <c r="H203" s="54">
        <f t="shared" si="29"/>
        <v>242.55</v>
      </c>
      <c r="I203" s="40">
        <f t="shared" si="27"/>
        <v>19.63</v>
      </c>
      <c r="J203" s="40">
        <f t="shared" si="37"/>
        <v>83.2</v>
      </c>
      <c r="K203" s="40">
        <f t="shared" si="38"/>
        <v>1244.1599999999999</v>
      </c>
      <c r="L203" s="179">
        <f t="shared" si="30"/>
        <v>1346.9899999999998</v>
      </c>
      <c r="M203" s="54">
        <f t="shared" si="31"/>
        <v>20.611499999999999</v>
      </c>
      <c r="N203" s="54">
        <f t="shared" si="32"/>
        <v>87.360000000000014</v>
      </c>
      <c r="O203" s="54">
        <f t="shared" si="33"/>
        <v>1306.3679999999999</v>
      </c>
      <c r="P203" s="54">
        <f t="shared" si="34"/>
        <v>1414.3395</v>
      </c>
    </row>
    <row r="204" spans="2:16" ht="15" customHeight="1" x14ac:dyDescent="0.3">
      <c r="B204" s="164">
        <v>232</v>
      </c>
      <c r="C204" s="165">
        <v>1</v>
      </c>
      <c r="D204" s="165">
        <f t="shared" si="28"/>
        <v>1.05</v>
      </c>
      <c r="E204" s="54">
        <f t="shared" si="26"/>
        <v>2.1</v>
      </c>
      <c r="F204" s="54">
        <f t="shared" si="35"/>
        <v>13.65</v>
      </c>
      <c r="G204" s="54">
        <f t="shared" si="36"/>
        <v>227.85000000000002</v>
      </c>
      <c r="H204" s="54">
        <f t="shared" si="29"/>
        <v>243.60000000000002</v>
      </c>
      <c r="I204" s="40">
        <f t="shared" si="27"/>
        <v>19.63</v>
      </c>
      <c r="J204" s="40">
        <f t="shared" si="37"/>
        <v>83.2</v>
      </c>
      <c r="K204" s="40">
        <f t="shared" si="38"/>
        <v>1249.9199999999998</v>
      </c>
      <c r="L204" s="179">
        <f t="shared" si="30"/>
        <v>1352.7499999999998</v>
      </c>
      <c r="M204" s="54">
        <f t="shared" si="31"/>
        <v>20.611499999999999</v>
      </c>
      <c r="N204" s="54">
        <f t="shared" si="32"/>
        <v>87.360000000000014</v>
      </c>
      <c r="O204" s="54">
        <f t="shared" si="33"/>
        <v>1312.4159999999999</v>
      </c>
      <c r="P204" s="54">
        <f t="shared" si="34"/>
        <v>1420.3875</v>
      </c>
    </row>
    <row r="205" spans="2:16" ht="15" customHeight="1" x14ac:dyDescent="0.3">
      <c r="B205" s="164">
        <v>234</v>
      </c>
      <c r="C205" s="165">
        <v>1</v>
      </c>
      <c r="D205" s="165">
        <f t="shared" si="28"/>
        <v>1.05</v>
      </c>
      <c r="E205" s="54">
        <f t="shared" si="26"/>
        <v>2.1</v>
      </c>
      <c r="F205" s="54">
        <f t="shared" si="35"/>
        <v>13.65</v>
      </c>
      <c r="G205" s="54">
        <f t="shared" si="36"/>
        <v>229.95000000000002</v>
      </c>
      <c r="H205" s="54">
        <f t="shared" si="29"/>
        <v>245.70000000000002</v>
      </c>
      <c r="I205" s="40">
        <f t="shared" si="27"/>
        <v>19.63</v>
      </c>
      <c r="J205" s="40">
        <f t="shared" si="37"/>
        <v>83.2</v>
      </c>
      <c r="K205" s="40">
        <f t="shared" si="38"/>
        <v>1261.44</v>
      </c>
      <c r="L205" s="179">
        <f t="shared" si="30"/>
        <v>1364.27</v>
      </c>
      <c r="M205" s="54">
        <f t="shared" si="31"/>
        <v>20.611499999999999</v>
      </c>
      <c r="N205" s="54">
        <f t="shared" si="32"/>
        <v>87.360000000000014</v>
      </c>
      <c r="O205" s="54">
        <f t="shared" si="33"/>
        <v>1324.5120000000002</v>
      </c>
      <c r="P205" s="54">
        <f t="shared" si="34"/>
        <v>1432.4835000000003</v>
      </c>
    </row>
    <row r="206" spans="2:16" ht="15" customHeight="1" x14ac:dyDescent="0.3">
      <c r="B206" s="164">
        <v>235</v>
      </c>
      <c r="C206" s="165">
        <v>1</v>
      </c>
      <c r="D206" s="165">
        <f t="shared" si="28"/>
        <v>1.05</v>
      </c>
      <c r="E206" s="54">
        <f t="shared" ref="E206:E246" si="39">+IF($B206&gt;2,2,$B206)*$D206</f>
        <v>2.1</v>
      </c>
      <c r="F206" s="54">
        <f t="shared" si="35"/>
        <v>13.65</v>
      </c>
      <c r="G206" s="54">
        <f t="shared" si="36"/>
        <v>231</v>
      </c>
      <c r="H206" s="54">
        <f t="shared" si="29"/>
        <v>246.75</v>
      </c>
      <c r="I206" s="40">
        <f t="shared" ref="I206:I246" si="40">+$I$9</f>
        <v>19.63</v>
      </c>
      <c r="J206" s="40">
        <f t="shared" si="37"/>
        <v>83.2</v>
      </c>
      <c r="K206" s="40">
        <f t="shared" si="38"/>
        <v>1267.2</v>
      </c>
      <c r="L206" s="179">
        <f t="shared" si="30"/>
        <v>1370.03</v>
      </c>
      <c r="M206" s="54">
        <f t="shared" si="31"/>
        <v>20.611499999999999</v>
      </c>
      <c r="N206" s="54">
        <f t="shared" si="32"/>
        <v>87.360000000000014</v>
      </c>
      <c r="O206" s="54">
        <f t="shared" si="33"/>
        <v>1330.5600000000002</v>
      </c>
      <c r="P206" s="54">
        <f t="shared" si="34"/>
        <v>1438.5315000000003</v>
      </c>
    </row>
    <row r="207" spans="2:16" ht="15" customHeight="1" x14ac:dyDescent="0.3">
      <c r="B207" s="164">
        <v>241</v>
      </c>
      <c r="C207" s="165">
        <v>3</v>
      </c>
      <c r="D207" s="165">
        <f t="shared" ref="D207:D246" si="41">+C207*(1+$D$10)</f>
        <v>3.1500000000000004</v>
      </c>
      <c r="E207" s="54">
        <f t="shared" si="39"/>
        <v>6.3000000000000007</v>
      </c>
      <c r="F207" s="54">
        <f t="shared" si="35"/>
        <v>40.950000000000003</v>
      </c>
      <c r="G207" s="54">
        <f t="shared" si="36"/>
        <v>711.90000000000009</v>
      </c>
      <c r="H207" s="54">
        <f t="shared" ref="H207:H246" si="42">+SUM(E207:G207)</f>
        <v>759.15000000000009</v>
      </c>
      <c r="I207" s="40">
        <f t="shared" si="40"/>
        <v>19.63</v>
      </c>
      <c r="J207" s="40">
        <f t="shared" si="37"/>
        <v>83.2</v>
      </c>
      <c r="K207" s="40">
        <f t="shared" si="38"/>
        <v>1301.76</v>
      </c>
      <c r="L207" s="179">
        <f t="shared" ref="L207:L246" si="43">+SUM(I207:K207)</f>
        <v>1404.59</v>
      </c>
      <c r="M207" s="54">
        <f t="shared" ref="M207:M246" si="44">+I207*$D207</f>
        <v>61.834500000000006</v>
      </c>
      <c r="N207" s="54">
        <f t="shared" ref="N207:N246" si="45">+J207*$D207</f>
        <v>262.08000000000004</v>
      </c>
      <c r="O207" s="54">
        <f t="shared" ref="O207:O246" si="46">+K207*$D207</f>
        <v>4100.5440000000008</v>
      </c>
      <c r="P207" s="54">
        <f t="shared" ref="P207:P246" si="47">+SUM(M207:O207)</f>
        <v>4424.4585000000006</v>
      </c>
    </row>
    <row r="208" spans="2:16" ht="15" customHeight="1" x14ac:dyDescent="0.3">
      <c r="B208" s="164">
        <v>243</v>
      </c>
      <c r="C208" s="165">
        <v>1</v>
      </c>
      <c r="D208" s="165">
        <f t="shared" si="41"/>
        <v>1.05</v>
      </c>
      <c r="E208" s="54">
        <f t="shared" si="39"/>
        <v>2.1</v>
      </c>
      <c r="F208" s="54">
        <f t="shared" si="35"/>
        <v>13.65</v>
      </c>
      <c r="G208" s="54">
        <f t="shared" si="36"/>
        <v>239.4</v>
      </c>
      <c r="H208" s="54">
        <f t="shared" si="42"/>
        <v>255.15</v>
      </c>
      <c r="I208" s="40">
        <f t="shared" si="40"/>
        <v>19.63</v>
      </c>
      <c r="J208" s="40">
        <f t="shared" si="37"/>
        <v>83.2</v>
      </c>
      <c r="K208" s="40">
        <f t="shared" si="38"/>
        <v>1313.28</v>
      </c>
      <c r="L208" s="179">
        <f t="shared" si="43"/>
        <v>1416.11</v>
      </c>
      <c r="M208" s="54">
        <f t="shared" si="44"/>
        <v>20.611499999999999</v>
      </c>
      <c r="N208" s="54">
        <f t="shared" si="45"/>
        <v>87.360000000000014</v>
      </c>
      <c r="O208" s="54">
        <f t="shared" si="46"/>
        <v>1378.944</v>
      </c>
      <c r="P208" s="54">
        <f t="shared" si="47"/>
        <v>1486.9155000000001</v>
      </c>
    </row>
    <row r="209" spans="2:16" ht="15" customHeight="1" x14ac:dyDescent="0.3">
      <c r="B209" s="164">
        <v>250</v>
      </c>
      <c r="C209" s="165">
        <v>1</v>
      </c>
      <c r="D209" s="165">
        <f t="shared" si="41"/>
        <v>1.05</v>
      </c>
      <c r="E209" s="54">
        <f t="shared" si="39"/>
        <v>2.1</v>
      </c>
      <c r="F209" s="54">
        <f t="shared" ref="F209:F246" si="48">+IF($B209&gt;15,13,$B209-2)*$D209</f>
        <v>13.65</v>
      </c>
      <c r="G209" s="54">
        <f t="shared" ref="G209:G246" si="49">+IF($B209&gt;15,$B209-15,0)*$D209</f>
        <v>246.75</v>
      </c>
      <c r="H209" s="54">
        <f t="shared" si="42"/>
        <v>262.5</v>
      </c>
      <c r="I209" s="40">
        <f t="shared" si="40"/>
        <v>19.63</v>
      </c>
      <c r="J209" s="40">
        <f t="shared" ref="J209:J246" si="50">+IF($B209&gt;15,13,$B209-2)*$J$9</f>
        <v>83.2</v>
      </c>
      <c r="K209" s="40">
        <f t="shared" ref="K209:K246" si="51">+IF($B209&gt;15,$B209-15,0)*$K$9</f>
        <v>1353.6</v>
      </c>
      <c r="L209" s="179">
        <f t="shared" si="43"/>
        <v>1456.4299999999998</v>
      </c>
      <c r="M209" s="54">
        <f t="shared" si="44"/>
        <v>20.611499999999999</v>
      </c>
      <c r="N209" s="54">
        <f t="shared" si="45"/>
        <v>87.360000000000014</v>
      </c>
      <c r="O209" s="54">
        <f t="shared" si="46"/>
        <v>1421.28</v>
      </c>
      <c r="P209" s="54">
        <f t="shared" si="47"/>
        <v>1529.2515000000001</v>
      </c>
    </row>
    <row r="210" spans="2:16" ht="15" customHeight="1" x14ac:dyDescent="0.3">
      <c r="B210" s="164">
        <v>255</v>
      </c>
      <c r="C210" s="165">
        <v>1</v>
      </c>
      <c r="D210" s="165">
        <f t="shared" si="41"/>
        <v>1.05</v>
      </c>
      <c r="E210" s="54">
        <f t="shared" si="39"/>
        <v>2.1</v>
      </c>
      <c r="F210" s="54">
        <f t="shared" si="48"/>
        <v>13.65</v>
      </c>
      <c r="G210" s="54">
        <f t="shared" si="49"/>
        <v>252</v>
      </c>
      <c r="H210" s="54">
        <f t="shared" si="42"/>
        <v>267.75</v>
      </c>
      <c r="I210" s="40">
        <f t="shared" si="40"/>
        <v>19.63</v>
      </c>
      <c r="J210" s="40">
        <f t="shared" si="50"/>
        <v>83.2</v>
      </c>
      <c r="K210" s="40">
        <f t="shared" si="51"/>
        <v>1382.3999999999999</v>
      </c>
      <c r="L210" s="179">
        <f t="shared" si="43"/>
        <v>1485.2299999999998</v>
      </c>
      <c r="M210" s="54">
        <f t="shared" si="44"/>
        <v>20.611499999999999</v>
      </c>
      <c r="N210" s="54">
        <f t="shared" si="45"/>
        <v>87.360000000000014</v>
      </c>
      <c r="O210" s="54">
        <f t="shared" si="46"/>
        <v>1451.52</v>
      </c>
      <c r="P210" s="54">
        <f t="shared" si="47"/>
        <v>1559.4915000000001</v>
      </c>
    </row>
    <row r="211" spans="2:16" ht="15" customHeight="1" x14ac:dyDescent="0.3">
      <c r="B211" s="164">
        <v>257</v>
      </c>
      <c r="C211" s="165">
        <v>1</v>
      </c>
      <c r="D211" s="165">
        <f t="shared" si="41"/>
        <v>1.05</v>
      </c>
      <c r="E211" s="54">
        <f t="shared" si="39"/>
        <v>2.1</v>
      </c>
      <c r="F211" s="54">
        <f t="shared" si="48"/>
        <v>13.65</v>
      </c>
      <c r="G211" s="54">
        <f t="shared" si="49"/>
        <v>254.10000000000002</v>
      </c>
      <c r="H211" s="54">
        <f t="shared" si="42"/>
        <v>269.85000000000002</v>
      </c>
      <c r="I211" s="40">
        <f t="shared" si="40"/>
        <v>19.63</v>
      </c>
      <c r="J211" s="40">
        <f t="shared" si="50"/>
        <v>83.2</v>
      </c>
      <c r="K211" s="40">
        <f t="shared" si="51"/>
        <v>1393.9199999999998</v>
      </c>
      <c r="L211" s="179">
        <f t="shared" si="43"/>
        <v>1496.7499999999998</v>
      </c>
      <c r="M211" s="54">
        <f t="shared" si="44"/>
        <v>20.611499999999999</v>
      </c>
      <c r="N211" s="54">
        <f t="shared" si="45"/>
        <v>87.360000000000014</v>
      </c>
      <c r="O211" s="54">
        <f t="shared" si="46"/>
        <v>1463.616</v>
      </c>
      <c r="P211" s="54">
        <f t="shared" si="47"/>
        <v>1571.5875000000001</v>
      </c>
    </row>
    <row r="212" spans="2:16" ht="15" customHeight="1" x14ac:dyDescent="0.3">
      <c r="B212" s="164">
        <v>266</v>
      </c>
      <c r="C212" s="165">
        <v>2</v>
      </c>
      <c r="D212" s="165">
        <f t="shared" si="41"/>
        <v>2.1</v>
      </c>
      <c r="E212" s="54">
        <f t="shared" si="39"/>
        <v>4.2</v>
      </c>
      <c r="F212" s="54">
        <f t="shared" si="48"/>
        <v>27.3</v>
      </c>
      <c r="G212" s="54">
        <f t="shared" si="49"/>
        <v>527.1</v>
      </c>
      <c r="H212" s="54">
        <f t="shared" si="42"/>
        <v>558.6</v>
      </c>
      <c r="I212" s="40">
        <f t="shared" si="40"/>
        <v>19.63</v>
      </c>
      <c r="J212" s="40">
        <f t="shared" si="50"/>
        <v>83.2</v>
      </c>
      <c r="K212" s="40">
        <f t="shared" si="51"/>
        <v>1445.76</v>
      </c>
      <c r="L212" s="179">
        <f t="shared" si="43"/>
        <v>1548.59</v>
      </c>
      <c r="M212" s="54">
        <f t="shared" si="44"/>
        <v>41.222999999999999</v>
      </c>
      <c r="N212" s="54">
        <f t="shared" si="45"/>
        <v>174.72000000000003</v>
      </c>
      <c r="O212" s="54">
        <f t="shared" si="46"/>
        <v>3036.096</v>
      </c>
      <c r="P212" s="54">
        <f t="shared" si="47"/>
        <v>3252.0390000000002</v>
      </c>
    </row>
    <row r="213" spans="2:16" ht="15" customHeight="1" x14ac:dyDescent="0.3">
      <c r="B213" s="164">
        <v>278</v>
      </c>
      <c r="C213" s="165">
        <v>1</v>
      </c>
      <c r="D213" s="165">
        <f t="shared" si="41"/>
        <v>1.05</v>
      </c>
      <c r="E213" s="54">
        <f t="shared" si="39"/>
        <v>2.1</v>
      </c>
      <c r="F213" s="54">
        <f t="shared" si="48"/>
        <v>13.65</v>
      </c>
      <c r="G213" s="54">
        <f t="shared" si="49"/>
        <v>276.15000000000003</v>
      </c>
      <c r="H213" s="54">
        <f t="shared" si="42"/>
        <v>291.90000000000003</v>
      </c>
      <c r="I213" s="40">
        <f t="shared" si="40"/>
        <v>19.63</v>
      </c>
      <c r="J213" s="40">
        <f t="shared" si="50"/>
        <v>83.2</v>
      </c>
      <c r="K213" s="40">
        <f t="shared" si="51"/>
        <v>1514.8799999999999</v>
      </c>
      <c r="L213" s="179">
        <f t="shared" si="43"/>
        <v>1617.7099999999998</v>
      </c>
      <c r="M213" s="54">
        <f t="shared" si="44"/>
        <v>20.611499999999999</v>
      </c>
      <c r="N213" s="54">
        <f t="shared" si="45"/>
        <v>87.360000000000014</v>
      </c>
      <c r="O213" s="54">
        <f t="shared" si="46"/>
        <v>1590.624</v>
      </c>
      <c r="P213" s="54">
        <f t="shared" si="47"/>
        <v>1698.5955000000001</v>
      </c>
    </row>
    <row r="214" spans="2:16" ht="15" customHeight="1" x14ac:dyDescent="0.3">
      <c r="B214" s="164">
        <v>279</v>
      </c>
      <c r="C214" s="165">
        <v>1</v>
      </c>
      <c r="D214" s="165">
        <f t="shared" si="41"/>
        <v>1.05</v>
      </c>
      <c r="E214" s="54">
        <f t="shared" si="39"/>
        <v>2.1</v>
      </c>
      <c r="F214" s="54">
        <f t="shared" si="48"/>
        <v>13.65</v>
      </c>
      <c r="G214" s="54">
        <f t="shared" si="49"/>
        <v>277.2</v>
      </c>
      <c r="H214" s="54">
        <f t="shared" si="42"/>
        <v>292.95</v>
      </c>
      <c r="I214" s="40">
        <f t="shared" si="40"/>
        <v>19.63</v>
      </c>
      <c r="J214" s="40">
        <f t="shared" si="50"/>
        <v>83.2</v>
      </c>
      <c r="K214" s="40">
        <f t="shared" si="51"/>
        <v>1520.6399999999999</v>
      </c>
      <c r="L214" s="179">
        <f t="shared" si="43"/>
        <v>1623.4699999999998</v>
      </c>
      <c r="M214" s="54">
        <f t="shared" si="44"/>
        <v>20.611499999999999</v>
      </c>
      <c r="N214" s="54">
        <f t="shared" si="45"/>
        <v>87.360000000000014</v>
      </c>
      <c r="O214" s="54">
        <f t="shared" si="46"/>
        <v>1596.672</v>
      </c>
      <c r="P214" s="54">
        <f t="shared" si="47"/>
        <v>1704.6435000000001</v>
      </c>
    </row>
    <row r="215" spans="2:16" ht="15" customHeight="1" x14ac:dyDescent="0.3">
      <c r="B215" s="164">
        <v>280</v>
      </c>
      <c r="C215" s="165">
        <v>1</v>
      </c>
      <c r="D215" s="165">
        <f t="shared" si="41"/>
        <v>1.05</v>
      </c>
      <c r="E215" s="54">
        <f t="shared" si="39"/>
        <v>2.1</v>
      </c>
      <c r="F215" s="54">
        <f t="shared" si="48"/>
        <v>13.65</v>
      </c>
      <c r="G215" s="54">
        <f t="shared" si="49"/>
        <v>278.25</v>
      </c>
      <c r="H215" s="54">
        <f t="shared" si="42"/>
        <v>294</v>
      </c>
      <c r="I215" s="40">
        <f t="shared" si="40"/>
        <v>19.63</v>
      </c>
      <c r="J215" s="40">
        <f t="shared" si="50"/>
        <v>83.2</v>
      </c>
      <c r="K215" s="40">
        <f t="shared" si="51"/>
        <v>1526.3999999999999</v>
      </c>
      <c r="L215" s="179">
        <f t="shared" si="43"/>
        <v>1629.2299999999998</v>
      </c>
      <c r="M215" s="54">
        <f t="shared" si="44"/>
        <v>20.611499999999999</v>
      </c>
      <c r="N215" s="54">
        <f t="shared" si="45"/>
        <v>87.360000000000014</v>
      </c>
      <c r="O215" s="54">
        <f t="shared" si="46"/>
        <v>1602.72</v>
      </c>
      <c r="P215" s="54">
        <f t="shared" si="47"/>
        <v>1710.6915000000001</v>
      </c>
    </row>
    <row r="216" spans="2:16" ht="15" customHeight="1" x14ac:dyDescent="0.3">
      <c r="B216" s="164">
        <v>281</v>
      </c>
      <c r="C216" s="165">
        <v>1</v>
      </c>
      <c r="D216" s="165">
        <f t="shared" si="41"/>
        <v>1.05</v>
      </c>
      <c r="E216" s="54">
        <f t="shared" si="39"/>
        <v>2.1</v>
      </c>
      <c r="F216" s="54">
        <f t="shared" si="48"/>
        <v>13.65</v>
      </c>
      <c r="G216" s="54">
        <f t="shared" si="49"/>
        <v>279.3</v>
      </c>
      <c r="H216" s="54">
        <f t="shared" si="42"/>
        <v>295.05</v>
      </c>
      <c r="I216" s="40">
        <f t="shared" si="40"/>
        <v>19.63</v>
      </c>
      <c r="J216" s="40">
        <f t="shared" si="50"/>
        <v>83.2</v>
      </c>
      <c r="K216" s="40">
        <f t="shared" si="51"/>
        <v>1532.1599999999999</v>
      </c>
      <c r="L216" s="179">
        <f t="shared" si="43"/>
        <v>1634.9899999999998</v>
      </c>
      <c r="M216" s="54">
        <f t="shared" si="44"/>
        <v>20.611499999999999</v>
      </c>
      <c r="N216" s="54">
        <f t="shared" si="45"/>
        <v>87.360000000000014</v>
      </c>
      <c r="O216" s="54">
        <f t="shared" si="46"/>
        <v>1608.7679999999998</v>
      </c>
      <c r="P216" s="54">
        <f t="shared" si="47"/>
        <v>1716.7394999999999</v>
      </c>
    </row>
    <row r="217" spans="2:16" ht="15" customHeight="1" x14ac:dyDescent="0.3">
      <c r="B217" s="164">
        <v>282</v>
      </c>
      <c r="C217" s="165">
        <v>1</v>
      </c>
      <c r="D217" s="165">
        <f t="shared" si="41"/>
        <v>1.05</v>
      </c>
      <c r="E217" s="54">
        <f t="shared" si="39"/>
        <v>2.1</v>
      </c>
      <c r="F217" s="54">
        <f t="shared" si="48"/>
        <v>13.65</v>
      </c>
      <c r="G217" s="54">
        <f t="shared" si="49"/>
        <v>280.35000000000002</v>
      </c>
      <c r="H217" s="54">
        <f t="shared" si="42"/>
        <v>296.10000000000002</v>
      </c>
      <c r="I217" s="40">
        <f t="shared" si="40"/>
        <v>19.63</v>
      </c>
      <c r="J217" s="40">
        <f t="shared" si="50"/>
        <v>83.2</v>
      </c>
      <c r="K217" s="40">
        <f t="shared" si="51"/>
        <v>1537.9199999999998</v>
      </c>
      <c r="L217" s="179">
        <f t="shared" si="43"/>
        <v>1640.7499999999998</v>
      </c>
      <c r="M217" s="54">
        <f t="shared" si="44"/>
        <v>20.611499999999999</v>
      </c>
      <c r="N217" s="54">
        <f t="shared" si="45"/>
        <v>87.360000000000014</v>
      </c>
      <c r="O217" s="54">
        <f t="shared" si="46"/>
        <v>1614.8159999999998</v>
      </c>
      <c r="P217" s="54">
        <f t="shared" si="47"/>
        <v>1722.7874999999999</v>
      </c>
    </row>
    <row r="218" spans="2:16" ht="15" customHeight="1" x14ac:dyDescent="0.3">
      <c r="B218" s="164">
        <v>289</v>
      </c>
      <c r="C218" s="165">
        <v>1</v>
      </c>
      <c r="D218" s="165">
        <f t="shared" si="41"/>
        <v>1.05</v>
      </c>
      <c r="E218" s="54">
        <f t="shared" si="39"/>
        <v>2.1</v>
      </c>
      <c r="F218" s="54">
        <f t="shared" si="48"/>
        <v>13.65</v>
      </c>
      <c r="G218" s="54">
        <f t="shared" si="49"/>
        <v>287.7</v>
      </c>
      <c r="H218" s="54">
        <f t="shared" si="42"/>
        <v>303.45</v>
      </c>
      <c r="I218" s="40">
        <f t="shared" si="40"/>
        <v>19.63</v>
      </c>
      <c r="J218" s="40">
        <f t="shared" si="50"/>
        <v>83.2</v>
      </c>
      <c r="K218" s="40">
        <f t="shared" si="51"/>
        <v>1578.24</v>
      </c>
      <c r="L218" s="179">
        <f t="shared" si="43"/>
        <v>1681.07</v>
      </c>
      <c r="M218" s="54">
        <f t="shared" si="44"/>
        <v>20.611499999999999</v>
      </c>
      <c r="N218" s="54">
        <f t="shared" si="45"/>
        <v>87.360000000000014</v>
      </c>
      <c r="O218" s="54">
        <f t="shared" si="46"/>
        <v>1657.152</v>
      </c>
      <c r="P218" s="54">
        <f t="shared" si="47"/>
        <v>1765.1235000000001</v>
      </c>
    </row>
    <row r="219" spans="2:16" ht="15" customHeight="1" x14ac:dyDescent="0.3">
      <c r="B219" s="164">
        <v>298</v>
      </c>
      <c r="C219" s="165">
        <v>1</v>
      </c>
      <c r="D219" s="165">
        <f t="shared" si="41"/>
        <v>1.05</v>
      </c>
      <c r="E219" s="54">
        <f t="shared" si="39"/>
        <v>2.1</v>
      </c>
      <c r="F219" s="54">
        <f t="shared" si="48"/>
        <v>13.65</v>
      </c>
      <c r="G219" s="54">
        <f t="shared" si="49"/>
        <v>297.15000000000003</v>
      </c>
      <c r="H219" s="54">
        <f t="shared" si="42"/>
        <v>312.90000000000003</v>
      </c>
      <c r="I219" s="40">
        <f t="shared" si="40"/>
        <v>19.63</v>
      </c>
      <c r="J219" s="40">
        <f t="shared" si="50"/>
        <v>83.2</v>
      </c>
      <c r="K219" s="40">
        <f t="shared" si="51"/>
        <v>1630.08</v>
      </c>
      <c r="L219" s="179">
        <f t="shared" si="43"/>
        <v>1732.9099999999999</v>
      </c>
      <c r="M219" s="54">
        <f t="shared" si="44"/>
        <v>20.611499999999999</v>
      </c>
      <c r="N219" s="54">
        <f t="shared" si="45"/>
        <v>87.360000000000014</v>
      </c>
      <c r="O219" s="54">
        <f t="shared" si="46"/>
        <v>1711.5840000000001</v>
      </c>
      <c r="P219" s="54">
        <f t="shared" si="47"/>
        <v>1819.5555000000002</v>
      </c>
    </row>
    <row r="220" spans="2:16" ht="15" customHeight="1" x14ac:dyDescent="0.3">
      <c r="B220" s="164">
        <v>302</v>
      </c>
      <c r="C220" s="165">
        <v>1</v>
      </c>
      <c r="D220" s="165">
        <f t="shared" si="41"/>
        <v>1.05</v>
      </c>
      <c r="E220" s="54">
        <f t="shared" si="39"/>
        <v>2.1</v>
      </c>
      <c r="F220" s="54">
        <f t="shared" si="48"/>
        <v>13.65</v>
      </c>
      <c r="G220" s="54">
        <f t="shared" si="49"/>
        <v>301.35000000000002</v>
      </c>
      <c r="H220" s="54">
        <f t="shared" si="42"/>
        <v>317.10000000000002</v>
      </c>
      <c r="I220" s="40">
        <f t="shared" si="40"/>
        <v>19.63</v>
      </c>
      <c r="J220" s="40">
        <f t="shared" si="50"/>
        <v>83.2</v>
      </c>
      <c r="K220" s="40">
        <f t="shared" si="51"/>
        <v>1653.12</v>
      </c>
      <c r="L220" s="179">
        <f t="shared" si="43"/>
        <v>1755.9499999999998</v>
      </c>
      <c r="M220" s="54">
        <f t="shared" si="44"/>
        <v>20.611499999999999</v>
      </c>
      <c r="N220" s="54">
        <f t="shared" si="45"/>
        <v>87.360000000000014</v>
      </c>
      <c r="O220" s="54">
        <f t="shared" si="46"/>
        <v>1735.7760000000001</v>
      </c>
      <c r="P220" s="54">
        <f t="shared" si="47"/>
        <v>1843.7475000000002</v>
      </c>
    </row>
    <row r="221" spans="2:16" ht="15" customHeight="1" x14ac:dyDescent="0.3">
      <c r="B221" s="164">
        <v>307</v>
      </c>
      <c r="C221" s="165">
        <v>1</v>
      </c>
      <c r="D221" s="165">
        <f t="shared" si="41"/>
        <v>1.05</v>
      </c>
      <c r="E221" s="54">
        <f t="shared" si="39"/>
        <v>2.1</v>
      </c>
      <c r="F221" s="54">
        <f t="shared" si="48"/>
        <v>13.65</v>
      </c>
      <c r="G221" s="54">
        <f t="shared" si="49"/>
        <v>306.60000000000002</v>
      </c>
      <c r="H221" s="54">
        <f t="shared" si="42"/>
        <v>322.35000000000002</v>
      </c>
      <c r="I221" s="40">
        <f t="shared" si="40"/>
        <v>19.63</v>
      </c>
      <c r="J221" s="40">
        <f t="shared" si="50"/>
        <v>83.2</v>
      </c>
      <c r="K221" s="40">
        <f t="shared" si="51"/>
        <v>1681.9199999999998</v>
      </c>
      <c r="L221" s="179">
        <f t="shared" si="43"/>
        <v>1784.7499999999998</v>
      </c>
      <c r="M221" s="54">
        <f t="shared" si="44"/>
        <v>20.611499999999999</v>
      </c>
      <c r="N221" s="54">
        <f t="shared" si="45"/>
        <v>87.360000000000014</v>
      </c>
      <c r="O221" s="54">
        <f t="shared" si="46"/>
        <v>1766.0159999999998</v>
      </c>
      <c r="P221" s="54">
        <f t="shared" si="47"/>
        <v>1873.9875</v>
      </c>
    </row>
    <row r="222" spans="2:16" ht="15" customHeight="1" x14ac:dyDescent="0.3">
      <c r="B222" s="164">
        <v>310</v>
      </c>
      <c r="C222" s="165">
        <v>1</v>
      </c>
      <c r="D222" s="165">
        <f t="shared" si="41"/>
        <v>1.05</v>
      </c>
      <c r="E222" s="54">
        <f t="shared" si="39"/>
        <v>2.1</v>
      </c>
      <c r="F222" s="54">
        <f t="shared" si="48"/>
        <v>13.65</v>
      </c>
      <c r="G222" s="54">
        <f t="shared" si="49"/>
        <v>309.75</v>
      </c>
      <c r="H222" s="54">
        <f t="shared" si="42"/>
        <v>325.5</v>
      </c>
      <c r="I222" s="40">
        <f t="shared" si="40"/>
        <v>19.63</v>
      </c>
      <c r="J222" s="40">
        <f t="shared" si="50"/>
        <v>83.2</v>
      </c>
      <c r="K222" s="40">
        <f t="shared" si="51"/>
        <v>1699.2</v>
      </c>
      <c r="L222" s="179">
        <f t="shared" si="43"/>
        <v>1802.03</v>
      </c>
      <c r="M222" s="54">
        <f t="shared" si="44"/>
        <v>20.611499999999999</v>
      </c>
      <c r="N222" s="54">
        <f t="shared" si="45"/>
        <v>87.360000000000014</v>
      </c>
      <c r="O222" s="54">
        <f t="shared" si="46"/>
        <v>1784.16</v>
      </c>
      <c r="P222" s="54">
        <f t="shared" si="47"/>
        <v>1892.1315000000002</v>
      </c>
    </row>
    <row r="223" spans="2:16" ht="15" customHeight="1" x14ac:dyDescent="0.3">
      <c r="B223" s="164">
        <v>315</v>
      </c>
      <c r="C223" s="165">
        <v>1</v>
      </c>
      <c r="D223" s="165">
        <f t="shared" si="41"/>
        <v>1.05</v>
      </c>
      <c r="E223" s="54">
        <f t="shared" si="39"/>
        <v>2.1</v>
      </c>
      <c r="F223" s="54">
        <f t="shared" si="48"/>
        <v>13.65</v>
      </c>
      <c r="G223" s="54">
        <f t="shared" si="49"/>
        <v>315</v>
      </c>
      <c r="H223" s="54">
        <f t="shared" si="42"/>
        <v>330.75</v>
      </c>
      <c r="I223" s="40">
        <f t="shared" si="40"/>
        <v>19.63</v>
      </c>
      <c r="J223" s="40">
        <f t="shared" si="50"/>
        <v>83.2</v>
      </c>
      <c r="K223" s="40">
        <f t="shared" si="51"/>
        <v>1728</v>
      </c>
      <c r="L223" s="179">
        <f t="shared" si="43"/>
        <v>1830.83</v>
      </c>
      <c r="M223" s="54">
        <f t="shared" si="44"/>
        <v>20.611499999999999</v>
      </c>
      <c r="N223" s="54">
        <f t="shared" si="45"/>
        <v>87.360000000000014</v>
      </c>
      <c r="O223" s="54">
        <f t="shared" si="46"/>
        <v>1814.4</v>
      </c>
      <c r="P223" s="54">
        <f t="shared" si="47"/>
        <v>1922.3715000000002</v>
      </c>
    </row>
    <row r="224" spans="2:16" ht="15" customHeight="1" x14ac:dyDescent="0.3">
      <c r="B224" s="164">
        <v>318</v>
      </c>
      <c r="C224" s="165">
        <v>1</v>
      </c>
      <c r="D224" s="165">
        <f t="shared" si="41"/>
        <v>1.05</v>
      </c>
      <c r="E224" s="54">
        <f t="shared" si="39"/>
        <v>2.1</v>
      </c>
      <c r="F224" s="54">
        <f t="shared" si="48"/>
        <v>13.65</v>
      </c>
      <c r="G224" s="54">
        <f t="shared" si="49"/>
        <v>318.15000000000003</v>
      </c>
      <c r="H224" s="54">
        <f t="shared" si="42"/>
        <v>333.90000000000003</v>
      </c>
      <c r="I224" s="40">
        <f t="shared" si="40"/>
        <v>19.63</v>
      </c>
      <c r="J224" s="40">
        <f t="shared" si="50"/>
        <v>83.2</v>
      </c>
      <c r="K224" s="40">
        <f t="shared" si="51"/>
        <v>1745.28</v>
      </c>
      <c r="L224" s="179">
        <f t="shared" si="43"/>
        <v>1848.11</v>
      </c>
      <c r="M224" s="54">
        <f t="shared" si="44"/>
        <v>20.611499999999999</v>
      </c>
      <c r="N224" s="54">
        <f t="shared" si="45"/>
        <v>87.360000000000014</v>
      </c>
      <c r="O224" s="54">
        <f t="shared" si="46"/>
        <v>1832.5440000000001</v>
      </c>
      <c r="P224" s="54">
        <f t="shared" si="47"/>
        <v>1940.5155000000002</v>
      </c>
    </row>
    <row r="225" spans="2:16" ht="15" customHeight="1" x14ac:dyDescent="0.3">
      <c r="B225" s="164">
        <v>326</v>
      </c>
      <c r="C225" s="165">
        <v>1</v>
      </c>
      <c r="D225" s="165">
        <f t="shared" si="41"/>
        <v>1.05</v>
      </c>
      <c r="E225" s="54">
        <f t="shared" si="39"/>
        <v>2.1</v>
      </c>
      <c r="F225" s="54">
        <f t="shared" si="48"/>
        <v>13.65</v>
      </c>
      <c r="G225" s="54">
        <f t="shared" si="49"/>
        <v>326.55</v>
      </c>
      <c r="H225" s="54">
        <f t="shared" si="42"/>
        <v>342.3</v>
      </c>
      <c r="I225" s="40">
        <f t="shared" si="40"/>
        <v>19.63</v>
      </c>
      <c r="J225" s="40">
        <f t="shared" si="50"/>
        <v>83.2</v>
      </c>
      <c r="K225" s="40">
        <f t="shared" si="51"/>
        <v>1791.36</v>
      </c>
      <c r="L225" s="179">
        <f t="shared" si="43"/>
        <v>1894.1899999999998</v>
      </c>
      <c r="M225" s="54">
        <f t="shared" si="44"/>
        <v>20.611499999999999</v>
      </c>
      <c r="N225" s="54">
        <f t="shared" si="45"/>
        <v>87.360000000000014</v>
      </c>
      <c r="O225" s="54">
        <f t="shared" si="46"/>
        <v>1880.9279999999999</v>
      </c>
      <c r="P225" s="54">
        <f t="shared" si="47"/>
        <v>1988.8995</v>
      </c>
    </row>
    <row r="226" spans="2:16" ht="15" customHeight="1" x14ac:dyDescent="0.3">
      <c r="B226" s="164">
        <v>334</v>
      </c>
      <c r="C226" s="165">
        <v>1</v>
      </c>
      <c r="D226" s="165">
        <f t="shared" si="41"/>
        <v>1.05</v>
      </c>
      <c r="E226" s="54">
        <f t="shared" si="39"/>
        <v>2.1</v>
      </c>
      <c r="F226" s="54">
        <f t="shared" si="48"/>
        <v>13.65</v>
      </c>
      <c r="G226" s="54">
        <f t="shared" si="49"/>
        <v>334.95</v>
      </c>
      <c r="H226" s="54">
        <f t="shared" si="42"/>
        <v>350.7</v>
      </c>
      <c r="I226" s="40">
        <f t="shared" si="40"/>
        <v>19.63</v>
      </c>
      <c r="J226" s="40">
        <f t="shared" si="50"/>
        <v>83.2</v>
      </c>
      <c r="K226" s="40">
        <f t="shared" si="51"/>
        <v>1837.4399999999998</v>
      </c>
      <c r="L226" s="179">
        <f t="shared" si="43"/>
        <v>1940.2699999999998</v>
      </c>
      <c r="M226" s="54">
        <f t="shared" si="44"/>
        <v>20.611499999999999</v>
      </c>
      <c r="N226" s="54">
        <f t="shared" si="45"/>
        <v>87.360000000000014</v>
      </c>
      <c r="O226" s="54">
        <f t="shared" si="46"/>
        <v>1929.3119999999999</v>
      </c>
      <c r="P226" s="54">
        <f t="shared" si="47"/>
        <v>2037.2835</v>
      </c>
    </row>
    <row r="227" spans="2:16" ht="15" customHeight="1" x14ac:dyDescent="0.3">
      <c r="B227" s="164">
        <v>337</v>
      </c>
      <c r="C227" s="165">
        <v>1</v>
      </c>
      <c r="D227" s="165">
        <f t="shared" si="41"/>
        <v>1.05</v>
      </c>
      <c r="E227" s="54">
        <f t="shared" si="39"/>
        <v>2.1</v>
      </c>
      <c r="F227" s="54">
        <f t="shared" si="48"/>
        <v>13.65</v>
      </c>
      <c r="G227" s="54">
        <f t="shared" si="49"/>
        <v>338.1</v>
      </c>
      <c r="H227" s="54">
        <f t="shared" si="42"/>
        <v>353.85</v>
      </c>
      <c r="I227" s="40">
        <f t="shared" si="40"/>
        <v>19.63</v>
      </c>
      <c r="J227" s="40">
        <f t="shared" si="50"/>
        <v>83.2</v>
      </c>
      <c r="K227" s="40">
        <f t="shared" si="51"/>
        <v>1854.72</v>
      </c>
      <c r="L227" s="179">
        <f t="shared" si="43"/>
        <v>1957.55</v>
      </c>
      <c r="M227" s="54">
        <f t="shared" si="44"/>
        <v>20.611499999999999</v>
      </c>
      <c r="N227" s="54">
        <f t="shared" si="45"/>
        <v>87.360000000000014</v>
      </c>
      <c r="O227" s="54">
        <f t="shared" si="46"/>
        <v>1947.4560000000001</v>
      </c>
      <c r="P227" s="54">
        <f t="shared" si="47"/>
        <v>2055.4275000000002</v>
      </c>
    </row>
    <row r="228" spans="2:16" ht="15" customHeight="1" x14ac:dyDescent="0.3">
      <c r="B228" s="164">
        <v>338</v>
      </c>
      <c r="C228" s="165">
        <v>1</v>
      </c>
      <c r="D228" s="165">
        <f t="shared" si="41"/>
        <v>1.05</v>
      </c>
      <c r="E228" s="54">
        <f t="shared" si="39"/>
        <v>2.1</v>
      </c>
      <c r="F228" s="54">
        <f t="shared" si="48"/>
        <v>13.65</v>
      </c>
      <c r="G228" s="54">
        <f t="shared" si="49"/>
        <v>339.15000000000003</v>
      </c>
      <c r="H228" s="54">
        <f t="shared" si="42"/>
        <v>354.90000000000003</v>
      </c>
      <c r="I228" s="40">
        <f t="shared" si="40"/>
        <v>19.63</v>
      </c>
      <c r="J228" s="40">
        <f t="shared" si="50"/>
        <v>83.2</v>
      </c>
      <c r="K228" s="40">
        <f t="shared" si="51"/>
        <v>1860.48</v>
      </c>
      <c r="L228" s="179">
        <f t="shared" si="43"/>
        <v>1963.31</v>
      </c>
      <c r="M228" s="54">
        <f t="shared" si="44"/>
        <v>20.611499999999999</v>
      </c>
      <c r="N228" s="54">
        <f t="shared" si="45"/>
        <v>87.360000000000014</v>
      </c>
      <c r="O228" s="54">
        <f t="shared" si="46"/>
        <v>1953.5040000000001</v>
      </c>
      <c r="P228" s="54">
        <f t="shared" si="47"/>
        <v>2061.4755</v>
      </c>
    </row>
    <row r="229" spans="2:16" ht="15" customHeight="1" x14ac:dyDescent="0.3">
      <c r="B229" s="164">
        <v>341</v>
      </c>
      <c r="C229" s="165">
        <v>1</v>
      </c>
      <c r="D229" s="165">
        <f t="shared" si="41"/>
        <v>1.05</v>
      </c>
      <c r="E229" s="54">
        <f t="shared" si="39"/>
        <v>2.1</v>
      </c>
      <c r="F229" s="54">
        <f t="shared" si="48"/>
        <v>13.65</v>
      </c>
      <c r="G229" s="54">
        <f t="shared" si="49"/>
        <v>342.3</v>
      </c>
      <c r="H229" s="54">
        <f t="shared" si="42"/>
        <v>358.05</v>
      </c>
      <c r="I229" s="40">
        <f t="shared" si="40"/>
        <v>19.63</v>
      </c>
      <c r="J229" s="40">
        <f t="shared" si="50"/>
        <v>83.2</v>
      </c>
      <c r="K229" s="40">
        <f t="shared" si="51"/>
        <v>1877.76</v>
      </c>
      <c r="L229" s="179">
        <f t="shared" si="43"/>
        <v>1980.59</v>
      </c>
      <c r="M229" s="54">
        <f t="shared" si="44"/>
        <v>20.611499999999999</v>
      </c>
      <c r="N229" s="54">
        <f t="shared" si="45"/>
        <v>87.360000000000014</v>
      </c>
      <c r="O229" s="54">
        <f t="shared" si="46"/>
        <v>1971.6480000000001</v>
      </c>
      <c r="P229" s="54">
        <f t="shared" si="47"/>
        <v>2079.6195000000002</v>
      </c>
    </row>
    <row r="230" spans="2:16" ht="15" customHeight="1" x14ac:dyDescent="0.3">
      <c r="B230" s="164">
        <v>342</v>
      </c>
      <c r="C230" s="165">
        <v>1</v>
      </c>
      <c r="D230" s="165">
        <f t="shared" si="41"/>
        <v>1.05</v>
      </c>
      <c r="E230" s="54">
        <f t="shared" si="39"/>
        <v>2.1</v>
      </c>
      <c r="F230" s="54">
        <f t="shared" si="48"/>
        <v>13.65</v>
      </c>
      <c r="G230" s="54">
        <f t="shared" si="49"/>
        <v>343.35</v>
      </c>
      <c r="H230" s="54">
        <f t="shared" si="42"/>
        <v>359.1</v>
      </c>
      <c r="I230" s="40">
        <f t="shared" si="40"/>
        <v>19.63</v>
      </c>
      <c r="J230" s="40">
        <f t="shared" si="50"/>
        <v>83.2</v>
      </c>
      <c r="K230" s="40">
        <f t="shared" si="51"/>
        <v>1883.52</v>
      </c>
      <c r="L230" s="179">
        <f t="shared" si="43"/>
        <v>1986.35</v>
      </c>
      <c r="M230" s="54">
        <f t="shared" si="44"/>
        <v>20.611499999999999</v>
      </c>
      <c r="N230" s="54">
        <f t="shared" si="45"/>
        <v>87.360000000000014</v>
      </c>
      <c r="O230" s="54">
        <f t="shared" si="46"/>
        <v>1977.6960000000001</v>
      </c>
      <c r="P230" s="54">
        <f t="shared" si="47"/>
        <v>2085.6675</v>
      </c>
    </row>
    <row r="231" spans="2:16" ht="15" customHeight="1" x14ac:dyDescent="0.3">
      <c r="B231" s="164">
        <v>345</v>
      </c>
      <c r="C231" s="165">
        <v>1</v>
      </c>
      <c r="D231" s="165">
        <f t="shared" si="41"/>
        <v>1.05</v>
      </c>
      <c r="E231" s="54">
        <f t="shared" si="39"/>
        <v>2.1</v>
      </c>
      <c r="F231" s="54">
        <f t="shared" si="48"/>
        <v>13.65</v>
      </c>
      <c r="G231" s="54">
        <f t="shared" si="49"/>
        <v>346.5</v>
      </c>
      <c r="H231" s="54">
        <f t="shared" si="42"/>
        <v>362.25</v>
      </c>
      <c r="I231" s="40">
        <f t="shared" si="40"/>
        <v>19.63</v>
      </c>
      <c r="J231" s="40">
        <f t="shared" si="50"/>
        <v>83.2</v>
      </c>
      <c r="K231" s="40">
        <f t="shared" si="51"/>
        <v>1900.8</v>
      </c>
      <c r="L231" s="179">
        <f t="shared" si="43"/>
        <v>2003.6299999999999</v>
      </c>
      <c r="M231" s="54">
        <f t="shared" si="44"/>
        <v>20.611499999999999</v>
      </c>
      <c r="N231" s="54">
        <f t="shared" si="45"/>
        <v>87.360000000000014</v>
      </c>
      <c r="O231" s="54">
        <f t="shared" si="46"/>
        <v>1995.8400000000001</v>
      </c>
      <c r="P231" s="54">
        <f t="shared" si="47"/>
        <v>2103.8115000000003</v>
      </c>
    </row>
    <row r="232" spans="2:16" ht="15" customHeight="1" x14ac:dyDescent="0.3">
      <c r="B232" s="164">
        <v>349</v>
      </c>
      <c r="C232" s="165">
        <v>1</v>
      </c>
      <c r="D232" s="165">
        <f t="shared" si="41"/>
        <v>1.05</v>
      </c>
      <c r="E232" s="54">
        <f t="shared" si="39"/>
        <v>2.1</v>
      </c>
      <c r="F232" s="54">
        <f t="shared" si="48"/>
        <v>13.65</v>
      </c>
      <c r="G232" s="54">
        <f t="shared" si="49"/>
        <v>350.7</v>
      </c>
      <c r="H232" s="54">
        <f t="shared" si="42"/>
        <v>366.45</v>
      </c>
      <c r="I232" s="40">
        <f t="shared" si="40"/>
        <v>19.63</v>
      </c>
      <c r="J232" s="40">
        <f t="shared" si="50"/>
        <v>83.2</v>
      </c>
      <c r="K232" s="40">
        <f t="shared" si="51"/>
        <v>1923.84</v>
      </c>
      <c r="L232" s="179">
        <f t="shared" si="43"/>
        <v>2026.6699999999998</v>
      </c>
      <c r="M232" s="54">
        <f t="shared" si="44"/>
        <v>20.611499999999999</v>
      </c>
      <c r="N232" s="54">
        <f t="shared" si="45"/>
        <v>87.360000000000014</v>
      </c>
      <c r="O232" s="54">
        <f t="shared" si="46"/>
        <v>2020.0319999999999</v>
      </c>
      <c r="P232" s="54">
        <f t="shared" si="47"/>
        <v>2128.0034999999998</v>
      </c>
    </row>
    <row r="233" spans="2:16" ht="15" customHeight="1" x14ac:dyDescent="0.3">
      <c r="B233" s="164">
        <v>353</v>
      </c>
      <c r="C233" s="165">
        <v>1</v>
      </c>
      <c r="D233" s="165">
        <f t="shared" si="41"/>
        <v>1.05</v>
      </c>
      <c r="E233" s="54">
        <f t="shared" si="39"/>
        <v>2.1</v>
      </c>
      <c r="F233" s="54">
        <f t="shared" si="48"/>
        <v>13.65</v>
      </c>
      <c r="G233" s="54">
        <f t="shared" si="49"/>
        <v>354.90000000000003</v>
      </c>
      <c r="H233" s="54">
        <f t="shared" si="42"/>
        <v>370.65000000000003</v>
      </c>
      <c r="I233" s="40">
        <f t="shared" si="40"/>
        <v>19.63</v>
      </c>
      <c r="J233" s="40">
        <f t="shared" si="50"/>
        <v>83.2</v>
      </c>
      <c r="K233" s="40">
        <f t="shared" si="51"/>
        <v>1946.8799999999999</v>
      </c>
      <c r="L233" s="179">
        <f t="shared" si="43"/>
        <v>2049.71</v>
      </c>
      <c r="M233" s="54">
        <f t="shared" si="44"/>
        <v>20.611499999999999</v>
      </c>
      <c r="N233" s="54">
        <f t="shared" si="45"/>
        <v>87.360000000000014</v>
      </c>
      <c r="O233" s="54">
        <f t="shared" si="46"/>
        <v>2044.2239999999999</v>
      </c>
      <c r="P233" s="54">
        <f t="shared" si="47"/>
        <v>2152.1954999999998</v>
      </c>
    </row>
    <row r="234" spans="2:16" ht="15" customHeight="1" x14ac:dyDescent="0.3">
      <c r="B234" s="164">
        <v>354</v>
      </c>
      <c r="C234" s="165">
        <v>1</v>
      </c>
      <c r="D234" s="165">
        <f t="shared" si="41"/>
        <v>1.05</v>
      </c>
      <c r="E234" s="54">
        <f t="shared" si="39"/>
        <v>2.1</v>
      </c>
      <c r="F234" s="54">
        <f t="shared" si="48"/>
        <v>13.65</v>
      </c>
      <c r="G234" s="54">
        <f t="shared" si="49"/>
        <v>355.95</v>
      </c>
      <c r="H234" s="54">
        <f t="shared" si="42"/>
        <v>371.7</v>
      </c>
      <c r="I234" s="40">
        <f t="shared" si="40"/>
        <v>19.63</v>
      </c>
      <c r="J234" s="40">
        <f t="shared" si="50"/>
        <v>83.2</v>
      </c>
      <c r="K234" s="40">
        <f t="shared" si="51"/>
        <v>1952.6399999999999</v>
      </c>
      <c r="L234" s="179">
        <f t="shared" si="43"/>
        <v>2055.4699999999998</v>
      </c>
      <c r="M234" s="54">
        <f t="shared" si="44"/>
        <v>20.611499999999999</v>
      </c>
      <c r="N234" s="54">
        <f t="shared" si="45"/>
        <v>87.360000000000014</v>
      </c>
      <c r="O234" s="54">
        <f t="shared" si="46"/>
        <v>2050.2719999999999</v>
      </c>
      <c r="P234" s="54">
        <f t="shared" si="47"/>
        <v>2158.2435</v>
      </c>
    </row>
    <row r="235" spans="2:16" ht="15" customHeight="1" x14ac:dyDescent="0.3">
      <c r="B235" s="164">
        <v>395</v>
      </c>
      <c r="C235" s="165">
        <v>1</v>
      </c>
      <c r="D235" s="165">
        <f t="shared" si="41"/>
        <v>1.05</v>
      </c>
      <c r="E235" s="54">
        <f t="shared" si="39"/>
        <v>2.1</v>
      </c>
      <c r="F235" s="54">
        <f t="shared" si="48"/>
        <v>13.65</v>
      </c>
      <c r="G235" s="54">
        <f t="shared" si="49"/>
        <v>399</v>
      </c>
      <c r="H235" s="54">
        <f t="shared" si="42"/>
        <v>414.75</v>
      </c>
      <c r="I235" s="40">
        <f t="shared" si="40"/>
        <v>19.63</v>
      </c>
      <c r="J235" s="40">
        <f t="shared" si="50"/>
        <v>83.2</v>
      </c>
      <c r="K235" s="40">
        <f t="shared" si="51"/>
        <v>2188.7999999999997</v>
      </c>
      <c r="L235" s="179">
        <f t="shared" si="43"/>
        <v>2291.6299999999997</v>
      </c>
      <c r="M235" s="54">
        <f t="shared" si="44"/>
        <v>20.611499999999999</v>
      </c>
      <c r="N235" s="54">
        <f t="shared" si="45"/>
        <v>87.360000000000014</v>
      </c>
      <c r="O235" s="54">
        <f t="shared" si="46"/>
        <v>2298.2399999999998</v>
      </c>
      <c r="P235" s="54">
        <f t="shared" si="47"/>
        <v>2406.2114999999999</v>
      </c>
    </row>
    <row r="236" spans="2:16" ht="15" customHeight="1" x14ac:dyDescent="0.3">
      <c r="B236" s="164">
        <v>404</v>
      </c>
      <c r="C236" s="165">
        <v>1</v>
      </c>
      <c r="D236" s="165">
        <f t="shared" si="41"/>
        <v>1.05</v>
      </c>
      <c r="E236" s="54">
        <f t="shared" si="39"/>
        <v>2.1</v>
      </c>
      <c r="F236" s="54">
        <f t="shared" si="48"/>
        <v>13.65</v>
      </c>
      <c r="G236" s="54">
        <f t="shared" si="49"/>
        <v>408.45000000000005</v>
      </c>
      <c r="H236" s="54">
        <f t="shared" si="42"/>
        <v>424.20000000000005</v>
      </c>
      <c r="I236" s="40">
        <f t="shared" si="40"/>
        <v>19.63</v>
      </c>
      <c r="J236" s="40">
        <f t="shared" si="50"/>
        <v>83.2</v>
      </c>
      <c r="K236" s="40">
        <f t="shared" si="51"/>
        <v>2240.64</v>
      </c>
      <c r="L236" s="179">
        <f t="shared" si="43"/>
        <v>2343.4699999999998</v>
      </c>
      <c r="M236" s="54">
        <f t="shared" si="44"/>
        <v>20.611499999999999</v>
      </c>
      <c r="N236" s="54">
        <f t="shared" si="45"/>
        <v>87.360000000000014</v>
      </c>
      <c r="O236" s="54">
        <f t="shared" si="46"/>
        <v>2352.672</v>
      </c>
      <c r="P236" s="54">
        <f t="shared" si="47"/>
        <v>2460.6435000000001</v>
      </c>
    </row>
    <row r="237" spans="2:16" ht="15" customHeight="1" x14ac:dyDescent="0.3">
      <c r="B237" s="164">
        <v>416</v>
      </c>
      <c r="C237" s="165">
        <v>1</v>
      </c>
      <c r="D237" s="165">
        <f t="shared" si="41"/>
        <v>1.05</v>
      </c>
      <c r="E237" s="54">
        <f t="shared" si="39"/>
        <v>2.1</v>
      </c>
      <c r="F237" s="54">
        <f t="shared" si="48"/>
        <v>13.65</v>
      </c>
      <c r="G237" s="54">
        <f t="shared" si="49"/>
        <v>421.05</v>
      </c>
      <c r="H237" s="54">
        <f t="shared" si="42"/>
        <v>436.8</v>
      </c>
      <c r="I237" s="40">
        <f t="shared" si="40"/>
        <v>19.63</v>
      </c>
      <c r="J237" s="40">
        <f t="shared" si="50"/>
        <v>83.2</v>
      </c>
      <c r="K237" s="40">
        <f t="shared" si="51"/>
        <v>2309.7599999999998</v>
      </c>
      <c r="L237" s="179">
        <f t="shared" si="43"/>
        <v>2412.5899999999997</v>
      </c>
      <c r="M237" s="54">
        <f t="shared" si="44"/>
        <v>20.611499999999999</v>
      </c>
      <c r="N237" s="54">
        <f t="shared" si="45"/>
        <v>87.360000000000014</v>
      </c>
      <c r="O237" s="54">
        <f t="shared" si="46"/>
        <v>2425.248</v>
      </c>
      <c r="P237" s="54">
        <f t="shared" si="47"/>
        <v>2533.2195000000002</v>
      </c>
    </row>
    <row r="238" spans="2:16" ht="15" customHeight="1" x14ac:dyDescent="0.3">
      <c r="B238" s="164">
        <v>420</v>
      </c>
      <c r="C238" s="165">
        <v>1</v>
      </c>
      <c r="D238" s="165">
        <f t="shared" si="41"/>
        <v>1.05</v>
      </c>
      <c r="E238" s="54">
        <f t="shared" si="39"/>
        <v>2.1</v>
      </c>
      <c r="F238" s="54">
        <f t="shared" si="48"/>
        <v>13.65</v>
      </c>
      <c r="G238" s="54">
        <f t="shared" si="49"/>
        <v>425.25</v>
      </c>
      <c r="H238" s="54">
        <f t="shared" si="42"/>
        <v>441</v>
      </c>
      <c r="I238" s="40">
        <f t="shared" si="40"/>
        <v>19.63</v>
      </c>
      <c r="J238" s="40">
        <f t="shared" si="50"/>
        <v>83.2</v>
      </c>
      <c r="K238" s="40">
        <f t="shared" si="51"/>
        <v>2332.7999999999997</v>
      </c>
      <c r="L238" s="179">
        <f t="shared" si="43"/>
        <v>2435.6299999999997</v>
      </c>
      <c r="M238" s="54">
        <f t="shared" si="44"/>
        <v>20.611499999999999</v>
      </c>
      <c r="N238" s="54">
        <f t="shared" si="45"/>
        <v>87.360000000000014</v>
      </c>
      <c r="O238" s="54">
        <f t="shared" si="46"/>
        <v>2449.4399999999996</v>
      </c>
      <c r="P238" s="54">
        <f t="shared" si="47"/>
        <v>2557.4114999999997</v>
      </c>
    </row>
    <row r="239" spans="2:16" ht="15" customHeight="1" x14ac:dyDescent="0.3">
      <c r="B239" s="164">
        <v>424</v>
      </c>
      <c r="C239" s="165">
        <v>1</v>
      </c>
      <c r="D239" s="165">
        <f t="shared" si="41"/>
        <v>1.05</v>
      </c>
      <c r="E239" s="54">
        <f t="shared" si="39"/>
        <v>2.1</v>
      </c>
      <c r="F239" s="54">
        <f t="shared" si="48"/>
        <v>13.65</v>
      </c>
      <c r="G239" s="54">
        <f t="shared" si="49"/>
        <v>429.45000000000005</v>
      </c>
      <c r="H239" s="54">
        <f t="shared" si="42"/>
        <v>445.20000000000005</v>
      </c>
      <c r="I239" s="40">
        <f t="shared" si="40"/>
        <v>19.63</v>
      </c>
      <c r="J239" s="40">
        <f t="shared" si="50"/>
        <v>83.2</v>
      </c>
      <c r="K239" s="40">
        <f t="shared" si="51"/>
        <v>2355.8399999999997</v>
      </c>
      <c r="L239" s="179">
        <f t="shared" si="43"/>
        <v>2458.6699999999996</v>
      </c>
      <c r="M239" s="54">
        <f t="shared" si="44"/>
        <v>20.611499999999999</v>
      </c>
      <c r="N239" s="54">
        <f t="shared" si="45"/>
        <v>87.360000000000014</v>
      </c>
      <c r="O239" s="54">
        <f t="shared" si="46"/>
        <v>2473.6319999999996</v>
      </c>
      <c r="P239" s="54">
        <f t="shared" si="47"/>
        <v>2581.6034999999997</v>
      </c>
    </row>
    <row r="240" spans="2:16" ht="15" customHeight="1" x14ac:dyDescent="0.3">
      <c r="B240" s="164">
        <v>436</v>
      </c>
      <c r="C240" s="165">
        <v>1</v>
      </c>
      <c r="D240" s="165">
        <f t="shared" si="41"/>
        <v>1.05</v>
      </c>
      <c r="E240" s="54">
        <f t="shared" si="39"/>
        <v>2.1</v>
      </c>
      <c r="F240" s="54">
        <f t="shared" si="48"/>
        <v>13.65</v>
      </c>
      <c r="G240" s="54">
        <f t="shared" si="49"/>
        <v>442.05</v>
      </c>
      <c r="H240" s="54">
        <f t="shared" si="42"/>
        <v>457.8</v>
      </c>
      <c r="I240" s="40">
        <f t="shared" si="40"/>
        <v>19.63</v>
      </c>
      <c r="J240" s="40">
        <f t="shared" si="50"/>
        <v>83.2</v>
      </c>
      <c r="K240" s="40">
        <f t="shared" si="51"/>
        <v>2424.96</v>
      </c>
      <c r="L240" s="179">
        <f t="shared" si="43"/>
        <v>2527.79</v>
      </c>
      <c r="M240" s="54">
        <f t="shared" si="44"/>
        <v>20.611499999999999</v>
      </c>
      <c r="N240" s="54">
        <f t="shared" si="45"/>
        <v>87.360000000000014</v>
      </c>
      <c r="O240" s="54">
        <f t="shared" si="46"/>
        <v>2546.2080000000001</v>
      </c>
      <c r="P240" s="54">
        <f t="shared" si="47"/>
        <v>2654.1795000000002</v>
      </c>
    </row>
    <row r="241" spans="2:16" ht="15" customHeight="1" x14ac:dyDescent="0.3">
      <c r="B241" s="164">
        <v>481</v>
      </c>
      <c r="C241" s="165">
        <v>2</v>
      </c>
      <c r="D241" s="165">
        <f t="shared" si="41"/>
        <v>2.1</v>
      </c>
      <c r="E241" s="54">
        <f t="shared" si="39"/>
        <v>4.2</v>
      </c>
      <c r="F241" s="54">
        <f t="shared" si="48"/>
        <v>27.3</v>
      </c>
      <c r="G241" s="54">
        <f t="shared" si="49"/>
        <v>978.6</v>
      </c>
      <c r="H241" s="54">
        <f t="shared" si="42"/>
        <v>1010.1</v>
      </c>
      <c r="I241" s="40">
        <f t="shared" si="40"/>
        <v>19.63</v>
      </c>
      <c r="J241" s="40">
        <f t="shared" si="50"/>
        <v>83.2</v>
      </c>
      <c r="K241" s="40">
        <f t="shared" si="51"/>
        <v>2684.16</v>
      </c>
      <c r="L241" s="179">
        <f t="shared" si="43"/>
        <v>2786.99</v>
      </c>
      <c r="M241" s="54">
        <f t="shared" si="44"/>
        <v>41.222999999999999</v>
      </c>
      <c r="N241" s="54">
        <f t="shared" si="45"/>
        <v>174.72000000000003</v>
      </c>
      <c r="O241" s="54">
        <f t="shared" si="46"/>
        <v>5636.7359999999999</v>
      </c>
      <c r="P241" s="54">
        <f t="shared" si="47"/>
        <v>5852.6790000000001</v>
      </c>
    </row>
    <row r="242" spans="2:16" ht="15" customHeight="1" x14ac:dyDescent="0.3">
      <c r="B242" s="164">
        <v>499</v>
      </c>
      <c r="C242" s="165">
        <v>1</v>
      </c>
      <c r="D242" s="165">
        <f t="shared" si="41"/>
        <v>1.05</v>
      </c>
      <c r="E242" s="54">
        <f t="shared" si="39"/>
        <v>2.1</v>
      </c>
      <c r="F242" s="54">
        <f t="shared" si="48"/>
        <v>13.65</v>
      </c>
      <c r="G242" s="54">
        <f t="shared" si="49"/>
        <v>508.20000000000005</v>
      </c>
      <c r="H242" s="54">
        <f t="shared" si="42"/>
        <v>523.95000000000005</v>
      </c>
      <c r="I242" s="40">
        <f t="shared" si="40"/>
        <v>19.63</v>
      </c>
      <c r="J242" s="40">
        <f t="shared" si="50"/>
        <v>83.2</v>
      </c>
      <c r="K242" s="40">
        <f t="shared" si="51"/>
        <v>2787.8399999999997</v>
      </c>
      <c r="L242" s="179">
        <f t="shared" si="43"/>
        <v>2890.6699999999996</v>
      </c>
      <c r="M242" s="54">
        <f t="shared" si="44"/>
        <v>20.611499999999999</v>
      </c>
      <c r="N242" s="54">
        <f t="shared" si="45"/>
        <v>87.360000000000014</v>
      </c>
      <c r="O242" s="54">
        <f t="shared" si="46"/>
        <v>2927.232</v>
      </c>
      <c r="P242" s="54">
        <f t="shared" si="47"/>
        <v>3035.2035000000001</v>
      </c>
    </row>
    <row r="243" spans="2:16" ht="15" customHeight="1" x14ac:dyDescent="0.3">
      <c r="B243" s="164">
        <v>525</v>
      </c>
      <c r="C243" s="165">
        <v>1</v>
      </c>
      <c r="D243" s="165">
        <f t="shared" si="41"/>
        <v>1.05</v>
      </c>
      <c r="E243" s="54">
        <f t="shared" si="39"/>
        <v>2.1</v>
      </c>
      <c r="F243" s="54">
        <f t="shared" si="48"/>
        <v>13.65</v>
      </c>
      <c r="G243" s="54">
        <f t="shared" si="49"/>
        <v>535.5</v>
      </c>
      <c r="H243" s="54">
        <f t="shared" si="42"/>
        <v>551.25</v>
      </c>
      <c r="I243" s="40">
        <f t="shared" si="40"/>
        <v>19.63</v>
      </c>
      <c r="J243" s="40">
        <f t="shared" si="50"/>
        <v>83.2</v>
      </c>
      <c r="K243" s="40">
        <f t="shared" si="51"/>
        <v>2937.6</v>
      </c>
      <c r="L243" s="179">
        <f t="shared" si="43"/>
        <v>3040.43</v>
      </c>
      <c r="M243" s="54">
        <f t="shared" si="44"/>
        <v>20.611499999999999</v>
      </c>
      <c r="N243" s="54">
        <f t="shared" si="45"/>
        <v>87.360000000000014</v>
      </c>
      <c r="O243" s="54">
        <f t="shared" si="46"/>
        <v>3084.48</v>
      </c>
      <c r="P243" s="54">
        <f t="shared" si="47"/>
        <v>3192.4515000000001</v>
      </c>
    </row>
    <row r="244" spans="2:16" ht="15" customHeight="1" x14ac:dyDescent="0.3">
      <c r="B244" s="164">
        <v>552</v>
      </c>
      <c r="C244" s="165">
        <v>1</v>
      </c>
      <c r="D244" s="165">
        <f t="shared" si="41"/>
        <v>1.05</v>
      </c>
      <c r="E244" s="54">
        <f t="shared" si="39"/>
        <v>2.1</v>
      </c>
      <c r="F244" s="54">
        <f t="shared" si="48"/>
        <v>13.65</v>
      </c>
      <c r="G244" s="54">
        <f t="shared" si="49"/>
        <v>563.85</v>
      </c>
      <c r="H244" s="54">
        <f t="shared" si="42"/>
        <v>579.6</v>
      </c>
      <c r="I244" s="40">
        <f t="shared" si="40"/>
        <v>19.63</v>
      </c>
      <c r="J244" s="40">
        <f t="shared" si="50"/>
        <v>83.2</v>
      </c>
      <c r="K244" s="40">
        <f t="shared" si="51"/>
        <v>3093.12</v>
      </c>
      <c r="L244" s="179">
        <f t="shared" si="43"/>
        <v>3195.95</v>
      </c>
      <c r="M244" s="54">
        <f t="shared" si="44"/>
        <v>20.611499999999999</v>
      </c>
      <c r="N244" s="54">
        <f t="shared" si="45"/>
        <v>87.360000000000014</v>
      </c>
      <c r="O244" s="54">
        <f t="shared" si="46"/>
        <v>3247.7759999999998</v>
      </c>
      <c r="P244" s="54">
        <f t="shared" si="47"/>
        <v>3355.7474999999999</v>
      </c>
    </row>
    <row r="245" spans="2:16" ht="15" customHeight="1" x14ac:dyDescent="0.3">
      <c r="B245" s="164">
        <v>569</v>
      </c>
      <c r="C245" s="165">
        <v>1</v>
      </c>
      <c r="D245" s="165">
        <f t="shared" si="41"/>
        <v>1.05</v>
      </c>
      <c r="E245" s="54">
        <f t="shared" si="39"/>
        <v>2.1</v>
      </c>
      <c r="F245" s="54">
        <f t="shared" si="48"/>
        <v>13.65</v>
      </c>
      <c r="G245" s="54">
        <f t="shared" si="49"/>
        <v>581.70000000000005</v>
      </c>
      <c r="H245" s="54">
        <f t="shared" si="42"/>
        <v>597.45000000000005</v>
      </c>
      <c r="I245" s="40">
        <f t="shared" si="40"/>
        <v>19.63</v>
      </c>
      <c r="J245" s="40">
        <f t="shared" si="50"/>
        <v>83.2</v>
      </c>
      <c r="K245" s="40">
        <f t="shared" si="51"/>
        <v>3191.04</v>
      </c>
      <c r="L245" s="179">
        <f t="shared" si="43"/>
        <v>3293.87</v>
      </c>
      <c r="M245" s="54">
        <f t="shared" si="44"/>
        <v>20.611499999999999</v>
      </c>
      <c r="N245" s="54">
        <f t="shared" si="45"/>
        <v>87.360000000000014</v>
      </c>
      <c r="O245" s="54">
        <f t="shared" si="46"/>
        <v>3350.5920000000001</v>
      </c>
      <c r="P245" s="54">
        <f t="shared" si="47"/>
        <v>3458.5635000000002</v>
      </c>
    </row>
    <row r="246" spans="2:16" ht="15" customHeight="1" x14ac:dyDescent="0.3">
      <c r="B246" s="164">
        <v>1085</v>
      </c>
      <c r="C246" s="165">
        <v>1</v>
      </c>
      <c r="D246" s="165">
        <f t="shared" si="41"/>
        <v>1.05</v>
      </c>
      <c r="E246" s="54">
        <f t="shared" si="39"/>
        <v>2.1</v>
      </c>
      <c r="F246" s="54">
        <f t="shared" si="48"/>
        <v>13.65</v>
      </c>
      <c r="G246" s="54">
        <f t="shared" si="49"/>
        <v>1123.5</v>
      </c>
      <c r="H246" s="54">
        <f t="shared" si="42"/>
        <v>1139.25</v>
      </c>
      <c r="I246" s="40">
        <f t="shared" si="40"/>
        <v>19.63</v>
      </c>
      <c r="J246" s="40">
        <f t="shared" si="50"/>
        <v>83.2</v>
      </c>
      <c r="K246" s="40">
        <f t="shared" si="51"/>
        <v>6163.2</v>
      </c>
      <c r="L246" s="179">
        <f t="shared" si="43"/>
        <v>6266.03</v>
      </c>
      <c r="M246" s="54">
        <f t="shared" si="44"/>
        <v>20.611499999999999</v>
      </c>
      <c r="N246" s="54">
        <f t="shared" si="45"/>
        <v>87.360000000000014</v>
      </c>
      <c r="O246" s="54">
        <f t="shared" si="46"/>
        <v>6471.36</v>
      </c>
      <c r="P246" s="54">
        <f t="shared" si="47"/>
        <v>6579.3314999999993</v>
      </c>
    </row>
    <row r="247" spans="2:16" ht="15" customHeight="1" x14ac:dyDescent="0.3">
      <c r="C247" s="176">
        <f t="shared" ref="C247:D247" si="52">+SUM(C14:C246)</f>
        <v>104214</v>
      </c>
      <c r="D247" s="176">
        <f t="shared" si="52"/>
        <v>109424.7000000002</v>
      </c>
      <c r="E247" s="176">
        <f>+SUM(E14:E246)</f>
        <v>178824.45000000036</v>
      </c>
      <c r="F247" s="176">
        <f t="shared" ref="F247:G247" si="53">+SUM(F14:F246)</f>
        <v>175519.04999999964</v>
      </c>
      <c r="G247" s="176">
        <f t="shared" si="53"/>
        <v>78630.300000000017</v>
      </c>
      <c r="H247" s="176">
        <f>+SUM(H14:H246)</f>
        <v>432973.79999999993</v>
      </c>
      <c r="M247" s="177">
        <f t="shared" ref="M247:P247" si="54">+SUM(M14:M246)</f>
        <v>2148006.8610000159</v>
      </c>
      <c r="N247" s="177">
        <f t="shared" si="54"/>
        <v>1123321.9200000088</v>
      </c>
      <c r="O247" s="177">
        <f t="shared" si="54"/>
        <v>452910.52800000005</v>
      </c>
      <c r="P247" s="177">
        <f t="shared" si="54"/>
        <v>3724239.308999998</v>
      </c>
    </row>
    <row r="251" spans="2:16" ht="15" customHeight="1" x14ac:dyDescent="0.3">
      <c r="B251" s="35" t="s">
        <v>1044</v>
      </c>
      <c r="C251" s="35"/>
      <c r="N251" s="46"/>
    </row>
    <row r="252" spans="2:16" ht="15" customHeight="1" x14ac:dyDescent="0.3">
      <c r="B252" s="36" t="s">
        <v>1777</v>
      </c>
      <c r="M252" s="81"/>
      <c r="N252" s="175"/>
    </row>
    <row r="253" spans="2:16" ht="15" customHeight="1" x14ac:dyDescent="0.3">
      <c r="B253" s="121"/>
      <c r="C253" s="121"/>
      <c r="M253" s="81"/>
      <c r="N253" s="175"/>
    </row>
    <row r="254" spans="2:16" ht="15" customHeight="1" x14ac:dyDescent="0.3">
      <c r="B254" s="121"/>
      <c r="C254" s="121"/>
      <c r="M254" s="81"/>
      <c r="N254" s="175"/>
    </row>
    <row r="255" spans="2:16" ht="15" customHeight="1" x14ac:dyDescent="0.3">
      <c r="B255" s="121"/>
      <c r="C255" s="121"/>
      <c r="M255" s="81"/>
      <c r="N255" s="175"/>
    </row>
    <row r="256" spans="2:16" ht="15" customHeight="1" x14ac:dyDescent="0.3">
      <c r="M256" s="81"/>
      <c r="N256" s="53"/>
    </row>
    <row r="257" spans="2:16" ht="15" customHeight="1" x14ac:dyDescent="0.3">
      <c r="M257" s="81"/>
      <c r="N257" s="53"/>
    </row>
    <row r="258" spans="2:16" ht="15" customHeight="1" x14ac:dyDescent="0.3">
      <c r="H258" s="81" t="s">
        <v>1776</v>
      </c>
      <c r="I258" s="42">
        <f>+'3 - Current-Proposed Rates'!E9</f>
        <v>23.020000000000003</v>
      </c>
      <c r="J258" s="42">
        <f>+'3 - Current-Proposed Rates'!E10</f>
        <v>7.51</v>
      </c>
      <c r="K258" s="42">
        <f>+'3 - Current-Proposed Rates'!E11</f>
        <v>6.76</v>
      </c>
      <c r="M258" s="81"/>
      <c r="N258" s="43"/>
    </row>
    <row r="259" spans="2:16" ht="15" customHeight="1" x14ac:dyDescent="0.3">
      <c r="C259" s="81" t="s">
        <v>1775</v>
      </c>
      <c r="D259" s="178">
        <v>0.05</v>
      </c>
      <c r="L259" s="42"/>
    </row>
    <row r="260" spans="2:16" ht="15" customHeight="1" x14ac:dyDescent="0.3">
      <c r="B260" s="92" t="s">
        <v>201</v>
      </c>
      <c r="C260" s="92"/>
      <c r="D260" s="92" t="s">
        <v>1774</v>
      </c>
      <c r="E260" s="254" t="s">
        <v>1768</v>
      </c>
      <c r="F260" s="254"/>
      <c r="G260" s="254"/>
      <c r="H260" s="254"/>
      <c r="I260" s="254" t="s">
        <v>1762</v>
      </c>
      <c r="J260" s="254"/>
      <c r="K260" s="254"/>
      <c r="L260" s="254"/>
      <c r="M260" s="254" t="s">
        <v>1780</v>
      </c>
      <c r="N260" s="254"/>
      <c r="O260" s="254"/>
      <c r="P260" s="254"/>
    </row>
    <row r="261" spans="2:16" ht="15" customHeight="1" x14ac:dyDescent="0.3">
      <c r="B261" s="92" t="s">
        <v>1761</v>
      </c>
      <c r="C261" s="92" t="s">
        <v>37</v>
      </c>
      <c r="D261" s="92" t="s">
        <v>37</v>
      </c>
      <c r="E261" s="92" t="s">
        <v>1764</v>
      </c>
      <c r="F261" s="170" t="s">
        <v>1769</v>
      </c>
      <c r="G261" s="92" t="s">
        <v>1765</v>
      </c>
      <c r="H261" s="92" t="s">
        <v>24</v>
      </c>
      <c r="I261" s="92" t="s">
        <v>1764</v>
      </c>
      <c r="J261" s="170" t="s">
        <v>1769</v>
      </c>
      <c r="K261" s="92" t="s">
        <v>1765</v>
      </c>
      <c r="L261" s="92" t="s">
        <v>24</v>
      </c>
      <c r="M261" s="92" t="s">
        <v>1764</v>
      </c>
      <c r="N261" s="170" t="s">
        <v>1769</v>
      </c>
      <c r="O261" s="92" t="s">
        <v>1765</v>
      </c>
      <c r="P261" s="92" t="s">
        <v>24</v>
      </c>
    </row>
    <row r="262" spans="2:16" ht="15" customHeight="1" x14ac:dyDescent="0.3">
      <c r="B262" s="169" t="s">
        <v>1763</v>
      </c>
      <c r="C262" s="169" t="s">
        <v>1767</v>
      </c>
      <c r="D262" s="169" t="s">
        <v>1767</v>
      </c>
      <c r="E262" s="169" t="s">
        <v>1763</v>
      </c>
      <c r="F262" s="169" t="s">
        <v>1763</v>
      </c>
      <c r="G262" s="169" t="s">
        <v>1763</v>
      </c>
      <c r="H262" s="169" t="s">
        <v>1763</v>
      </c>
      <c r="I262" s="169" t="s">
        <v>1766</v>
      </c>
      <c r="J262" s="169" t="s">
        <v>1766</v>
      </c>
      <c r="K262" s="169" t="s">
        <v>1766</v>
      </c>
      <c r="L262" s="169" t="s">
        <v>1766</v>
      </c>
      <c r="M262" s="169" t="s">
        <v>1766</v>
      </c>
      <c r="N262" s="169" t="s">
        <v>1766</v>
      </c>
      <c r="O262" s="169" t="s">
        <v>1766</v>
      </c>
      <c r="P262" s="169" t="s">
        <v>1766</v>
      </c>
    </row>
    <row r="263" spans="2:16" ht="15" customHeight="1" x14ac:dyDescent="0.3">
      <c r="B263" s="164">
        <v>0</v>
      </c>
      <c r="C263" s="165">
        <v>9207</v>
      </c>
      <c r="D263" s="165">
        <f>+C263*(1+$D$10)</f>
        <v>9667.35</v>
      </c>
      <c r="E263" s="54">
        <f t="shared" ref="E263:E326" si="55">+IF($B263&gt;2,2,$B263)*$D263</f>
        <v>0</v>
      </c>
      <c r="F263" s="54">
        <v>0</v>
      </c>
      <c r="G263" s="54">
        <v>0</v>
      </c>
      <c r="H263" s="54">
        <f>+SUM(E263:G263)</f>
        <v>0</v>
      </c>
      <c r="I263" s="40">
        <f>+$I$258</f>
        <v>23.020000000000003</v>
      </c>
      <c r="J263" s="40">
        <v>0</v>
      </c>
      <c r="K263" s="179"/>
      <c r="L263" s="179">
        <f>+SUM(I263:K263)</f>
        <v>23.020000000000003</v>
      </c>
      <c r="M263" s="54">
        <f>+I263*$D263</f>
        <v>222542.39700000003</v>
      </c>
      <c r="N263" s="54">
        <f>+J263*$D263</f>
        <v>0</v>
      </c>
      <c r="O263" s="54">
        <f>+K263*$D263</f>
        <v>0</v>
      </c>
      <c r="P263" s="54">
        <f>+SUM(M263:O263)</f>
        <v>222542.39700000003</v>
      </c>
    </row>
    <row r="264" spans="2:16" ht="15" customHeight="1" x14ac:dyDescent="0.3">
      <c r="B264" s="164">
        <v>1</v>
      </c>
      <c r="C264" s="165">
        <v>19705</v>
      </c>
      <c r="D264" s="165">
        <f t="shared" ref="D264:D327" si="56">+C264*(1+$D$10)</f>
        <v>20690.25</v>
      </c>
      <c r="E264" s="54">
        <f t="shared" si="55"/>
        <v>20690.25</v>
      </c>
      <c r="F264" s="54">
        <v>0</v>
      </c>
      <c r="G264" s="54">
        <v>0</v>
      </c>
      <c r="H264" s="54">
        <f t="shared" ref="H264:H327" si="57">+SUM(E264:G264)</f>
        <v>20690.25</v>
      </c>
      <c r="I264" s="40">
        <f t="shared" ref="I264:I327" si="58">+$I$258</f>
        <v>23.020000000000003</v>
      </c>
      <c r="J264" s="40">
        <v>0</v>
      </c>
      <c r="K264" s="179"/>
      <c r="L264" s="179">
        <f t="shared" ref="L264:L327" si="59">+SUM(I264:K264)</f>
        <v>23.020000000000003</v>
      </c>
      <c r="M264" s="54">
        <f t="shared" ref="M264:M327" si="60">+I264*$D264</f>
        <v>476289.55500000005</v>
      </c>
      <c r="N264" s="54">
        <f t="shared" ref="N264:N327" si="61">+J264*$D264</f>
        <v>0</v>
      </c>
      <c r="O264" s="54">
        <f t="shared" ref="O264:O327" si="62">+K264*$D264</f>
        <v>0</v>
      </c>
      <c r="P264" s="54">
        <f t="shared" ref="P264:P327" si="63">+SUM(M264:O264)</f>
        <v>476289.55500000005</v>
      </c>
    </row>
    <row r="265" spans="2:16" ht="15" customHeight="1" x14ac:dyDescent="0.3">
      <c r="B265" s="166">
        <v>2</v>
      </c>
      <c r="C265" s="167">
        <v>21864</v>
      </c>
      <c r="D265" s="167">
        <f t="shared" si="56"/>
        <v>22957.200000000001</v>
      </c>
      <c r="E265" s="171">
        <f t="shared" si="55"/>
        <v>45914.400000000001</v>
      </c>
      <c r="F265" s="171">
        <v>0</v>
      </c>
      <c r="G265" s="171">
        <v>0</v>
      </c>
      <c r="H265" s="171">
        <f t="shared" si="57"/>
        <v>45914.400000000001</v>
      </c>
      <c r="I265" s="182">
        <f t="shared" si="58"/>
        <v>23.020000000000003</v>
      </c>
      <c r="J265" s="182">
        <v>0</v>
      </c>
      <c r="K265" s="180"/>
      <c r="L265" s="180">
        <f t="shared" si="59"/>
        <v>23.020000000000003</v>
      </c>
      <c r="M265" s="171">
        <f t="shared" si="60"/>
        <v>528474.74400000006</v>
      </c>
      <c r="N265" s="171">
        <f t="shared" si="61"/>
        <v>0</v>
      </c>
      <c r="O265" s="171">
        <f t="shared" si="62"/>
        <v>0</v>
      </c>
      <c r="P265" s="171">
        <f t="shared" si="63"/>
        <v>528474.74400000006</v>
      </c>
    </row>
    <row r="266" spans="2:16" ht="15" customHeight="1" x14ac:dyDescent="0.3">
      <c r="B266" s="164">
        <v>3</v>
      </c>
      <c r="C266" s="165">
        <v>18733</v>
      </c>
      <c r="D266" s="165">
        <f t="shared" si="56"/>
        <v>19669.650000000001</v>
      </c>
      <c r="E266" s="54">
        <f t="shared" si="55"/>
        <v>39339.300000000003</v>
      </c>
      <c r="F266" s="54">
        <f t="shared" ref="F266:F329" si="64">+IF($B266&gt;15,13,$B266-2)*$D266</f>
        <v>19669.650000000001</v>
      </c>
      <c r="G266" s="54">
        <f t="shared" ref="G266:G329" si="65">+IF($B266&gt;15,$B266-15,0)*$D266</f>
        <v>0</v>
      </c>
      <c r="H266" s="54">
        <f t="shared" si="57"/>
        <v>59008.950000000004</v>
      </c>
      <c r="I266" s="40">
        <f t="shared" si="58"/>
        <v>23.020000000000003</v>
      </c>
      <c r="J266" s="40">
        <f>+IF($B266&gt;15,13,$B266-2)*$J$258</f>
        <v>7.51</v>
      </c>
      <c r="K266" s="40">
        <f>+IF($B266&gt;15,$B266-15,0)*$K$258</f>
        <v>0</v>
      </c>
      <c r="L266" s="179">
        <f t="shared" si="59"/>
        <v>30.53</v>
      </c>
      <c r="M266" s="54">
        <f t="shared" si="60"/>
        <v>452795.34300000011</v>
      </c>
      <c r="N266" s="54">
        <f t="shared" si="61"/>
        <v>147719.07150000002</v>
      </c>
      <c r="O266" s="54">
        <f t="shared" si="62"/>
        <v>0</v>
      </c>
      <c r="P266" s="54">
        <f t="shared" si="63"/>
        <v>600514.41450000019</v>
      </c>
    </row>
    <row r="267" spans="2:16" ht="15" customHeight="1" x14ac:dyDescent="0.3">
      <c r="B267" s="164">
        <v>4</v>
      </c>
      <c r="C267" s="165">
        <v>12622</v>
      </c>
      <c r="D267" s="165">
        <f t="shared" si="56"/>
        <v>13253.1</v>
      </c>
      <c r="E267" s="54">
        <f t="shared" si="55"/>
        <v>26506.2</v>
      </c>
      <c r="F267" s="54">
        <f t="shared" si="64"/>
        <v>26506.2</v>
      </c>
      <c r="G267" s="54">
        <f t="shared" si="65"/>
        <v>0</v>
      </c>
      <c r="H267" s="54">
        <f t="shared" si="57"/>
        <v>53012.4</v>
      </c>
      <c r="I267" s="40">
        <f t="shared" si="58"/>
        <v>23.020000000000003</v>
      </c>
      <c r="J267" s="40">
        <f t="shared" ref="J267:J330" si="66">+IF($B267&gt;15,13,$B267-2)*$J$258</f>
        <v>15.02</v>
      </c>
      <c r="K267" s="40">
        <f t="shared" ref="K267:K330" si="67">+IF($B267&gt;15,$B267-15,0)*$K$258</f>
        <v>0</v>
      </c>
      <c r="L267" s="179">
        <f t="shared" si="59"/>
        <v>38.040000000000006</v>
      </c>
      <c r="M267" s="54">
        <f t="shared" si="60"/>
        <v>305086.36200000002</v>
      </c>
      <c r="N267" s="54">
        <f t="shared" si="61"/>
        <v>199061.56200000001</v>
      </c>
      <c r="O267" s="54">
        <f t="shared" si="62"/>
        <v>0</v>
      </c>
      <c r="P267" s="54">
        <f t="shared" si="63"/>
        <v>504147.924</v>
      </c>
    </row>
    <row r="268" spans="2:16" ht="15" customHeight="1" x14ac:dyDescent="0.3">
      <c r="B268" s="164">
        <v>5</v>
      </c>
      <c r="C268" s="165">
        <v>7621</v>
      </c>
      <c r="D268" s="165">
        <f t="shared" si="56"/>
        <v>8002.05</v>
      </c>
      <c r="E268" s="54">
        <f t="shared" si="55"/>
        <v>16004.1</v>
      </c>
      <c r="F268" s="54">
        <f t="shared" si="64"/>
        <v>24006.15</v>
      </c>
      <c r="G268" s="54">
        <f t="shared" si="65"/>
        <v>0</v>
      </c>
      <c r="H268" s="54">
        <f t="shared" si="57"/>
        <v>40010.25</v>
      </c>
      <c r="I268" s="40">
        <f t="shared" si="58"/>
        <v>23.020000000000003</v>
      </c>
      <c r="J268" s="40">
        <f t="shared" si="66"/>
        <v>22.53</v>
      </c>
      <c r="K268" s="40">
        <f t="shared" si="67"/>
        <v>0</v>
      </c>
      <c r="L268" s="179">
        <f t="shared" si="59"/>
        <v>45.550000000000004</v>
      </c>
      <c r="M268" s="54">
        <f t="shared" si="60"/>
        <v>184207.19100000002</v>
      </c>
      <c r="N268" s="54">
        <f t="shared" si="61"/>
        <v>180286.18650000001</v>
      </c>
      <c r="O268" s="54">
        <f t="shared" si="62"/>
        <v>0</v>
      </c>
      <c r="P268" s="54">
        <f t="shared" si="63"/>
        <v>364493.37750000006</v>
      </c>
    </row>
    <row r="269" spans="2:16" ht="15" customHeight="1" x14ac:dyDescent="0.3">
      <c r="B269" s="164">
        <v>6</v>
      </c>
      <c r="C269" s="165">
        <v>4549</v>
      </c>
      <c r="D269" s="165">
        <f t="shared" si="56"/>
        <v>4776.45</v>
      </c>
      <c r="E269" s="54">
        <f t="shared" si="55"/>
        <v>9552.9</v>
      </c>
      <c r="F269" s="54">
        <f t="shared" si="64"/>
        <v>19105.8</v>
      </c>
      <c r="G269" s="54">
        <f t="shared" si="65"/>
        <v>0</v>
      </c>
      <c r="H269" s="54">
        <f t="shared" si="57"/>
        <v>28658.699999999997</v>
      </c>
      <c r="I269" s="40">
        <f t="shared" si="58"/>
        <v>23.020000000000003</v>
      </c>
      <c r="J269" s="40">
        <f t="shared" si="66"/>
        <v>30.04</v>
      </c>
      <c r="K269" s="40">
        <f t="shared" si="67"/>
        <v>0</v>
      </c>
      <c r="L269" s="179">
        <f t="shared" si="59"/>
        <v>53.06</v>
      </c>
      <c r="M269" s="54">
        <f t="shared" si="60"/>
        <v>109953.87900000002</v>
      </c>
      <c r="N269" s="54">
        <f t="shared" si="61"/>
        <v>143484.55799999999</v>
      </c>
      <c r="O269" s="54">
        <f t="shared" si="62"/>
        <v>0</v>
      </c>
      <c r="P269" s="54">
        <f t="shared" si="63"/>
        <v>253438.43700000001</v>
      </c>
    </row>
    <row r="270" spans="2:16" ht="15" customHeight="1" x14ac:dyDescent="0.3">
      <c r="B270" s="164">
        <v>7</v>
      </c>
      <c r="C270" s="165">
        <v>2650</v>
      </c>
      <c r="D270" s="165">
        <f t="shared" si="56"/>
        <v>2782.5</v>
      </c>
      <c r="E270" s="54">
        <f t="shared" si="55"/>
        <v>5565</v>
      </c>
      <c r="F270" s="54">
        <f t="shared" si="64"/>
        <v>13912.5</v>
      </c>
      <c r="G270" s="54">
        <f t="shared" si="65"/>
        <v>0</v>
      </c>
      <c r="H270" s="54">
        <f t="shared" si="57"/>
        <v>19477.5</v>
      </c>
      <c r="I270" s="40">
        <f t="shared" si="58"/>
        <v>23.020000000000003</v>
      </c>
      <c r="J270" s="40">
        <f t="shared" si="66"/>
        <v>37.549999999999997</v>
      </c>
      <c r="K270" s="40">
        <f t="shared" si="67"/>
        <v>0</v>
      </c>
      <c r="L270" s="179">
        <f t="shared" si="59"/>
        <v>60.57</v>
      </c>
      <c r="M270" s="54">
        <f t="shared" si="60"/>
        <v>64053.150000000009</v>
      </c>
      <c r="N270" s="54">
        <f t="shared" si="61"/>
        <v>104482.87499999999</v>
      </c>
      <c r="O270" s="54">
        <f t="shared" si="62"/>
        <v>0</v>
      </c>
      <c r="P270" s="54">
        <f t="shared" si="63"/>
        <v>168536.02499999999</v>
      </c>
    </row>
    <row r="271" spans="2:16" ht="15" customHeight="1" x14ac:dyDescent="0.3">
      <c r="B271" s="164">
        <v>8</v>
      </c>
      <c r="C271" s="165">
        <v>1642</v>
      </c>
      <c r="D271" s="165">
        <f t="shared" si="56"/>
        <v>1724.1000000000001</v>
      </c>
      <c r="E271" s="54">
        <f t="shared" si="55"/>
        <v>3448.2000000000003</v>
      </c>
      <c r="F271" s="54">
        <f t="shared" si="64"/>
        <v>10344.6</v>
      </c>
      <c r="G271" s="54">
        <f t="shared" si="65"/>
        <v>0</v>
      </c>
      <c r="H271" s="54">
        <f t="shared" si="57"/>
        <v>13792.800000000001</v>
      </c>
      <c r="I271" s="40">
        <f t="shared" si="58"/>
        <v>23.020000000000003</v>
      </c>
      <c r="J271" s="40">
        <f t="shared" si="66"/>
        <v>45.06</v>
      </c>
      <c r="K271" s="40">
        <f t="shared" si="67"/>
        <v>0</v>
      </c>
      <c r="L271" s="179">
        <f t="shared" si="59"/>
        <v>68.080000000000013</v>
      </c>
      <c r="M271" s="54">
        <f t="shared" si="60"/>
        <v>39688.782000000007</v>
      </c>
      <c r="N271" s="54">
        <f t="shared" si="61"/>
        <v>77687.946000000011</v>
      </c>
      <c r="O271" s="54">
        <f t="shared" si="62"/>
        <v>0</v>
      </c>
      <c r="P271" s="54">
        <f t="shared" si="63"/>
        <v>117376.72800000002</v>
      </c>
    </row>
    <row r="272" spans="2:16" ht="15" customHeight="1" x14ac:dyDescent="0.3">
      <c r="B272" s="164">
        <v>9</v>
      </c>
      <c r="C272" s="165">
        <v>1021</v>
      </c>
      <c r="D272" s="165">
        <f t="shared" si="56"/>
        <v>1072.05</v>
      </c>
      <c r="E272" s="54">
        <f t="shared" si="55"/>
        <v>2144.1</v>
      </c>
      <c r="F272" s="54">
        <f t="shared" si="64"/>
        <v>7504.3499999999995</v>
      </c>
      <c r="G272" s="54">
        <f t="shared" si="65"/>
        <v>0</v>
      </c>
      <c r="H272" s="54">
        <f t="shared" si="57"/>
        <v>9648.4499999999989</v>
      </c>
      <c r="I272" s="40">
        <f t="shared" si="58"/>
        <v>23.020000000000003</v>
      </c>
      <c r="J272" s="40">
        <f t="shared" si="66"/>
        <v>52.57</v>
      </c>
      <c r="K272" s="40">
        <f t="shared" si="67"/>
        <v>0</v>
      </c>
      <c r="L272" s="179">
        <f t="shared" si="59"/>
        <v>75.59</v>
      </c>
      <c r="M272" s="54">
        <f t="shared" si="60"/>
        <v>24678.591000000004</v>
      </c>
      <c r="N272" s="54">
        <f t="shared" si="61"/>
        <v>56357.6685</v>
      </c>
      <c r="O272" s="54">
        <f t="shared" si="62"/>
        <v>0</v>
      </c>
      <c r="P272" s="54">
        <f t="shared" si="63"/>
        <v>81036.2595</v>
      </c>
    </row>
    <row r="273" spans="2:16" ht="15" customHeight="1" x14ac:dyDescent="0.3">
      <c r="B273" s="164">
        <v>10</v>
      </c>
      <c r="C273" s="165">
        <v>743</v>
      </c>
      <c r="D273" s="165">
        <f t="shared" si="56"/>
        <v>780.15</v>
      </c>
      <c r="E273" s="54">
        <f t="shared" si="55"/>
        <v>1560.3</v>
      </c>
      <c r="F273" s="54">
        <f t="shared" si="64"/>
        <v>6241.2</v>
      </c>
      <c r="G273" s="54">
        <f t="shared" si="65"/>
        <v>0</v>
      </c>
      <c r="H273" s="54">
        <f t="shared" si="57"/>
        <v>7801.5</v>
      </c>
      <c r="I273" s="40">
        <f t="shared" si="58"/>
        <v>23.020000000000003</v>
      </c>
      <c r="J273" s="40">
        <f t="shared" si="66"/>
        <v>60.08</v>
      </c>
      <c r="K273" s="40">
        <f t="shared" si="67"/>
        <v>0</v>
      </c>
      <c r="L273" s="179">
        <f t="shared" si="59"/>
        <v>83.1</v>
      </c>
      <c r="M273" s="54">
        <f t="shared" si="60"/>
        <v>17959.053000000004</v>
      </c>
      <c r="N273" s="54">
        <f t="shared" si="61"/>
        <v>46871.411999999997</v>
      </c>
      <c r="O273" s="54">
        <f t="shared" si="62"/>
        <v>0</v>
      </c>
      <c r="P273" s="54">
        <f t="shared" si="63"/>
        <v>64830.464999999997</v>
      </c>
    </row>
    <row r="274" spans="2:16" ht="15" customHeight="1" x14ac:dyDescent="0.3">
      <c r="B274" s="164">
        <v>11</v>
      </c>
      <c r="C274" s="165">
        <v>528</v>
      </c>
      <c r="D274" s="165">
        <f t="shared" si="56"/>
        <v>554.4</v>
      </c>
      <c r="E274" s="54">
        <f t="shared" si="55"/>
        <v>1108.8</v>
      </c>
      <c r="F274" s="54">
        <f t="shared" si="64"/>
        <v>4989.5999999999995</v>
      </c>
      <c r="G274" s="54">
        <f t="shared" si="65"/>
        <v>0</v>
      </c>
      <c r="H274" s="54">
        <f t="shared" si="57"/>
        <v>6098.4</v>
      </c>
      <c r="I274" s="40">
        <f t="shared" si="58"/>
        <v>23.020000000000003</v>
      </c>
      <c r="J274" s="40">
        <f t="shared" si="66"/>
        <v>67.59</v>
      </c>
      <c r="K274" s="40">
        <f t="shared" si="67"/>
        <v>0</v>
      </c>
      <c r="L274" s="179">
        <f t="shared" si="59"/>
        <v>90.610000000000014</v>
      </c>
      <c r="M274" s="54">
        <f t="shared" si="60"/>
        <v>12762.288</v>
      </c>
      <c r="N274" s="54">
        <f t="shared" si="61"/>
        <v>37471.896000000001</v>
      </c>
      <c r="O274" s="54">
        <f t="shared" si="62"/>
        <v>0</v>
      </c>
      <c r="P274" s="54">
        <f t="shared" si="63"/>
        <v>50234.184000000001</v>
      </c>
    </row>
    <row r="275" spans="2:16" ht="15" customHeight="1" x14ac:dyDescent="0.3">
      <c r="B275" s="164">
        <v>12</v>
      </c>
      <c r="C275" s="165">
        <v>403</v>
      </c>
      <c r="D275" s="165">
        <f t="shared" si="56"/>
        <v>423.15000000000003</v>
      </c>
      <c r="E275" s="54">
        <f t="shared" si="55"/>
        <v>846.30000000000007</v>
      </c>
      <c r="F275" s="54">
        <f t="shared" si="64"/>
        <v>4231.5</v>
      </c>
      <c r="G275" s="54">
        <f t="shared" si="65"/>
        <v>0</v>
      </c>
      <c r="H275" s="54">
        <f t="shared" si="57"/>
        <v>5077.8</v>
      </c>
      <c r="I275" s="40">
        <f t="shared" si="58"/>
        <v>23.020000000000003</v>
      </c>
      <c r="J275" s="40">
        <f t="shared" si="66"/>
        <v>75.099999999999994</v>
      </c>
      <c r="K275" s="40">
        <f t="shared" si="67"/>
        <v>0</v>
      </c>
      <c r="L275" s="179">
        <f t="shared" si="59"/>
        <v>98.12</v>
      </c>
      <c r="M275" s="54">
        <f t="shared" si="60"/>
        <v>9740.9130000000023</v>
      </c>
      <c r="N275" s="54">
        <f t="shared" si="61"/>
        <v>31778.564999999999</v>
      </c>
      <c r="O275" s="54">
        <f t="shared" si="62"/>
        <v>0</v>
      </c>
      <c r="P275" s="54">
        <f t="shared" si="63"/>
        <v>41519.478000000003</v>
      </c>
    </row>
    <row r="276" spans="2:16" ht="15" customHeight="1" x14ac:dyDescent="0.3">
      <c r="B276" s="164">
        <v>13</v>
      </c>
      <c r="C276" s="165">
        <v>317</v>
      </c>
      <c r="D276" s="165">
        <f t="shared" si="56"/>
        <v>332.85</v>
      </c>
      <c r="E276" s="54">
        <f t="shared" si="55"/>
        <v>665.7</v>
      </c>
      <c r="F276" s="54">
        <f t="shared" si="64"/>
        <v>3661.3500000000004</v>
      </c>
      <c r="G276" s="54">
        <f t="shared" si="65"/>
        <v>0</v>
      </c>
      <c r="H276" s="54">
        <f t="shared" si="57"/>
        <v>4327.05</v>
      </c>
      <c r="I276" s="40">
        <f t="shared" si="58"/>
        <v>23.020000000000003</v>
      </c>
      <c r="J276" s="40">
        <f t="shared" si="66"/>
        <v>82.61</v>
      </c>
      <c r="K276" s="40">
        <f t="shared" si="67"/>
        <v>0</v>
      </c>
      <c r="L276" s="179">
        <f t="shared" si="59"/>
        <v>105.63</v>
      </c>
      <c r="M276" s="54">
        <f t="shared" si="60"/>
        <v>7662.2070000000012</v>
      </c>
      <c r="N276" s="54">
        <f t="shared" si="61"/>
        <v>27496.738500000003</v>
      </c>
      <c r="O276" s="54">
        <f t="shared" si="62"/>
        <v>0</v>
      </c>
      <c r="P276" s="54">
        <f t="shared" si="63"/>
        <v>35158.945500000002</v>
      </c>
    </row>
    <row r="277" spans="2:16" ht="15" customHeight="1" x14ac:dyDescent="0.3">
      <c r="B277" s="164">
        <v>14</v>
      </c>
      <c r="C277" s="165">
        <v>254</v>
      </c>
      <c r="D277" s="165">
        <f t="shared" si="56"/>
        <v>266.7</v>
      </c>
      <c r="E277" s="54">
        <f t="shared" si="55"/>
        <v>533.4</v>
      </c>
      <c r="F277" s="54">
        <f t="shared" si="64"/>
        <v>3200.3999999999996</v>
      </c>
      <c r="G277" s="54">
        <f t="shared" si="65"/>
        <v>0</v>
      </c>
      <c r="H277" s="54">
        <f t="shared" si="57"/>
        <v>3733.7999999999997</v>
      </c>
      <c r="I277" s="40">
        <f t="shared" si="58"/>
        <v>23.020000000000003</v>
      </c>
      <c r="J277" s="40">
        <f t="shared" si="66"/>
        <v>90.12</v>
      </c>
      <c r="K277" s="40">
        <f t="shared" si="67"/>
        <v>0</v>
      </c>
      <c r="L277" s="179">
        <f t="shared" si="59"/>
        <v>113.14000000000001</v>
      </c>
      <c r="M277" s="54">
        <f t="shared" si="60"/>
        <v>6139.4340000000002</v>
      </c>
      <c r="N277" s="54">
        <f t="shared" si="61"/>
        <v>24035.004000000001</v>
      </c>
      <c r="O277" s="54">
        <f t="shared" si="62"/>
        <v>0</v>
      </c>
      <c r="P277" s="54">
        <f t="shared" si="63"/>
        <v>30174.438000000002</v>
      </c>
    </row>
    <row r="278" spans="2:16" ht="15" customHeight="1" x14ac:dyDescent="0.3">
      <c r="B278" s="166">
        <v>15</v>
      </c>
      <c r="C278" s="167">
        <v>211</v>
      </c>
      <c r="D278" s="167">
        <f t="shared" si="56"/>
        <v>221.55</v>
      </c>
      <c r="E278" s="171">
        <f t="shared" si="55"/>
        <v>443.1</v>
      </c>
      <c r="F278" s="171">
        <f t="shared" si="64"/>
        <v>2880.15</v>
      </c>
      <c r="G278" s="171">
        <f t="shared" si="65"/>
        <v>0</v>
      </c>
      <c r="H278" s="171">
        <f t="shared" si="57"/>
        <v>3323.25</v>
      </c>
      <c r="I278" s="182">
        <f t="shared" si="58"/>
        <v>23.020000000000003</v>
      </c>
      <c r="J278" s="182">
        <f t="shared" si="66"/>
        <v>97.63</v>
      </c>
      <c r="K278" s="182">
        <f t="shared" si="67"/>
        <v>0</v>
      </c>
      <c r="L278" s="180">
        <f t="shared" si="59"/>
        <v>120.65</v>
      </c>
      <c r="M278" s="171">
        <f t="shared" si="60"/>
        <v>5100.081000000001</v>
      </c>
      <c r="N278" s="171">
        <f t="shared" si="61"/>
        <v>21629.926500000001</v>
      </c>
      <c r="O278" s="171">
        <f t="shared" si="62"/>
        <v>0</v>
      </c>
      <c r="P278" s="171">
        <f t="shared" si="63"/>
        <v>26730.007500000003</v>
      </c>
    </row>
    <row r="279" spans="2:16" ht="15" customHeight="1" x14ac:dyDescent="0.3">
      <c r="B279" s="164">
        <v>16</v>
      </c>
      <c r="C279" s="165">
        <v>183</v>
      </c>
      <c r="D279" s="165">
        <f t="shared" si="56"/>
        <v>192.15</v>
      </c>
      <c r="E279" s="54">
        <f t="shared" si="55"/>
        <v>384.3</v>
      </c>
      <c r="F279" s="54">
        <f t="shared" si="64"/>
        <v>2497.9500000000003</v>
      </c>
      <c r="G279" s="54">
        <f t="shared" si="65"/>
        <v>192.15</v>
      </c>
      <c r="H279" s="54">
        <f t="shared" si="57"/>
        <v>3074.4000000000005</v>
      </c>
      <c r="I279" s="40">
        <f t="shared" si="58"/>
        <v>23.020000000000003</v>
      </c>
      <c r="J279" s="40">
        <f t="shared" si="66"/>
        <v>97.63</v>
      </c>
      <c r="K279" s="40">
        <f t="shared" si="67"/>
        <v>6.76</v>
      </c>
      <c r="L279" s="179">
        <f t="shared" si="59"/>
        <v>127.41000000000001</v>
      </c>
      <c r="M279" s="54">
        <f t="shared" si="60"/>
        <v>4423.2930000000006</v>
      </c>
      <c r="N279" s="54">
        <f t="shared" si="61"/>
        <v>18759.604500000001</v>
      </c>
      <c r="O279" s="54">
        <f t="shared" si="62"/>
        <v>1298.934</v>
      </c>
      <c r="P279" s="54">
        <f t="shared" si="63"/>
        <v>24481.831500000004</v>
      </c>
    </row>
    <row r="280" spans="2:16" ht="15" customHeight="1" x14ac:dyDescent="0.3">
      <c r="B280" s="164">
        <v>17</v>
      </c>
      <c r="C280" s="165">
        <v>130</v>
      </c>
      <c r="D280" s="165">
        <f t="shared" si="56"/>
        <v>136.5</v>
      </c>
      <c r="E280" s="54">
        <f t="shared" si="55"/>
        <v>273</v>
      </c>
      <c r="F280" s="54">
        <f t="shared" si="64"/>
        <v>1774.5</v>
      </c>
      <c r="G280" s="54">
        <f t="shared" si="65"/>
        <v>273</v>
      </c>
      <c r="H280" s="54">
        <f t="shared" si="57"/>
        <v>2320.5</v>
      </c>
      <c r="I280" s="40">
        <f t="shared" si="58"/>
        <v>23.020000000000003</v>
      </c>
      <c r="J280" s="40">
        <f t="shared" si="66"/>
        <v>97.63</v>
      </c>
      <c r="K280" s="40">
        <f t="shared" si="67"/>
        <v>13.52</v>
      </c>
      <c r="L280" s="179">
        <f t="shared" si="59"/>
        <v>134.17000000000002</v>
      </c>
      <c r="M280" s="54">
        <f t="shared" si="60"/>
        <v>3142.2300000000005</v>
      </c>
      <c r="N280" s="54">
        <f t="shared" si="61"/>
        <v>13326.494999999999</v>
      </c>
      <c r="O280" s="54">
        <f t="shared" si="62"/>
        <v>1845.48</v>
      </c>
      <c r="P280" s="54">
        <f t="shared" si="63"/>
        <v>18314.204999999998</v>
      </c>
    </row>
    <row r="281" spans="2:16" ht="15" customHeight="1" x14ac:dyDescent="0.3">
      <c r="B281" s="164">
        <v>18</v>
      </c>
      <c r="C281" s="165">
        <v>123</v>
      </c>
      <c r="D281" s="165">
        <f t="shared" si="56"/>
        <v>129.15</v>
      </c>
      <c r="E281" s="54">
        <f t="shared" si="55"/>
        <v>258.3</v>
      </c>
      <c r="F281" s="54">
        <f t="shared" si="64"/>
        <v>1678.95</v>
      </c>
      <c r="G281" s="54">
        <f t="shared" si="65"/>
        <v>387.45000000000005</v>
      </c>
      <c r="H281" s="54">
        <f t="shared" si="57"/>
        <v>2324.6999999999998</v>
      </c>
      <c r="I281" s="40">
        <f t="shared" si="58"/>
        <v>23.020000000000003</v>
      </c>
      <c r="J281" s="40">
        <f t="shared" si="66"/>
        <v>97.63</v>
      </c>
      <c r="K281" s="40">
        <f t="shared" si="67"/>
        <v>20.28</v>
      </c>
      <c r="L281" s="179">
        <f t="shared" si="59"/>
        <v>140.93</v>
      </c>
      <c r="M281" s="54">
        <f t="shared" si="60"/>
        <v>2973.0330000000004</v>
      </c>
      <c r="N281" s="54">
        <f t="shared" si="61"/>
        <v>12608.914500000001</v>
      </c>
      <c r="O281" s="54">
        <f t="shared" si="62"/>
        <v>2619.1620000000003</v>
      </c>
      <c r="P281" s="54">
        <f t="shared" si="63"/>
        <v>18201.109500000002</v>
      </c>
    </row>
    <row r="282" spans="2:16" ht="15" customHeight="1" x14ac:dyDescent="0.3">
      <c r="B282" s="164">
        <v>19</v>
      </c>
      <c r="C282" s="165">
        <v>78</v>
      </c>
      <c r="D282" s="165">
        <f t="shared" si="56"/>
        <v>81.900000000000006</v>
      </c>
      <c r="E282" s="54">
        <f t="shared" si="55"/>
        <v>163.80000000000001</v>
      </c>
      <c r="F282" s="54">
        <f t="shared" si="64"/>
        <v>1064.7</v>
      </c>
      <c r="G282" s="54">
        <f t="shared" si="65"/>
        <v>327.60000000000002</v>
      </c>
      <c r="H282" s="54">
        <f t="shared" si="57"/>
        <v>1556.1</v>
      </c>
      <c r="I282" s="40">
        <f t="shared" si="58"/>
        <v>23.020000000000003</v>
      </c>
      <c r="J282" s="40">
        <f t="shared" si="66"/>
        <v>97.63</v>
      </c>
      <c r="K282" s="40">
        <f t="shared" si="67"/>
        <v>27.04</v>
      </c>
      <c r="L282" s="179">
        <f t="shared" si="59"/>
        <v>147.69</v>
      </c>
      <c r="M282" s="54">
        <f t="shared" si="60"/>
        <v>1885.3380000000004</v>
      </c>
      <c r="N282" s="54">
        <f t="shared" si="61"/>
        <v>7995.8969999999999</v>
      </c>
      <c r="O282" s="54">
        <f t="shared" si="62"/>
        <v>2214.576</v>
      </c>
      <c r="P282" s="54">
        <f t="shared" si="63"/>
        <v>12095.811000000002</v>
      </c>
    </row>
    <row r="283" spans="2:16" ht="15" customHeight="1" x14ac:dyDescent="0.3">
      <c r="B283" s="164">
        <v>20</v>
      </c>
      <c r="C283" s="165">
        <v>107</v>
      </c>
      <c r="D283" s="165">
        <f t="shared" si="56"/>
        <v>112.35000000000001</v>
      </c>
      <c r="E283" s="54">
        <f t="shared" si="55"/>
        <v>224.70000000000002</v>
      </c>
      <c r="F283" s="54">
        <f t="shared" si="64"/>
        <v>1460.5500000000002</v>
      </c>
      <c r="G283" s="54">
        <f t="shared" si="65"/>
        <v>561.75</v>
      </c>
      <c r="H283" s="54">
        <f t="shared" si="57"/>
        <v>2247</v>
      </c>
      <c r="I283" s="40">
        <f t="shared" si="58"/>
        <v>23.020000000000003</v>
      </c>
      <c r="J283" s="40">
        <f t="shared" si="66"/>
        <v>97.63</v>
      </c>
      <c r="K283" s="40">
        <f t="shared" si="67"/>
        <v>33.799999999999997</v>
      </c>
      <c r="L283" s="179">
        <f t="shared" si="59"/>
        <v>154.44999999999999</v>
      </c>
      <c r="M283" s="54">
        <f t="shared" si="60"/>
        <v>2586.2970000000005</v>
      </c>
      <c r="N283" s="54">
        <f t="shared" si="61"/>
        <v>10968.7305</v>
      </c>
      <c r="O283" s="54">
        <f t="shared" si="62"/>
        <v>3797.43</v>
      </c>
      <c r="P283" s="54">
        <f t="shared" si="63"/>
        <v>17352.4575</v>
      </c>
    </row>
    <row r="284" spans="2:16" ht="15" customHeight="1" x14ac:dyDescent="0.3">
      <c r="B284" s="164">
        <v>21</v>
      </c>
      <c r="C284" s="165">
        <v>84</v>
      </c>
      <c r="D284" s="165">
        <f t="shared" si="56"/>
        <v>88.2</v>
      </c>
      <c r="E284" s="54">
        <f t="shared" si="55"/>
        <v>176.4</v>
      </c>
      <c r="F284" s="54">
        <f t="shared" si="64"/>
        <v>1146.6000000000001</v>
      </c>
      <c r="G284" s="54">
        <f t="shared" si="65"/>
        <v>529.20000000000005</v>
      </c>
      <c r="H284" s="54">
        <f t="shared" si="57"/>
        <v>1852.2000000000003</v>
      </c>
      <c r="I284" s="40">
        <f t="shared" si="58"/>
        <v>23.020000000000003</v>
      </c>
      <c r="J284" s="40">
        <f t="shared" si="66"/>
        <v>97.63</v>
      </c>
      <c r="K284" s="40">
        <f t="shared" si="67"/>
        <v>40.56</v>
      </c>
      <c r="L284" s="179">
        <f t="shared" si="59"/>
        <v>161.21</v>
      </c>
      <c r="M284" s="54">
        <f t="shared" si="60"/>
        <v>2030.3640000000003</v>
      </c>
      <c r="N284" s="54">
        <f t="shared" si="61"/>
        <v>8610.9660000000003</v>
      </c>
      <c r="O284" s="54">
        <f t="shared" si="62"/>
        <v>3577.3920000000003</v>
      </c>
      <c r="P284" s="54">
        <f t="shared" si="63"/>
        <v>14218.722</v>
      </c>
    </row>
    <row r="285" spans="2:16" ht="15" customHeight="1" x14ac:dyDescent="0.3">
      <c r="B285" s="164">
        <v>22</v>
      </c>
      <c r="C285" s="165">
        <v>69</v>
      </c>
      <c r="D285" s="165">
        <f t="shared" si="56"/>
        <v>72.45</v>
      </c>
      <c r="E285" s="54">
        <f t="shared" si="55"/>
        <v>144.9</v>
      </c>
      <c r="F285" s="54">
        <f t="shared" si="64"/>
        <v>941.85</v>
      </c>
      <c r="G285" s="54">
        <f t="shared" si="65"/>
        <v>507.15000000000003</v>
      </c>
      <c r="H285" s="54">
        <f t="shared" si="57"/>
        <v>1593.9</v>
      </c>
      <c r="I285" s="40">
        <f t="shared" si="58"/>
        <v>23.020000000000003</v>
      </c>
      <c r="J285" s="40">
        <f t="shared" si="66"/>
        <v>97.63</v>
      </c>
      <c r="K285" s="40">
        <f t="shared" si="67"/>
        <v>47.32</v>
      </c>
      <c r="L285" s="179">
        <f t="shared" si="59"/>
        <v>167.97</v>
      </c>
      <c r="M285" s="54">
        <f t="shared" si="60"/>
        <v>1667.7990000000002</v>
      </c>
      <c r="N285" s="54">
        <f t="shared" si="61"/>
        <v>7073.2934999999998</v>
      </c>
      <c r="O285" s="54">
        <f t="shared" si="62"/>
        <v>3428.3340000000003</v>
      </c>
      <c r="P285" s="54">
        <f t="shared" si="63"/>
        <v>12169.426500000001</v>
      </c>
    </row>
    <row r="286" spans="2:16" ht="15" customHeight="1" x14ac:dyDescent="0.3">
      <c r="B286" s="164">
        <v>23</v>
      </c>
      <c r="C286" s="165">
        <v>84</v>
      </c>
      <c r="D286" s="165">
        <f t="shared" si="56"/>
        <v>88.2</v>
      </c>
      <c r="E286" s="54">
        <f t="shared" si="55"/>
        <v>176.4</v>
      </c>
      <c r="F286" s="54">
        <f t="shared" si="64"/>
        <v>1146.6000000000001</v>
      </c>
      <c r="G286" s="54">
        <f t="shared" si="65"/>
        <v>705.6</v>
      </c>
      <c r="H286" s="54">
        <f t="shared" si="57"/>
        <v>2028.6000000000004</v>
      </c>
      <c r="I286" s="40">
        <f t="shared" si="58"/>
        <v>23.020000000000003</v>
      </c>
      <c r="J286" s="40">
        <f t="shared" si="66"/>
        <v>97.63</v>
      </c>
      <c r="K286" s="40">
        <f t="shared" si="67"/>
        <v>54.08</v>
      </c>
      <c r="L286" s="179">
        <f t="shared" si="59"/>
        <v>174.73000000000002</v>
      </c>
      <c r="M286" s="54">
        <f t="shared" si="60"/>
        <v>2030.3640000000003</v>
      </c>
      <c r="N286" s="54">
        <f t="shared" si="61"/>
        <v>8610.9660000000003</v>
      </c>
      <c r="O286" s="54">
        <f t="shared" si="62"/>
        <v>4769.8559999999998</v>
      </c>
      <c r="P286" s="54">
        <f t="shared" si="63"/>
        <v>15411.186</v>
      </c>
    </row>
    <row r="287" spans="2:16" ht="15" customHeight="1" x14ac:dyDescent="0.3">
      <c r="B287" s="164">
        <v>24</v>
      </c>
      <c r="C287" s="165">
        <v>65</v>
      </c>
      <c r="D287" s="165">
        <f t="shared" si="56"/>
        <v>68.25</v>
      </c>
      <c r="E287" s="54">
        <f t="shared" si="55"/>
        <v>136.5</v>
      </c>
      <c r="F287" s="54">
        <f t="shared" si="64"/>
        <v>887.25</v>
      </c>
      <c r="G287" s="54">
        <f t="shared" si="65"/>
        <v>614.25</v>
      </c>
      <c r="H287" s="54">
        <f t="shared" si="57"/>
        <v>1638</v>
      </c>
      <c r="I287" s="40">
        <f t="shared" si="58"/>
        <v>23.020000000000003</v>
      </c>
      <c r="J287" s="40">
        <f t="shared" si="66"/>
        <v>97.63</v>
      </c>
      <c r="K287" s="40">
        <f t="shared" si="67"/>
        <v>60.839999999999996</v>
      </c>
      <c r="L287" s="179">
        <f t="shared" si="59"/>
        <v>181.49</v>
      </c>
      <c r="M287" s="54">
        <f t="shared" si="60"/>
        <v>1571.1150000000002</v>
      </c>
      <c r="N287" s="54">
        <f t="shared" si="61"/>
        <v>6663.2474999999995</v>
      </c>
      <c r="O287" s="54">
        <f t="shared" si="62"/>
        <v>4152.33</v>
      </c>
      <c r="P287" s="54">
        <f t="shared" si="63"/>
        <v>12386.692499999999</v>
      </c>
    </row>
    <row r="288" spans="2:16" ht="15" customHeight="1" x14ac:dyDescent="0.3">
      <c r="B288" s="164">
        <v>25</v>
      </c>
      <c r="C288" s="165">
        <v>50</v>
      </c>
      <c r="D288" s="165">
        <f t="shared" si="56"/>
        <v>52.5</v>
      </c>
      <c r="E288" s="54">
        <f t="shared" si="55"/>
        <v>105</v>
      </c>
      <c r="F288" s="54">
        <f t="shared" si="64"/>
        <v>682.5</v>
      </c>
      <c r="G288" s="54">
        <f t="shared" si="65"/>
        <v>525</v>
      </c>
      <c r="H288" s="54">
        <f t="shared" si="57"/>
        <v>1312.5</v>
      </c>
      <c r="I288" s="40">
        <f t="shared" si="58"/>
        <v>23.020000000000003</v>
      </c>
      <c r="J288" s="40">
        <f t="shared" si="66"/>
        <v>97.63</v>
      </c>
      <c r="K288" s="40">
        <f t="shared" si="67"/>
        <v>67.599999999999994</v>
      </c>
      <c r="L288" s="179">
        <f t="shared" si="59"/>
        <v>188.25</v>
      </c>
      <c r="M288" s="54">
        <f t="shared" si="60"/>
        <v>1208.5500000000002</v>
      </c>
      <c r="N288" s="54">
        <f t="shared" si="61"/>
        <v>5125.5749999999998</v>
      </c>
      <c r="O288" s="54">
        <f t="shared" si="62"/>
        <v>3548.9999999999995</v>
      </c>
      <c r="P288" s="54">
        <f t="shared" si="63"/>
        <v>9883.125</v>
      </c>
    </row>
    <row r="289" spans="2:16" ht="15" customHeight="1" x14ac:dyDescent="0.3">
      <c r="B289" s="164">
        <v>26</v>
      </c>
      <c r="C289" s="165">
        <v>45</v>
      </c>
      <c r="D289" s="165">
        <f t="shared" si="56"/>
        <v>47.25</v>
      </c>
      <c r="E289" s="54">
        <f t="shared" si="55"/>
        <v>94.5</v>
      </c>
      <c r="F289" s="54">
        <f t="shared" si="64"/>
        <v>614.25</v>
      </c>
      <c r="G289" s="54">
        <f t="shared" si="65"/>
        <v>519.75</v>
      </c>
      <c r="H289" s="54">
        <f t="shared" si="57"/>
        <v>1228.5</v>
      </c>
      <c r="I289" s="40">
        <f t="shared" si="58"/>
        <v>23.020000000000003</v>
      </c>
      <c r="J289" s="40">
        <f t="shared" si="66"/>
        <v>97.63</v>
      </c>
      <c r="K289" s="40">
        <f t="shared" si="67"/>
        <v>74.36</v>
      </c>
      <c r="L289" s="179">
        <f t="shared" si="59"/>
        <v>195.01</v>
      </c>
      <c r="M289" s="54">
        <f t="shared" si="60"/>
        <v>1087.6950000000002</v>
      </c>
      <c r="N289" s="54">
        <f t="shared" si="61"/>
        <v>4613.0174999999999</v>
      </c>
      <c r="O289" s="54">
        <f t="shared" si="62"/>
        <v>3513.5099999999998</v>
      </c>
      <c r="P289" s="54">
        <f t="shared" si="63"/>
        <v>9214.2224999999999</v>
      </c>
    </row>
    <row r="290" spans="2:16" ht="15" customHeight="1" x14ac:dyDescent="0.3">
      <c r="B290" s="164">
        <v>27</v>
      </c>
      <c r="C290" s="165">
        <v>49</v>
      </c>
      <c r="D290" s="165">
        <f t="shared" si="56"/>
        <v>51.45</v>
      </c>
      <c r="E290" s="54">
        <f t="shared" si="55"/>
        <v>102.9</v>
      </c>
      <c r="F290" s="54">
        <f t="shared" si="64"/>
        <v>668.85</v>
      </c>
      <c r="G290" s="54">
        <f t="shared" si="65"/>
        <v>617.40000000000009</v>
      </c>
      <c r="H290" s="54">
        <f t="shared" si="57"/>
        <v>1389.15</v>
      </c>
      <c r="I290" s="40">
        <f t="shared" si="58"/>
        <v>23.020000000000003</v>
      </c>
      <c r="J290" s="40">
        <f t="shared" si="66"/>
        <v>97.63</v>
      </c>
      <c r="K290" s="40">
        <f t="shared" si="67"/>
        <v>81.12</v>
      </c>
      <c r="L290" s="179">
        <f t="shared" si="59"/>
        <v>201.77</v>
      </c>
      <c r="M290" s="54">
        <f t="shared" si="60"/>
        <v>1184.3790000000001</v>
      </c>
      <c r="N290" s="54">
        <f t="shared" si="61"/>
        <v>5023.0635000000002</v>
      </c>
      <c r="O290" s="54">
        <f t="shared" si="62"/>
        <v>4173.6240000000007</v>
      </c>
      <c r="P290" s="54">
        <f t="shared" si="63"/>
        <v>10381.066500000001</v>
      </c>
    </row>
    <row r="291" spans="2:16" ht="15" customHeight="1" x14ac:dyDescent="0.3">
      <c r="B291" s="164">
        <v>28</v>
      </c>
      <c r="C291" s="165">
        <v>44</v>
      </c>
      <c r="D291" s="165">
        <f t="shared" si="56"/>
        <v>46.2</v>
      </c>
      <c r="E291" s="54">
        <f t="shared" si="55"/>
        <v>92.4</v>
      </c>
      <c r="F291" s="54">
        <f t="shared" si="64"/>
        <v>600.6</v>
      </c>
      <c r="G291" s="54">
        <f t="shared" si="65"/>
        <v>600.6</v>
      </c>
      <c r="H291" s="54">
        <f t="shared" si="57"/>
        <v>1293.5999999999999</v>
      </c>
      <c r="I291" s="40">
        <f t="shared" si="58"/>
        <v>23.020000000000003</v>
      </c>
      <c r="J291" s="40">
        <f t="shared" si="66"/>
        <v>97.63</v>
      </c>
      <c r="K291" s="40">
        <f t="shared" si="67"/>
        <v>87.88</v>
      </c>
      <c r="L291" s="179">
        <f t="shared" si="59"/>
        <v>208.53</v>
      </c>
      <c r="M291" s="54">
        <f t="shared" si="60"/>
        <v>1063.5240000000001</v>
      </c>
      <c r="N291" s="54">
        <f t="shared" si="61"/>
        <v>4510.5060000000003</v>
      </c>
      <c r="O291" s="54">
        <f t="shared" si="62"/>
        <v>4060.056</v>
      </c>
      <c r="P291" s="54">
        <f t="shared" si="63"/>
        <v>9634.0860000000011</v>
      </c>
    </row>
    <row r="292" spans="2:16" ht="15" customHeight="1" x14ac:dyDescent="0.3">
      <c r="B292" s="164">
        <v>29</v>
      </c>
      <c r="C292" s="165">
        <v>34</v>
      </c>
      <c r="D292" s="165">
        <f t="shared" si="56"/>
        <v>35.700000000000003</v>
      </c>
      <c r="E292" s="54">
        <f t="shared" si="55"/>
        <v>71.400000000000006</v>
      </c>
      <c r="F292" s="54">
        <f t="shared" si="64"/>
        <v>464.1</v>
      </c>
      <c r="G292" s="54">
        <f t="shared" si="65"/>
        <v>499.80000000000007</v>
      </c>
      <c r="H292" s="54">
        <f t="shared" si="57"/>
        <v>1035.3000000000002</v>
      </c>
      <c r="I292" s="40">
        <f t="shared" si="58"/>
        <v>23.020000000000003</v>
      </c>
      <c r="J292" s="40">
        <f t="shared" si="66"/>
        <v>97.63</v>
      </c>
      <c r="K292" s="40">
        <f t="shared" si="67"/>
        <v>94.64</v>
      </c>
      <c r="L292" s="179">
        <f t="shared" si="59"/>
        <v>215.29000000000002</v>
      </c>
      <c r="M292" s="54">
        <f t="shared" si="60"/>
        <v>821.81400000000019</v>
      </c>
      <c r="N292" s="54">
        <f t="shared" si="61"/>
        <v>3485.3910000000001</v>
      </c>
      <c r="O292" s="54">
        <f t="shared" si="62"/>
        <v>3378.6480000000001</v>
      </c>
      <c r="P292" s="54">
        <f t="shared" si="63"/>
        <v>7685.8530000000001</v>
      </c>
    </row>
    <row r="293" spans="2:16" ht="15" customHeight="1" x14ac:dyDescent="0.3">
      <c r="B293" s="164">
        <v>30</v>
      </c>
      <c r="C293" s="165">
        <v>35</v>
      </c>
      <c r="D293" s="165">
        <f t="shared" si="56"/>
        <v>36.75</v>
      </c>
      <c r="E293" s="54">
        <f t="shared" si="55"/>
        <v>73.5</v>
      </c>
      <c r="F293" s="54">
        <f t="shared" si="64"/>
        <v>477.75</v>
      </c>
      <c r="G293" s="54">
        <f t="shared" si="65"/>
        <v>551.25</v>
      </c>
      <c r="H293" s="54">
        <f t="shared" si="57"/>
        <v>1102.5</v>
      </c>
      <c r="I293" s="40">
        <f t="shared" si="58"/>
        <v>23.020000000000003</v>
      </c>
      <c r="J293" s="40">
        <f t="shared" si="66"/>
        <v>97.63</v>
      </c>
      <c r="K293" s="40">
        <f t="shared" si="67"/>
        <v>101.39999999999999</v>
      </c>
      <c r="L293" s="179">
        <f t="shared" si="59"/>
        <v>222.05</v>
      </c>
      <c r="M293" s="54">
        <f t="shared" si="60"/>
        <v>845.98500000000013</v>
      </c>
      <c r="N293" s="54">
        <f t="shared" si="61"/>
        <v>3587.9024999999997</v>
      </c>
      <c r="O293" s="54">
        <f t="shared" si="62"/>
        <v>3726.45</v>
      </c>
      <c r="P293" s="54">
        <f t="shared" si="63"/>
        <v>8160.3374999999996</v>
      </c>
    </row>
    <row r="294" spans="2:16" ht="15" customHeight="1" x14ac:dyDescent="0.3">
      <c r="B294" s="164">
        <v>31</v>
      </c>
      <c r="C294" s="165">
        <v>27</v>
      </c>
      <c r="D294" s="165">
        <f t="shared" si="56"/>
        <v>28.35</v>
      </c>
      <c r="E294" s="54">
        <f t="shared" si="55"/>
        <v>56.7</v>
      </c>
      <c r="F294" s="54">
        <f t="shared" si="64"/>
        <v>368.55</v>
      </c>
      <c r="G294" s="54">
        <f t="shared" si="65"/>
        <v>453.6</v>
      </c>
      <c r="H294" s="54">
        <f t="shared" si="57"/>
        <v>878.85</v>
      </c>
      <c r="I294" s="40">
        <f t="shared" si="58"/>
        <v>23.020000000000003</v>
      </c>
      <c r="J294" s="40">
        <f t="shared" si="66"/>
        <v>97.63</v>
      </c>
      <c r="K294" s="40">
        <f t="shared" si="67"/>
        <v>108.16</v>
      </c>
      <c r="L294" s="179">
        <f t="shared" si="59"/>
        <v>228.81</v>
      </c>
      <c r="M294" s="54">
        <f t="shared" si="60"/>
        <v>652.61700000000008</v>
      </c>
      <c r="N294" s="54">
        <f t="shared" si="61"/>
        <v>2767.8105</v>
      </c>
      <c r="O294" s="54">
        <f t="shared" si="62"/>
        <v>3066.3360000000002</v>
      </c>
      <c r="P294" s="54">
        <f t="shared" si="63"/>
        <v>6486.7635000000009</v>
      </c>
    </row>
    <row r="295" spans="2:16" ht="15" customHeight="1" x14ac:dyDescent="0.3">
      <c r="B295" s="164">
        <v>32</v>
      </c>
      <c r="C295" s="165">
        <v>30</v>
      </c>
      <c r="D295" s="165">
        <f t="shared" si="56"/>
        <v>31.5</v>
      </c>
      <c r="E295" s="54">
        <f t="shared" si="55"/>
        <v>63</v>
      </c>
      <c r="F295" s="54">
        <f t="shared" si="64"/>
        <v>409.5</v>
      </c>
      <c r="G295" s="54">
        <f t="shared" si="65"/>
        <v>535.5</v>
      </c>
      <c r="H295" s="54">
        <f t="shared" si="57"/>
        <v>1008</v>
      </c>
      <c r="I295" s="40">
        <f t="shared" si="58"/>
        <v>23.020000000000003</v>
      </c>
      <c r="J295" s="40">
        <f t="shared" si="66"/>
        <v>97.63</v>
      </c>
      <c r="K295" s="40">
        <f t="shared" si="67"/>
        <v>114.92</v>
      </c>
      <c r="L295" s="179">
        <f t="shared" si="59"/>
        <v>235.57</v>
      </c>
      <c r="M295" s="54">
        <f t="shared" si="60"/>
        <v>725.13000000000011</v>
      </c>
      <c r="N295" s="54">
        <f t="shared" si="61"/>
        <v>3075.3449999999998</v>
      </c>
      <c r="O295" s="54">
        <f t="shared" si="62"/>
        <v>3619.98</v>
      </c>
      <c r="P295" s="54">
        <f t="shared" si="63"/>
        <v>7420.4549999999999</v>
      </c>
    </row>
    <row r="296" spans="2:16" ht="15" customHeight="1" x14ac:dyDescent="0.3">
      <c r="B296" s="164">
        <v>33</v>
      </c>
      <c r="C296" s="165">
        <v>28</v>
      </c>
      <c r="D296" s="165">
        <f t="shared" si="56"/>
        <v>29.400000000000002</v>
      </c>
      <c r="E296" s="54">
        <f t="shared" si="55"/>
        <v>58.800000000000004</v>
      </c>
      <c r="F296" s="54">
        <f t="shared" si="64"/>
        <v>382.20000000000005</v>
      </c>
      <c r="G296" s="54">
        <f t="shared" si="65"/>
        <v>529.20000000000005</v>
      </c>
      <c r="H296" s="54">
        <f t="shared" si="57"/>
        <v>970.2</v>
      </c>
      <c r="I296" s="40">
        <f t="shared" si="58"/>
        <v>23.020000000000003</v>
      </c>
      <c r="J296" s="40">
        <f t="shared" si="66"/>
        <v>97.63</v>
      </c>
      <c r="K296" s="40">
        <f t="shared" si="67"/>
        <v>121.67999999999999</v>
      </c>
      <c r="L296" s="179">
        <f t="shared" si="59"/>
        <v>242.32999999999998</v>
      </c>
      <c r="M296" s="54">
        <f t="shared" si="60"/>
        <v>676.78800000000012</v>
      </c>
      <c r="N296" s="54">
        <f t="shared" si="61"/>
        <v>2870.3220000000001</v>
      </c>
      <c r="O296" s="54">
        <f t="shared" si="62"/>
        <v>3577.3919999999998</v>
      </c>
      <c r="P296" s="54">
        <f t="shared" si="63"/>
        <v>7124.5020000000004</v>
      </c>
    </row>
    <row r="297" spans="2:16" ht="15" customHeight="1" x14ac:dyDescent="0.3">
      <c r="B297" s="164">
        <v>34</v>
      </c>
      <c r="C297" s="165">
        <v>25</v>
      </c>
      <c r="D297" s="165">
        <f t="shared" si="56"/>
        <v>26.25</v>
      </c>
      <c r="E297" s="54">
        <f t="shared" si="55"/>
        <v>52.5</v>
      </c>
      <c r="F297" s="54">
        <f t="shared" si="64"/>
        <v>341.25</v>
      </c>
      <c r="G297" s="54">
        <f t="shared" si="65"/>
        <v>498.75</v>
      </c>
      <c r="H297" s="54">
        <f t="shared" si="57"/>
        <v>892.5</v>
      </c>
      <c r="I297" s="40">
        <f t="shared" si="58"/>
        <v>23.020000000000003</v>
      </c>
      <c r="J297" s="40">
        <f t="shared" si="66"/>
        <v>97.63</v>
      </c>
      <c r="K297" s="40">
        <f t="shared" si="67"/>
        <v>128.44</v>
      </c>
      <c r="L297" s="179">
        <f t="shared" si="59"/>
        <v>249.09</v>
      </c>
      <c r="M297" s="54">
        <f t="shared" si="60"/>
        <v>604.27500000000009</v>
      </c>
      <c r="N297" s="54">
        <f t="shared" si="61"/>
        <v>2562.7874999999999</v>
      </c>
      <c r="O297" s="54">
        <f t="shared" si="62"/>
        <v>3371.5499999999997</v>
      </c>
      <c r="P297" s="54">
        <f t="shared" si="63"/>
        <v>6538.6124999999993</v>
      </c>
    </row>
    <row r="298" spans="2:16" ht="15" customHeight="1" x14ac:dyDescent="0.3">
      <c r="B298" s="164">
        <v>35</v>
      </c>
      <c r="C298" s="165">
        <v>31</v>
      </c>
      <c r="D298" s="165">
        <f t="shared" si="56"/>
        <v>32.550000000000004</v>
      </c>
      <c r="E298" s="54">
        <f t="shared" si="55"/>
        <v>65.100000000000009</v>
      </c>
      <c r="F298" s="54">
        <f t="shared" si="64"/>
        <v>423.15000000000003</v>
      </c>
      <c r="G298" s="54">
        <f t="shared" si="65"/>
        <v>651.00000000000011</v>
      </c>
      <c r="H298" s="54">
        <f t="shared" si="57"/>
        <v>1139.2500000000002</v>
      </c>
      <c r="I298" s="40">
        <f t="shared" si="58"/>
        <v>23.020000000000003</v>
      </c>
      <c r="J298" s="40">
        <f t="shared" si="66"/>
        <v>97.63</v>
      </c>
      <c r="K298" s="40">
        <f t="shared" si="67"/>
        <v>135.19999999999999</v>
      </c>
      <c r="L298" s="179">
        <f t="shared" si="59"/>
        <v>255.85</v>
      </c>
      <c r="M298" s="54">
        <f t="shared" si="60"/>
        <v>749.30100000000016</v>
      </c>
      <c r="N298" s="54">
        <f t="shared" si="61"/>
        <v>3177.8565000000003</v>
      </c>
      <c r="O298" s="54">
        <f t="shared" si="62"/>
        <v>4400.76</v>
      </c>
      <c r="P298" s="54">
        <f t="shared" si="63"/>
        <v>8327.9174999999996</v>
      </c>
    </row>
    <row r="299" spans="2:16" ht="15" customHeight="1" x14ac:dyDescent="0.3">
      <c r="B299" s="164">
        <v>36</v>
      </c>
      <c r="C299" s="165">
        <v>15</v>
      </c>
      <c r="D299" s="165">
        <f t="shared" si="56"/>
        <v>15.75</v>
      </c>
      <c r="E299" s="54">
        <f t="shared" si="55"/>
        <v>31.5</v>
      </c>
      <c r="F299" s="54">
        <f t="shared" si="64"/>
        <v>204.75</v>
      </c>
      <c r="G299" s="54">
        <f t="shared" si="65"/>
        <v>330.75</v>
      </c>
      <c r="H299" s="54">
        <f t="shared" si="57"/>
        <v>567</v>
      </c>
      <c r="I299" s="40">
        <f t="shared" si="58"/>
        <v>23.020000000000003</v>
      </c>
      <c r="J299" s="40">
        <f t="shared" si="66"/>
        <v>97.63</v>
      </c>
      <c r="K299" s="40">
        <f t="shared" si="67"/>
        <v>141.96</v>
      </c>
      <c r="L299" s="179">
        <f t="shared" si="59"/>
        <v>262.61</v>
      </c>
      <c r="M299" s="54">
        <f t="shared" si="60"/>
        <v>362.56500000000005</v>
      </c>
      <c r="N299" s="54">
        <f t="shared" si="61"/>
        <v>1537.6724999999999</v>
      </c>
      <c r="O299" s="54">
        <f t="shared" si="62"/>
        <v>2235.8700000000003</v>
      </c>
      <c r="P299" s="54">
        <f t="shared" si="63"/>
        <v>4136.1075000000001</v>
      </c>
    </row>
    <row r="300" spans="2:16" ht="15" customHeight="1" x14ac:dyDescent="0.3">
      <c r="B300" s="164">
        <v>37</v>
      </c>
      <c r="C300" s="165">
        <v>20</v>
      </c>
      <c r="D300" s="165">
        <f t="shared" si="56"/>
        <v>21</v>
      </c>
      <c r="E300" s="54">
        <f t="shared" si="55"/>
        <v>42</v>
      </c>
      <c r="F300" s="54">
        <f t="shared" si="64"/>
        <v>273</v>
      </c>
      <c r="G300" s="54">
        <f t="shared" si="65"/>
        <v>462</v>
      </c>
      <c r="H300" s="54">
        <f t="shared" si="57"/>
        <v>777</v>
      </c>
      <c r="I300" s="40">
        <f t="shared" si="58"/>
        <v>23.020000000000003</v>
      </c>
      <c r="J300" s="40">
        <f t="shared" si="66"/>
        <v>97.63</v>
      </c>
      <c r="K300" s="40">
        <f t="shared" si="67"/>
        <v>148.72</v>
      </c>
      <c r="L300" s="179">
        <f t="shared" si="59"/>
        <v>269.37</v>
      </c>
      <c r="M300" s="54">
        <f t="shared" si="60"/>
        <v>483.42000000000007</v>
      </c>
      <c r="N300" s="54">
        <f t="shared" si="61"/>
        <v>2050.23</v>
      </c>
      <c r="O300" s="54">
        <f t="shared" si="62"/>
        <v>3123.12</v>
      </c>
      <c r="P300" s="54">
        <f t="shared" si="63"/>
        <v>5656.77</v>
      </c>
    </row>
    <row r="301" spans="2:16" ht="15" customHeight="1" x14ac:dyDescent="0.3">
      <c r="B301" s="164">
        <v>38</v>
      </c>
      <c r="C301" s="165">
        <v>19</v>
      </c>
      <c r="D301" s="165">
        <f t="shared" si="56"/>
        <v>19.95</v>
      </c>
      <c r="E301" s="54">
        <f t="shared" si="55"/>
        <v>39.9</v>
      </c>
      <c r="F301" s="54">
        <f t="shared" si="64"/>
        <v>259.34999999999997</v>
      </c>
      <c r="G301" s="54">
        <f t="shared" si="65"/>
        <v>458.84999999999997</v>
      </c>
      <c r="H301" s="54">
        <f t="shared" si="57"/>
        <v>758.09999999999991</v>
      </c>
      <c r="I301" s="40">
        <f t="shared" si="58"/>
        <v>23.020000000000003</v>
      </c>
      <c r="J301" s="40">
        <f t="shared" si="66"/>
        <v>97.63</v>
      </c>
      <c r="K301" s="40">
        <f t="shared" si="67"/>
        <v>155.47999999999999</v>
      </c>
      <c r="L301" s="179">
        <f t="shared" si="59"/>
        <v>276.13</v>
      </c>
      <c r="M301" s="54">
        <f t="shared" si="60"/>
        <v>459.24900000000002</v>
      </c>
      <c r="N301" s="54">
        <f t="shared" si="61"/>
        <v>1947.7184999999999</v>
      </c>
      <c r="O301" s="54">
        <f t="shared" si="62"/>
        <v>3101.8259999999996</v>
      </c>
      <c r="P301" s="54">
        <f t="shared" si="63"/>
        <v>5508.7934999999998</v>
      </c>
    </row>
    <row r="302" spans="2:16" ht="15" customHeight="1" x14ac:dyDescent="0.3">
      <c r="B302" s="164">
        <v>39</v>
      </c>
      <c r="C302" s="165">
        <v>31</v>
      </c>
      <c r="D302" s="165">
        <f t="shared" si="56"/>
        <v>32.550000000000004</v>
      </c>
      <c r="E302" s="54">
        <f t="shared" si="55"/>
        <v>65.100000000000009</v>
      </c>
      <c r="F302" s="54">
        <f t="shared" si="64"/>
        <v>423.15000000000003</v>
      </c>
      <c r="G302" s="54">
        <f t="shared" si="65"/>
        <v>781.2</v>
      </c>
      <c r="H302" s="54">
        <f t="shared" si="57"/>
        <v>1269.45</v>
      </c>
      <c r="I302" s="40">
        <f t="shared" si="58"/>
        <v>23.020000000000003</v>
      </c>
      <c r="J302" s="40">
        <f t="shared" si="66"/>
        <v>97.63</v>
      </c>
      <c r="K302" s="40">
        <f t="shared" si="67"/>
        <v>162.24</v>
      </c>
      <c r="L302" s="179">
        <f t="shared" si="59"/>
        <v>282.89</v>
      </c>
      <c r="M302" s="54">
        <f t="shared" si="60"/>
        <v>749.30100000000016</v>
      </c>
      <c r="N302" s="54">
        <f t="shared" si="61"/>
        <v>3177.8565000000003</v>
      </c>
      <c r="O302" s="54">
        <f t="shared" si="62"/>
        <v>5280.9120000000012</v>
      </c>
      <c r="P302" s="54">
        <f t="shared" si="63"/>
        <v>9208.0695000000014</v>
      </c>
    </row>
    <row r="303" spans="2:16" ht="15" customHeight="1" x14ac:dyDescent="0.3">
      <c r="B303" s="164">
        <v>40</v>
      </c>
      <c r="C303" s="165">
        <v>26</v>
      </c>
      <c r="D303" s="165">
        <f t="shared" si="56"/>
        <v>27.3</v>
      </c>
      <c r="E303" s="54">
        <f t="shared" si="55"/>
        <v>54.6</v>
      </c>
      <c r="F303" s="54">
        <f t="shared" si="64"/>
        <v>354.90000000000003</v>
      </c>
      <c r="G303" s="54">
        <f t="shared" si="65"/>
        <v>682.5</v>
      </c>
      <c r="H303" s="54">
        <f t="shared" si="57"/>
        <v>1092</v>
      </c>
      <c r="I303" s="40">
        <f t="shared" si="58"/>
        <v>23.020000000000003</v>
      </c>
      <c r="J303" s="40">
        <f t="shared" si="66"/>
        <v>97.63</v>
      </c>
      <c r="K303" s="40">
        <f t="shared" si="67"/>
        <v>169</v>
      </c>
      <c r="L303" s="179">
        <f t="shared" si="59"/>
        <v>289.64999999999998</v>
      </c>
      <c r="M303" s="54">
        <f t="shared" si="60"/>
        <v>628.44600000000014</v>
      </c>
      <c r="N303" s="54">
        <f t="shared" si="61"/>
        <v>2665.299</v>
      </c>
      <c r="O303" s="54">
        <f t="shared" si="62"/>
        <v>4613.7</v>
      </c>
      <c r="P303" s="54">
        <f t="shared" si="63"/>
        <v>7907.4449999999997</v>
      </c>
    </row>
    <row r="304" spans="2:16" ht="15" customHeight="1" x14ac:dyDescent="0.3">
      <c r="B304" s="164">
        <v>41</v>
      </c>
      <c r="C304" s="165">
        <v>23</v>
      </c>
      <c r="D304" s="165">
        <f t="shared" si="56"/>
        <v>24.150000000000002</v>
      </c>
      <c r="E304" s="54">
        <f t="shared" si="55"/>
        <v>48.300000000000004</v>
      </c>
      <c r="F304" s="54">
        <f t="shared" si="64"/>
        <v>313.95000000000005</v>
      </c>
      <c r="G304" s="54">
        <f t="shared" si="65"/>
        <v>627.90000000000009</v>
      </c>
      <c r="H304" s="54">
        <f t="shared" si="57"/>
        <v>990.15000000000009</v>
      </c>
      <c r="I304" s="40">
        <f t="shared" si="58"/>
        <v>23.020000000000003</v>
      </c>
      <c r="J304" s="40">
        <f t="shared" si="66"/>
        <v>97.63</v>
      </c>
      <c r="K304" s="40">
        <f t="shared" si="67"/>
        <v>175.76</v>
      </c>
      <c r="L304" s="179">
        <f t="shared" si="59"/>
        <v>296.40999999999997</v>
      </c>
      <c r="M304" s="54">
        <f t="shared" si="60"/>
        <v>555.93300000000011</v>
      </c>
      <c r="N304" s="54">
        <f t="shared" si="61"/>
        <v>2357.7645000000002</v>
      </c>
      <c r="O304" s="54">
        <f t="shared" si="62"/>
        <v>4244.6040000000003</v>
      </c>
      <c r="P304" s="54">
        <f t="shared" si="63"/>
        <v>7158.3015000000005</v>
      </c>
    </row>
    <row r="305" spans="2:16" ht="15" customHeight="1" x14ac:dyDescent="0.3">
      <c r="B305" s="164">
        <v>42</v>
      </c>
      <c r="C305" s="165">
        <v>10</v>
      </c>
      <c r="D305" s="165">
        <f t="shared" si="56"/>
        <v>10.5</v>
      </c>
      <c r="E305" s="54">
        <f t="shared" si="55"/>
        <v>21</v>
      </c>
      <c r="F305" s="54">
        <f t="shared" si="64"/>
        <v>136.5</v>
      </c>
      <c r="G305" s="54">
        <f t="shared" si="65"/>
        <v>283.5</v>
      </c>
      <c r="H305" s="54">
        <f t="shared" si="57"/>
        <v>441</v>
      </c>
      <c r="I305" s="40">
        <f t="shared" si="58"/>
        <v>23.020000000000003</v>
      </c>
      <c r="J305" s="40">
        <f t="shared" si="66"/>
        <v>97.63</v>
      </c>
      <c r="K305" s="40">
        <f t="shared" si="67"/>
        <v>182.51999999999998</v>
      </c>
      <c r="L305" s="179">
        <f t="shared" si="59"/>
        <v>303.16999999999996</v>
      </c>
      <c r="M305" s="54">
        <f t="shared" si="60"/>
        <v>241.71000000000004</v>
      </c>
      <c r="N305" s="54">
        <f t="shared" si="61"/>
        <v>1025.115</v>
      </c>
      <c r="O305" s="54">
        <f t="shared" si="62"/>
        <v>1916.4599999999998</v>
      </c>
      <c r="P305" s="54">
        <f t="shared" si="63"/>
        <v>3183.2849999999999</v>
      </c>
    </row>
    <row r="306" spans="2:16" ht="15" customHeight="1" x14ac:dyDescent="0.3">
      <c r="B306" s="164">
        <v>43</v>
      </c>
      <c r="C306" s="165">
        <v>16</v>
      </c>
      <c r="D306" s="165">
        <f t="shared" si="56"/>
        <v>16.8</v>
      </c>
      <c r="E306" s="54">
        <f t="shared" si="55"/>
        <v>33.6</v>
      </c>
      <c r="F306" s="54">
        <f t="shared" si="64"/>
        <v>218.4</v>
      </c>
      <c r="G306" s="54">
        <f t="shared" si="65"/>
        <v>470.40000000000003</v>
      </c>
      <c r="H306" s="54">
        <f t="shared" si="57"/>
        <v>722.40000000000009</v>
      </c>
      <c r="I306" s="40">
        <f t="shared" si="58"/>
        <v>23.020000000000003</v>
      </c>
      <c r="J306" s="40">
        <f t="shared" si="66"/>
        <v>97.63</v>
      </c>
      <c r="K306" s="40">
        <f t="shared" si="67"/>
        <v>189.28</v>
      </c>
      <c r="L306" s="179">
        <f t="shared" si="59"/>
        <v>309.93</v>
      </c>
      <c r="M306" s="54">
        <f t="shared" si="60"/>
        <v>386.73600000000005</v>
      </c>
      <c r="N306" s="54">
        <f t="shared" si="61"/>
        <v>1640.184</v>
      </c>
      <c r="O306" s="54">
        <f t="shared" si="62"/>
        <v>3179.904</v>
      </c>
      <c r="P306" s="54">
        <f t="shared" si="63"/>
        <v>5206.8240000000005</v>
      </c>
    </row>
    <row r="307" spans="2:16" ht="15" customHeight="1" x14ac:dyDescent="0.3">
      <c r="B307" s="164">
        <v>44</v>
      </c>
      <c r="C307" s="165">
        <v>19</v>
      </c>
      <c r="D307" s="165">
        <f t="shared" si="56"/>
        <v>19.95</v>
      </c>
      <c r="E307" s="54">
        <f t="shared" si="55"/>
        <v>39.9</v>
      </c>
      <c r="F307" s="54">
        <f t="shared" si="64"/>
        <v>259.34999999999997</v>
      </c>
      <c r="G307" s="54">
        <f t="shared" si="65"/>
        <v>578.54999999999995</v>
      </c>
      <c r="H307" s="54">
        <f t="shared" si="57"/>
        <v>877.8</v>
      </c>
      <c r="I307" s="40">
        <f t="shared" si="58"/>
        <v>23.020000000000003</v>
      </c>
      <c r="J307" s="40">
        <f t="shared" si="66"/>
        <v>97.63</v>
      </c>
      <c r="K307" s="40">
        <f t="shared" si="67"/>
        <v>196.04</v>
      </c>
      <c r="L307" s="179">
        <f t="shared" si="59"/>
        <v>316.69</v>
      </c>
      <c r="M307" s="54">
        <f t="shared" si="60"/>
        <v>459.24900000000002</v>
      </c>
      <c r="N307" s="54">
        <f t="shared" si="61"/>
        <v>1947.7184999999999</v>
      </c>
      <c r="O307" s="54">
        <f t="shared" si="62"/>
        <v>3910.9979999999996</v>
      </c>
      <c r="P307" s="54">
        <f t="shared" si="63"/>
        <v>6317.9654999999993</v>
      </c>
    </row>
    <row r="308" spans="2:16" ht="15" customHeight="1" x14ac:dyDescent="0.3">
      <c r="B308" s="164">
        <v>45</v>
      </c>
      <c r="C308" s="165">
        <v>16</v>
      </c>
      <c r="D308" s="165">
        <f t="shared" si="56"/>
        <v>16.8</v>
      </c>
      <c r="E308" s="54">
        <f t="shared" si="55"/>
        <v>33.6</v>
      </c>
      <c r="F308" s="54">
        <f t="shared" si="64"/>
        <v>218.4</v>
      </c>
      <c r="G308" s="54">
        <f t="shared" si="65"/>
        <v>504</v>
      </c>
      <c r="H308" s="54">
        <f t="shared" si="57"/>
        <v>756</v>
      </c>
      <c r="I308" s="40">
        <f t="shared" si="58"/>
        <v>23.020000000000003</v>
      </c>
      <c r="J308" s="40">
        <f t="shared" si="66"/>
        <v>97.63</v>
      </c>
      <c r="K308" s="40">
        <f t="shared" si="67"/>
        <v>202.79999999999998</v>
      </c>
      <c r="L308" s="179">
        <f t="shared" si="59"/>
        <v>323.45</v>
      </c>
      <c r="M308" s="54">
        <f t="shared" si="60"/>
        <v>386.73600000000005</v>
      </c>
      <c r="N308" s="54">
        <f t="shared" si="61"/>
        <v>1640.184</v>
      </c>
      <c r="O308" s="54">
        <f t="shared" si="62"/>
        <v>3407.04</v>
      </c>
      <c r="P308" s="54">
        <f t="shared" si="63"/>
        <v>5433.96</v>
      </c>
    </row>
    <row r="309" spans="2:16" ht="15" customHeight="1" x14ac:dyDescent="0.3">
      <c r="B309" s="164">
        <v>46</v>
      </c>
      <c r="C309" s="165">
        <v>18</v>
      </c>
      <c r="D309" s="165">
        <f t="shared" si="56"/>
        <v>18.900000000000002</v>
      </c>
      <c r="E309" s="54">
        <f t="shared" si="55"/>
        <v>37.800000000000004</v>
      </c>
      <c r="F309" s="54">
        <f t="shared" si="64"/>
        <v>245.70000000000002</v>
      </c>
      <c r="G309" s="54">
        <f t="shared" si="65"/>
        <v>585.90000000000009</v>
      </c>
      <c r="H309" s="54">
        <f t="shared" si="57"/>
        <v>869.40000000000009</v>
      </c>
      <c r="I309" s="40">
        <f t="shared" si="58"/>
        <v>23.020000000000003</v>
      </c>
      <c r="J309" s="40">
        <f t="shared" si="66"/>
        <v>97.63</v>
      </c>
      <c r="K309" s="40">
        <f t="shared" si="67"/>
        <v>209.56</v>
      </c>
      <c r="L309" s="179">
        <f t="shared" si="59"/>
        <v>330.21000000000004</v>
      </c>
      <c r="M309" s="54">
        <f t="shared" si="60"/>
        <v>435.07800000000009</v>
      </c>
      <c r="N309" s="54">
        <f t="shared" si="61"/>
        <v>1845.2070000000001</v>
      </c>
      <c r="O309" s="54">
        <f t="shared" si="62"/>
        <v>3960.6840000000007</v>
      </c>
      <c r="P309" s="54">
        <f t="shared" si="63"/>
        <v>6240.969000000001</v>
      </c>
    </row>
    <row r="310" spans="2:16" ht="15" customHeight="1" x14ac:dyDescent="0.3">
      <c r="B310" s="164">
        <v>47</v>
      </c>
      <c r="C310" s="165">
        <v>9</v>
      </c>
      <c r="D310" s="165">
        <f t="shared" si="56"/>
        <v>9.4500000000000011</v>
      </c>
      <c r="E310" s="54">
        <f t="shared" si="55"/>
        <v>18.900000000000002</v>
      </c>
      <c r="F310" s="54">
        <f t="shared" si="64"/>
        <v>122.85000000000001</v>
      </c>
      <c r="G310" s="54">
        <f t="shared" si="65"/>
        <v>302.40000000000003</v>
      </c>
      <c r="H310" s="54">
        <f t="shared" si="57"/>
        <v>444.15000000000003</v>
      </c>
      <c r="I310" s="40">
        <f t="shared" si="58"/>
        <v>23.020000000000003</v>
      </c>
      <c r="J310" s="40">
        <f t="shared" si="66"/>
        <v>97.63</v>
      </c>
      <c r="K310" s="40">
        <f t="shared" si="67"/>
        <v>216.32</v>
      </c>
      <c r="L310" s="179">
        <f t="shared" si="59"/>
        <v>336.97</v>
      </c>
      <c r="M310" s="54">
        <f t="shared" si="60"/>
        <v>217.53900000000004</v>
      </c>
      <c r="N310" s="54">
        <f t="shared" si="61"/>
        <v>922.60350000000005</v>
      </c>
      <c r="O310" s="54">
        <f t="shared" si="62"/>
        <v>2044.2240000000002</v>
      </c>
      <c r="P310" s="54">
        <f t="shared" si="63"/>
        <v>3184.3665000000001</v>
      </c>
    </row>
    <row r="311" spans="2:16" ht="15" customHeight="1" x14ac:dyDescent="0.3">
      <c r="B311" s="164">
        <v>48</v>
      </c>
      <c r="C311" s="165">
        <v>12</v>
      </c>
      <c r="D311" s="165">
        <f t="shared" si="56"/>
        <v>12.600000000000001</v>
      </c>
      <c r="E311" s="54">
        <f t="shared" si="55"/>
        <v>25.200000000000003</v>
      </c>
      <c r="F311" s="54">
        <f t="shared" si="64"/>
        <v>163.80000000000001</v>
      </c>
      <c r="G311" s="54">
        <f t="shared" si="65"/>
        <v>415.80000000000007</v>
      </c>
      <c r="H311" s="54">
        <f t="shared" si="57"/>
        <v>604.80000000000007</v>
      </c>
      <c r="I311" s="40">
        <f t="shared" si="58"/>
        <v>23.020000000000003</v>
      </c>
      <c r="J311" s="40">
        <f t="shared" si="66"/>
        <v>97.63</v>
      </c>
      <c r="K311" s="40">
        <f t="shared" si="67"/>
        <v>223.07999999999998</v>
      </c>
      <c r="L311" s="179">
        <f t="shared" si="59"/>
        <v>343.73</v>
      </c>
      <c r="M311" s="54">
        <f t="shared" si="60"/>
        <v>290.05200000000008</v>
      </c>
      <c r="N311" s="54">
        <f t="shared" si="61"/>
        <v>1230.1380000000001</v>
      </c>
      <c r="O311" s="54">
        <f t="shared" si="62"/>
        <v>2810.808</v>
      </c>
      <c r="P311" s="54">
        <f t="shared" si="63"/>
        <v>4330.9980000000005</v>
      </c>
    </row>
    <row r="312" spans="2:16" ht="15" customHeight="1" x14ac:dyDescent="0.3">
      <c r="B312" s="164">
        <v>49</v>
      </c>
      <c r="C312" s="165">
        <v>7</v>
      </c>
      <c r="D312" s="165">
        <f t="shared" si="56"/>
        <v>7.3500000000000005</v>
      </c>
      <c r="E312" s="54">
        <f t="shared" si="55"/>
        <v>14.700000000000001</v>
      </c>
      <c r="F312" s="54">
        <f t="shared" si="64"/>
        <v>95.550000000000011</v>
      </c>
      <c r="G312" s="54">
        <f t="shared" si="65"/>
        <v>249.9</v>
      </c>
      <c r="H312" s="54">
        <f t="shared" si="57"/>
        <v>360.15000000000003</v>
      </c>
      <c r="I312" s="40">
        <f t="shared" si="58"/>
        <v>23.020000000000003</v>
      </c>
      <c r="J312" s="40">
        <f t="shared" si="66"/>
        <v>97.63</v>
      </c>
      <c r="K312" s="40">
        <f t="shared" si="67"/>
        <v>229.84</v>
      </c>
      <c r="L312" s="179">
        <f t="shared" si="59"/>
        <v>350.49</v>
      </c>
      <c r="M312" s="54">
        <f t="shared" si="60"/>
        <v>169.19700000000003</v>
      </c>
      <c r="N312" s="54">
        <f t="shared" si="61"/>
        <v>717.58050000000003</v>
      </c>
      <c r="O312" s="54">
        <f t="shared" si="62"/>
        <v>1689.3240000000001</v>
      </c>
      <c r="P312" s="54">
        <f t="shared" si="63"/>
        <v>2576.1015000000002</v>
      </c>
    </row>
    <row r="313" spans="2:16" ht="15" customHeight="1" x14ac:dyDescent="0.3">
      <c r="B313" s="164">
        <v>50</v>
      </c>
      <c r="C313" s="165">
        <v>12</v>
      </c>
      <c r="D313" s="165">
        <f t="shared" si="56"/>
        <v>12.600000000000001</v>
      </c>
      <c r="E313" s="54">
        <f t="shared" si="55"/>
        <v>25.200000000000003</v>
      </c>
      <c r="F313" s="54">
        <f t="shared" si="64"/>
        <v>163.80000000000001</v>
      </c>
      <c r="G313" s="54">
        <f t="shared" si="65"/>
        <v>441.00000000000006</v>
      </c>
      <c r="H313" s="54">
        <f t="shared" si="57"/>
        <v>630</v>
      </c>
      <c r="I313" s="40">
        <f t="shared" si="58"/>
        <v>23.020000000000003</v>
      </c>
      <c r="J313" s="40">
        <f t="shared" si="66"/>
        <v>97.63</v>
      </c>
      <c r="K313" s="40">
        <f t="shared" si="67"/>
        <v>236.6</v>
      </c>
      <c r="L313" s="179">
        <f t="shared" si="59"/>
        <v>357.25</v>
      </c>
      <c r="M313" s="54">
        <f t="shared" si="60"/>
        <v>290.05200000000008</v>
      </c>
      <c r="N313" s="54">
        <f t="shared" si="61"/>
        <v>1230.1380000000001</v>
      </c>
      <c r="O313" s="54">
        <f t="shared" si="62"/>
        <v>2981.1600000000003</v>
      </c>
      <c r="P313" s="54">
        <f t="shared" si="63"/>
        <v>4501.3500000000004</v>
      </c>
    </row>
    <row r="314" spans="2:16" ht="15" customHeight="1" x14ac:dyDescent="0.3">
      <c r="B314" s="164">
        <v>51</v>
      </c>
      <c r="C314" s="165">
        <v>14</v>
      </c>
      <c r="D314" s="165">
        <f t="shared" si="56"/>
        <v>14.700000000000001</v>
      </c>
      <c r="E314" s="54">
        <f t="shared" si="55"/>
        <v>29.400000000000002</v>
      </c>
      <c r="F314" s="54">
        <f t="shared" si="64"/>
        <v>191.10000000000002</v>
      </c>
      <c r="G314" s="54">
        <f t="shared" si="65"/>
        <v>529.20000000000005</v>
      </c>
      <c r="H314" s="54">
        <f t="shared" si="57"/>
        <v>749.7</v>
      </c>
      <c r="I314" s="40">
        <f t="shared" si="58"/>
        <v>23.020000000000003</v>
      </c>
      <c r="J314" s="40">
        <f t="shared" si="66"/>
        <v>97.63</v>
      </c>
      <c r="K314" s="40">
        <f t="shared" si="67"/>
        <v>243.35999999999999</v>
      </c>
      <c r="L314" s="179">
        <f t="shared" si="59"/>
        <v>364.01</v>
      </c>
      <c r="M314" s="54">
        <f t="shared" si="60"/>
        <v>338.39400000000006</v>
      </c>
      <c r="N314" s="54">
        <f t="shared" si="61"/>
        <v>1435.1610000000001</v>
      </c>
      <c r="O314" s="54">
        <f t="shared" si="62"/>
        <v>3577.3919999999998</v>
      </c>
      <c r="P314" s="54">
        <f t="shared" si="63"/>
        <v>5350.9470000000001</v>
      </c>
    </row>
    <row r="315" spans="2:16" ht="15" customHeight="1" x14ac:dyDescent="0.3">
      <c r="B315" s="164">
        <v>52</v>
      </c>
      <c r="C315" s="165">
        <v>11</v>
      </c>
      <c r="D315" s="165">
        <f t="shared" si="56"/>
        <v>11.55</v>
      </c>
      <c r="E315" s="54">
        <f t="shared" si="55"/>
        <v>23.1</v>
      </c>
      <c r="F315" s="54">
        <f t="shared" si="64"/>
        <v>150.15</v>
      </c>
      <c r="G315" s="54">
        <f t="shared" si="65"/>
        <v>427.35</v>
      </c>
      <c r="H315" s="54">
        <f t="shared" si="57"/>
        <v>600.6</v>
      </c>
      <c r="I315" s="40">
        <f t="shared" si="58"/>
        <v>23.020000000000003</v>
      </c>
      <c r="J315" s="40">
        <f t="shared" si="66"/>
        <v>97.63</v>
      </c>
      <c r="K315" s="40">
        <f t="shared" si="67"/>
        <v>250.12</v>
      </c>
      <c r="L315" s="179">
        <f t="shared" si="59"/>
        <v>370.77</v>
      </c>
      <c r="M315" s="54">
        <f t="shared" si="60"/>
        <v>265.88100000000003</v>
      </c>
      <c r="N315" s="54">
        <f t="shared" si="61"/>
        <v>1127.6265000000001</v>
      </c>
      <c r="O315" s="54">
        <f t="shared" si="62"/>
        <v>2888.8860000000004</v>
      </c>
      <c r="P315" s="54">
        <f t="shared" si="63"/>
        <v>4282.3935000000001</v>
      </c>
    </row>
    <row r="316" spans="2:16" ht="15" customHeight="1" x14ac:dyDescent="0.3">
      <c r="B316" s="164">
        <v>53</v>
      </c>
      <c r="C316" s="165">
        <v>12</v>
      </c>
      <c r="D316" s="165">
        <f t="shared" si="56"/>
        <v>12.600000000000001</v>
      </c>
      <c r="E316" s="54">
        <f t="shared" si="55"/>
        <v>25.200000000000003</v>
      </c>
      <c r="F316" s="54">
        <f t="shared" si="64"/>
        <v>163.80000000000001</v>
      </c>
      <c r="G316" s="54">
        <f t="shared" si="65"/>
        <v>478.80000000000007</v>
      </c>
      <c r="H316" s="54">
        <f t="shared" si="57"/>
        <v>667.80000000000007</v>
      </c>
      <c r="I316" s="40">
        <f t="shared" si="58"/>
        <v>23.020000000000003</v>
      </c>
      <c r="J316" s="40">
        <f t="shared" si="66"/>
        <v>97.63</v>
      </c>
      <c r="K316" s="40">
        <f t="shared" si="67"/>
        <v>256.88</v>
      </c>
      <c r="L316" s="179">
        <f t="shared" si="59"/>
        <v>377.53</v>
      </c>
      <c r="M316" s="54">
        <f t="shared" si="60"/>
        <v>290.05200000000008</v>
      </c>
      <c r="N316" s="54">
        <f t="shared" si="61"/>
        <v>1230.1380000000001</v>
      </c>
      <c r="O316" s="54">
        <f t="shared" si="62"/>
        <v>3236.6880000000001</v>
      </c>
      <c r="P316" s="54">
        <f t="shared" si="63"/>
        <v>4756.8780000000006</v>
      </c>
    </row>
    <row r="317" spans="2:16" ht="15" customHeight="1" x14ac:dyDescent="0.3">
      <c r="B317" s="164">
        <v>54</v>
      </c>
      <c r="C317" s="165">
        <v>10</v>
      </c>
      <c r="D317" s="165">
        <f t="shared" si="56"/>
        <v>10.5</v>
      </c>
      <c r="E317" s="54">
        <f t="shared" si="55"/>
        <v>21</v>
      </c>
      <c r="F317" s="54">
        <f t="shared" si="64"/>
        <v>136.5</v>
      </c>
      <c r="G317" s="54">
        <f t="shared" si="65"/>
        <v>409.5</v>
      </c>
      <c r="H317" s="54">
        <f t="shared" si="57"/>
        <v>567</v>
      </c>
      <c r="I317" s="40">
        <f t="shared" si="58"/>
        <v>23.020000000000003</v>
      </c>
      <c r="J317" s="40">
        <f t="shared" si="66"/>
        <v>97.63</v>
      </c>
      <c r="K317" s="40">
        <f t="shared" si="67"/>
        <v>263.64</v>
      </c>
      <c r="L317" s="179">
        <f t="shared" si="59"/>
        <v>384.28999999999996</v>
      </c>
      <c r="M317" s="54">
        <f t="shared" si="60"/>
        <v>241.71000000000004</v>
      </c>
      <c r="N317" s="54">
        <f t="shared" si="61"/>
        <v>1025.115</v>
      </c>
      <c r="O317" s="54">
        <f t="shared" si="62"/>
        <v>2768.22</v>
      </c>
      <c r="P317" s="54">
        <f t="shared" si="63"/>
        <v>4035.0450000000001</v>
      </c>
    </row>
    <row r="318" spans="2:16" ht="15" customHeight="1" x14ac:dyDescent="0.3">
      <c r="B318" s="164">
        <v>55</v>
      </c>
      <c r="C318" s="165">
        <v>10</v>
      </c>
      <c r="D318" s="165">
        <f t="shared" si="56"/>
        <v>10.5</v>
      </c>
      <c r="E318" s="54">
        <f t="shared" si="55"/>
        <v>21</v>
      </c>
      <c r="F318" s="54">
        <f t="shared" si="64"/>
        <v>136.5</v>
      </c>
      <c r="G318" s="54">
        <f t="shared" si="65"/>
        <v>420</v>
      </c>
      <c r="H318" s="54">
        <f t="shared" si="57"/>
        <v>577.5</v>
      </c>
      <c r="I318" s="40">
        <f t="shared" si="58"/>
        <v>23.020000000000003</v>
      </c>
      <c r="J318" s="40">
        <f t="shared" si="66"/>
        <v>97.63</v>
      </c>
      <c r="K318" s="40">
        <f t="shared" si="67"/>
        <v>270.39999999999998</v>
      </c>
      <c r="L318" s="179">
        <f t="shared" si="59"/>
        <v>391.04999999999995</v>
      </c>
      <c r="M318" s="54">
        <f t="shared" si="60"/>
        <v>241.71000000000004</v>
      </c>
      <c r="N318" s="54">
        <f t="shared" si="61"/>
        <v>1025.115</v>
      </c>
      <c r="O318" s="54">
        <f t="shared" si="62"/>
        <v>2839.2</v>
      </c>
      <c r="P318" s="54">
        <f t="shared" si="63"/>
        <v>4106.0249999999996</v>
      </c>
    </row>
    <row r="319" spans="2:16" ht="15" customHeight="1" x14ac:dyDescent="0.3">
      <c r="B319" s="164">
        <v>56</v>
      </c>
      <c r="C319" s="165">
        <v>11</v>
      </c>
      <c r="D319" s="165">
        <f t="shared" si="56"/>
        <v>11.55</v>
      </c>
      <c r="E319" s="54">
        <f t="shared" si="55"/>
        <v>23.1</v>
      </c>
      <c r="F319" s="54">
        <f t="shared" si="64"/>
        <v>150.15</v>
      </c>
      <c r="G319" s="54">
        <f t="shared" si="65"/>
        <v>473.55</v>
      </c>
      <c r="H319" s="54">
        <f t="shared" si="57"/>
        <v>646.79999999999995</v>
      </c>
      <c r="I319" s="40">
        <f t="shared" si="58"/>
        <v>23.020000000000003</v>
      </c>
      <c r="J319" s="40">
        <f t="shared" si="66"/>
        <v>97.63</v>
      </c>
      <c r="K319" s="40">
        <f t="shared" si="67"/>
        <v>277.15999999999997</v>
      </c>
      <c r="L319" s="179">
        <f t="shared" si="59"/>
        <v>397.80999999999995</v>
      </c>
      <c r="M319" s="54">
        <f t="shared" si="60"/>
        <v>265.88100000000003</v>
      </c>
      <c r="N319" s="54">
        <f t="shared" si="61"/>
        <v>1127.6265000000001</v>
      </c>
      <c r="O319" s="54">
        <f t="shared" si="62"/>
        <v>3201.1979999999999</v>
      </c>
      <c r="P319" s="54">
        <f t="shared" si="63"/>
        <v>4594.7055</v>
      </c>
    </row>
    <row r="320" spans="2:16" ht="15" customHeight="1" x14ac:dyDescent="0.3">
      <c r="B320" s="164">
        <v>57</v>
      </c>
      <c r="C320" s="165">
        <v>6</v>
      </c>
      <c r="D320" s="165">
        <f t="shared" si="56"/>
        <v>6.3000000000000007</v>
      </c>
      <c r="E320" s="54">
        <f t="shared" si="55"/>
        <v>12.600000000000001</v>
      </c>
      <c r="F320" s="54">
        <f t="shared" si="64"/>
        <v>81.900000000000006</v>
      </c>
      <c r="G320" s="54">
        <f t="shared" si="65"/>
        <v>264.60000000000002</v>
      </c>
      <c r="H320" s="54">
        <f t="shared" si="57"/>
        <v>359.1</v>
      </c>
      <c r="I320" s="40">
        <f t="shared" si="58"/>
        <v>23.020000000000003</v>
      </c>
      <c r="J320" s="40">
        <f t="shared" si="66"/>
        <v>97.63</v>
      </c>
      <c r="K320" s="40">
        <f t="shared" si="67"/>
        <v>283.92</v>
      </c>
      <c r="L320" s="179">
        <f t="shared" si="59"/>
        <v>404.57000000000005</v>
      </c>
      <c r="M320" s="54">
        <f t="shared" si="60"/>
        <v>145.02600000000004</v>
      </c>
      <c r="N320" s="54">
        <f t="shared" si="61"/>
        <v>615.06900000000007</v>
      </c>
      <c r="O320" s="54">
        <f t="shared" si="62"/>
        <v>1788.6960000000004</v>
      </c>
      <c r="P320" s="54">
        <f t="shared" si="63"/>
        <v>2548.7910000000006</v>
      </c>
    </row>
    <row r="321" spans="2:16" ht="15" customHeight="1" x14ac:dyDescent="0.3">
      <c r="B321" s="164">
        <v>58</v>
      </c>
      <c r="C321" s="165">
        <v>14</v>
      </c>
      <c r="D321" s="165">
        <f t="shared" si="56"/>
        <v>14.700000000000001</v>
      </c>
      <c r="E321" s="54">
        <f t="shared" si="55"/>
        <v>29.400000000000002</v>
      </c>
      <c r="F321" s="54">
        <f t="shared" si="64"/>
        <v>191.10000000000002</v>
      </c>
      <c r="G321" s="54">
        <f t="shared" si="65"/>
        <v>632.1</v>
      </c>
      <c r="H321" s="54">
        <f t="shared" si="57"/>
        <v>852.6</v>
      </c>
      <c r="I321" s="40">
        <f t="shared" si="58"/>
        <v>23.020000000000003</v>
      </c>
      <c r="J321" s="40">
        <f t="shared" si="66"/>
        <v>97.63</v>
      </c>
      <c r="K321" s="40">
        <f t="shared" si="67"/>
        <v>290.68</v>
      </c>
      <c r="L321" s="179">
        <f t="shared" si="59"/>
        <v>411.33000000000004</v>
      </c>
      <c r="M321" s="54">
        <f t="shared" si="60"/>
        <v>338.39400000000006</v>
      </c>
      <c r="N321" s="54">
        <f t="shared" si="61"/>
        <v>1435.1610000000001</v>
      </c>
      <c r="O321" s="54">
        <f t="shared" si="62"/>
        <v>4272.9960000000001</v>
      </c>
      <c r="P321" s="54">
        <f t="shared" si="63"/>
        <v>6046.5510000000004</v>
      </c>
    </row>
    <row r="322" spans="2:16" ht="15" customHeight="1" x14ac:dyDescent="0.3">
      <c r="B322" s="164">
        <v>59</v>
      </c>
      <c r="C322" s="165">
        <v>9</v>
      </c>
      <c r="D322" s="165">
        <f t="shared" si="56"/>
        <v>9.4500000000000011</v>
      </c>
      <c r="E322" s="54">
        <f t="shared" si="55"/>
        <v>18.900000000000002</v>
      </c>
      <c r="F322" s="54">
        <f t="shared" si="64"/>
        <v>122.85000000000001</v>
      </c>
      <c r="G322" s="54">
        <f t="shared" si="65"/>
        <v>415.80000000000007</v>
      </c>
      <c r="H322" s="54">
        <f t="shared" si="57"/>
        <v>557.55000000000007</v>
      </c>
      <c r="I322" s="40">
        <f t="shared" si="58"/>
        <v>23.020000000000003</v>
      </c>
      <c r="J322" s="40">
        <f t="shared" si="66"/>
        <v>97.63</v>
      </c>
      <c r="K322" s="40">
        <f t="shared" si="67"/>
        <v>297.44</v>
      </c>
      <c r="L322" s="179">
        <f t="shared" si="59"/>
        <v>418.09000000000003</v>
      </c>
      <c r="M322" s="54">
        <f t="shared" si="60"/>
        <v>217.53900000000004</v>
      </c>
      <c r="N322" s="54">
        <f t="shared" si="61"/>
        <v>922.60350000000005</v>
      </c>
      <c r="O322" s="54">
        <f t="shared" si="62"/>
        <v>2810.8080000000004</v>
      </c>
      <c r="P322" s="54">
        <f t="shared" si="63"/>
        <v>3950.9505000000008</v>
      </c>
    </row>
    <row r="323" spans="2:16" ht="15" customHeight="1" x14ac:dyDescent="0.3">
      <c r="B323" s="164">
        <v>60</v>
      </c>
      <c r="C323" s="165">
        <v>19</v>
      </c>
      <c r="D323" s="165">
        <f t="shared" si="56"/>
        <v>19.95</v>
      </c>
      <c r="E323" s="54">
        <f t="shared" si="55"/>
        <v>39.9</v>
      </c>
      <c r="F323" s="54">
        <f t="shared" si="64"/>
        <v>259.34999999999997</v>
      </c>
      <c r="G323" s="54">
        <f t="shared" si="65"/>
        <v>897.75</v>
      </c>
      <c r="H323" s="54">
        <f t="shared" si="57"/>
        <v>1197</v>
      </c>
      <c r="I323" s="40">
        <f t="shared" si="58"/>
        <v>23.020000000000003</v>
      </c>
      <c r="J323" s="40">
        <f t="shared" si="66"/>
        <v>97.63</v>
      </c>
      <c r="K323" s="40">
        <f t="shared" si="67"/>
        <v>304.2</v>
      </c>
      <c r="L323" s="179">
        <f t="shared" si="59"/>
        <v>424.85</v>
      </c>
      <c r="M323" s="54">
        <f t="shared" si="60"/>
        <v>459.24900000000002</v>
      </c>
      <c r="N323" s="54">
        <f t="shared" si="61"/>
        <v>1947.7184999999999</v>
      </c>
      <c r="O323" s="54">
        <f t="shared" si="62"/>
        <v>6068.79</v>
      </c>
      <c r="P323" s="54">
        <f t="shared" si="63"/>
        <v>8475.7574999999997</v>
      </c>
    </row>
    <row r="324" spans="2:16" ht="15" customHeight="1" x14ac:dyDescent="0.3">
      <c r="B324" s="164">
        <v>61</v>
      </c>
      <c r="C324" s="165">
        <v>8</v>
      </c>
      <c r="D324" s="165">
        <f t="shared" si="56"/>
        <v>8.4</v>
      </c>
      <c r="E324" s="54">
        <f t="shared" si="55"/>
        <v>16.8</v>
      </c>
      <c r="F324" s="54">
        <f t="shared" si="64"/>
        <v>109.2</v>
      </c>
      <c r="G324" s="54">
        <f t="shared" si="65"/>
        <v>386.40000000000003</v>
      </c>
      <c r="H324" s="54">
        <f t="shared" si="57"/>
        <v>512.40000000000009</v>
      </c>
      <c r="I324" s="40">
        <f t="shared" si="58"/>
        <v>23.020000000000003</v>
      </c>
      <c r="J324" s="40">
        <f t="shared" si="66"/>
        <v>97.63</v>
      </c>
      <c r="K324" s="40">
        <f t="shared" si="67"/>
        <v>310.95999999999998</v>
      </c>
      <c r="L324" s="179">
        <f t="shared" si="59"/>
        <v>431.61</v>
      </c>
      <c r="M324" s="54">
        <f t="shared" si="60"/>
        <v>193.36800000000002</v>
      </c>
      <c r="N324" s="54">
        <f t="shared" si="61"/>
        <v>820.09199999999998</v>
      </c>
      <c r="O324" s="54">
        <f t="shared" si="62"/>
        <v>2612.0639999999999</v>
      </c>
      <c r="P324" s="54">
        <f t="shared" si="63"/>
        <v>3625.5239999999999</v>
      </c>
    </row>
    <row r="325" spans="2:16" ht="15" customHeight="1" x14ac:dyDescent="0.3">
      <c r="B325" s="164">
        <v>62</v>
      </c>
      <c r="C325" s="165">
        <v>4</v>
      </c>
      <c r="D325" s="165">
        <f t="shared" si="56"/>
        <v>4.2</v>
      </c>
      <c r="E325" s="54">
        <f t="shared" si="55"/>
        <v>8.4</v>
      </c>
      <c r="F325" s="54">
        <f t="shared" si="64"/>
        <v>54.6</v>
      </c>
      <c r="G325" s="54">
        <f t="shared" si="65"/>
        <v>197.4</v>
      </c>
      <c r="H325" s="54">
        <f t="shared" si="57"/>
        <v>260.39999999999998</v>
      </c>
      <c r="I325" s="40">
        <f t="shared" si="58"/>
        <v>23.020000000000003</v>
      </c>
      <c r="J325" s="40">
        <f t="shared" si="66"/>
        <v>97.63</v>
      </c>
      <c r="K325" s="40">
        <f t="shared" si="67"/>
        <v>317.71999999999997</v>
      </c>
      <c r="L325" s="179">
        <f t="shared" si="59"/>
        <v>438.37</v>
      </c>
      <c r="M325" s="54">
        <f t="shared" si="60"/>
        <v>96.684000000000012</v>
      </c>
      <c r="N325" s="54">
        <f t="shared" si="61"/>
        <v>410.04599999999999</v>
      </c>
      <c r="O325" s="54">
        <f t="shared" si="62"/>
        <v>1334.424</v>
      </c>
      <c r="P325" s="54">
        <f t="shared" si="63"/>
        <v>1841.154</v>
      </c>
    </row>
    <row r="326" spans="2:16" ht="15" customHeight="1" x14ac:dyDescent="0.3">
      <c r="B326" s="164">
        <v>63</v>
      </c>
      <c r="C326" s="165">
        <v>13</v>
      </c>
      <c r="D326" s="165">
        <f t="shared" si="56"/>
        <v>13.65</v>
      </c>
      <c r="E326" s="54">
        <f t="shared" si="55"/>
        <v>27.3</v>
      </c>
      <c r="F326" s="54">
        <f t="shared" si="64"/>
        <v>177.45000000000002</v>
      </c>
      <c r="G326" s="54">
        <f t="shared" si="65"/>
        <v>655.20000000000005</v>
      </c>
      <c r="H326" s="54">
        <f t="shared" si="57"/>
        <v>859.95</v>
      </c>
      <c r="I326" s="40">
        <f t="shared" si="58"/>
        <v>23.020000000000003</v>
      </c>
      <c r="J326" s="40">
        <f t="shared" si="66"/>
        <v>97.63</v>
      </c>
      <c r="K326" s="40">
        <f t="shared" si="67"/>
        <v>324.48</v>
      </c>
      <c r="L326" s="179">
        <f t="shared" si="59"/>
        <v>445.13</v>
      </c>
      <c r="M326" s="54">
        <f t="shared" si="60"/>
        <v>314.22300000000007</v>
      </c>
      <c r="N326" s="54">
        <f t="shared" si="61"/>
        <v>1332.6495</v>
      </c>
      <c r="O326" s="54">
        <f t="shared" si="62"/>
        <v>4429.152</v>
      </c>
      <c r="P326" s="54">
        <f t="shared" si="63"/>
        <v>6076.0244999999995</v>
      </c>
    </row>
    <row r="327" spans="2:16" ht="15" customHeight="1" x14ac:dyDescent="0.3">
      <c r="B327" s="164">
        <v>64</v>
      </c>
      <c r="C327" s="165">
        <v>9</v>
      </c>
      <c r="D327" s="165">
        <f t="shared" si="56"/>
        <v>9.4500000000000011</v>
      </c>
      <c r="E327" s="54">
        <f t="shared" ref="E327:E390" si="68">+IF($B327&gt;2,2,$B327)*$D327</f>
        <v>18.900000000000002</v>
      </c>
      <c r="F327" s="54">
        <f t="shared" si="64"/>
        <v>122.85000000000001</v>
      </c>
      <c r="G327" s="54">
        <f t="shared" si="65"/>
        <v>463.05000000000007</v>
      </c>
      <c r="H327" s="54">
        <f t="shared" si="57"/>
        <v>604.80000000000007</v>
      </c>
      <c r="I327" s="40">
        <f t="shared" si="58"/>
        <v>23.020000000000003</v>
      </c>
      <c r="J327" s="40">
        <f t="shared" si="66"/>
        <v>97.63</v>
      </c>
      <c r="K327" s="40">
        <f t="shared" si="67"/>
        <v>331.24</v>
      </c>
      <c r="L327" s="179">
        <f t="shared" si="59"/>
        <v>451.89</v>
      </c>
      <c r="M327" s="54">
        <f t="shared" si="60"/>
        <v>217.53900000000004</v>
      </c>
      <c r="N327" s="54">
        <f t="shared" si="61"/>
        <v>922.60350000000005</v>
      </c>
      <c r="O327" s="54">
        <f t="shared" si="62"/>
        <v>3130.2180000000003</v>
      </c>
      <c r="P327" s="54">
        <f t="shared" si="63"/>
        <v>4270.3605000000007</v>
      </c>
    </row>
    <row r="328" spans="2:16" ht="15" customHeight="1" x14ac:dyDescent="0.3">
      <c r="B328" s="164">
        <v>65</v>
      </c>
      <c r="C328" s="165">
        <v>8</v>
      </c>
      <c r="D328" s="165">
        <f t="shared" ref="D328:D391" si="69">+C328*(1+$D$10)</f>
        <v>8.4</v>
      </c>
      <c r="E328" s="54">
        <f t="shared" si="68"/>
        <v>16.8</v>
      </c>
      <c r="F328" s="54">
        <f t="shared" si="64"/>
        <v>109.2</v>
      </c>
      <c r="G328" s="54">
        <f t="shared" si="65"/>
        <v>420</v>
      </c>
      <c r="H328" s="54">
        <f t="shared" ref="H328:H391" si="70">+SUM(E328:G328)</f>
        <v>546</v>
      </c>
      <c r="I328" s="40">
        <f t="shared" ref="I328:I391" si="71">+$I$258</f>
        <v>23.020000000000003</v>
      </c>
      <c r="J328" s="40">
        <f t="shared" si="66"/>
        <v>97.63</v>
      </c>
      <c r="K328" s="40">
        <f t="shared" si="67"/>
        <v>338</v>
      </c>
      <c r="L328" s="179">
        <f t="shared" ref="L328:L391" si="72">+SUM(I328:K328)</f>
        <v>458.65</v>
      </c>
      <c r="M328" s="54">
        <f t="shared" ref="M328:M391" si="73">+I328*$D328</f>
        <v>193.36800000000002</v>
      </c>
      <c r="N328" s="54">
        <f t="shared" ref="N328:N391" si="74">+J328*$D328</f>
        <v>820.09199999999998</v>
      </c>
      <c r="O328" s="54">
        <f t="shared" ref="O328:O391" si="75">+K328*$D328</f>
        <v>2839.2000000000003</v>
      </c>
      <c r="P328" s="54">
        <f t="shared" ref="P328:P391" si="76">+SUM(M328:O328)</f>
        <v>3852.6600000000003</v>
      </c>
    </row>
    <row r="329" spans="2:16" ht="15" customHeight="1" x14ac:dyDescent="0.3">
      <c r="B329" s="164">
        <v>66</v>
      </c>
      <c r="C329" s="165">
        <v>9</v>
      </c>
      <c r="D329" s="165">
        <f t="shared" si="69"/>
        <v>9.4500000000000011</v>
      </c>
      <c r="E329" s="54">
        <f t="shared" si="68"/>
        <v>18.900000000000002</v>
      </c>
      <c r="F329" s="54">
        <f t="shared" si="64"/>
        <v>122.85000000000001</v>
      </c>
      <c r="G329" s="54">
        <f t="shared" si="65"/>
        <v>481.95000000000005</v>
      </c>
      <c r="H329" s="54">
        <f t="shared" si="70"/>
        <v>623.70000000000005</v>
      </c>
      <c r="I329" s="40">
        <f t="shared" si="71"/>
        <v>23.020000000000003</v>
      </c>
      <c r="J329" s="40">
        <f t="shared" si="66"/>
        <v>97.63</v>
      </c>
      <c r="K329" s="40">
        <f t="shared" si="67"/>
        <v>344.76</v>
      </c>
      <c r="L329" s="179">
        <f t="shared" si="72"/>
        <v>465.40999999999997</v>
      </c>
      <c r="M329" s="54">
        <f t="shared" si="73"/>
        <v>217.53900000000004</v>
      </c>
      <c r="N329" s="54">
        <f t="shared" si="74"/>
        <v>922.60350000000005</v>
      </c>
      <c r="O329" s="54">
        <f t="shared" si="75"/>
        <v>3257.9820000000004</v>
      </c>
      <c r="P329" s="54">
        <f t="shared" si="76"/>
        <v>4398.1245000000008</v>
      </c>
    </row>
    <row r="330" spans="2:16" ht="15" customHeight="1" x14ac:dyDescent="0.3">
      <c r="B330" s="164">
        <v>67</v>
      </c>
      <c r="C330" s="165">
        <v>5</v>
      </c>
      <c r="D330" s="165">
        <f t="shared" si="69"/>
        <v>5.25</v>
      </c>
      <c r="E330" s="54">
        <f t="shared" si="68"/>
        <v>10.5</v>
      </c>
      <c r="F330" s="54">
        <f t="shared" ref="F330:F393" si="77">+IF($B330&gt;15,13,$B330-2)*$D330</f>
        <v>68.25</v>
      </c>
      <c r="G330" s="54">
        <f t="shared" ref="G330:G393" si="78">+IF($B330&gt;15,$B330-15,0)*$D330</f>
        <v>273</v>
      </c>
      <c r="H330" s="54">
        <f t="shared" si="70"/>
        <v>351.75</v>
      </c>
      <c r="I330" s="40">
        <f t="shared" si="71"/>
        <v>23.020000000000003</v>
      </c>
      <c r="J330" s="40">
        <f t="shared" si="66"/>
        <v>97.63</v>
      </c>
      <c r="K330" s="40">
        <f t="shared" si="67"/>
        <v>351.52</v>
      </c>
      <c r="L330" s="179">
        <f t="shared" si="72"/>
        <v>472.16999999999996</v>
      </c>
      <c r="M330" s="54">
        <f t="shared" si="73"/>
        <v>120.85500000000002</v>
      </c>
      <c r="N330" s="54">
        <f t="shared" si="74"/>
        <v>512.5575</v>
      </c>
      <c r="O330" s="54">
        <f t="shared" si="75"/>
        <v>1845.48</v>
      </c>
      <c r="P330" s="54">
        <f t="shared" si="76"/>
        <v>2478.8924999999999</v>
      </c>
    </row>
    <row r="331" spans="2:16" ht="15" customHeight="1" x14ac:dyDescent="0.3">
      <c r="B331" s="164">
        <v>68</v>
      </c>
      <c r="C331" s="165">
        <v>9</v>
      </c>
      <c r="D331" s="165">
        <f t="shared" si="69"/>
        <v>9.4500000000000011</v>
      </c>
      <c r="E331" s="54">
        <f t="shared" si="68"/>
        <v>18.900000000000002</v>
      </c>
      <c r="F331" s="54">
        <f t="shared" si="77"/>
        <v>122.85000000000001</v>
      </c>
      <c r="G331" s="54">
        <f t="shared" si="78"/>
        <v>500.85000000000008</v>
      </c>
      <c r="H331" s="54">
        <f t="shared" si="70"/>
        <v>642.60000000000014</v>
      </c>
      <c r="I331" s="40">
        <f t="shared" si="71"/>
        <v>23.020000000000003</v>
      </c>
      <c r="J331" s="40">
        <f t="shared" ref="J331:J394" si="79">+IF($B331&gt;15,13,$B331-2)*$J$258</f>
        <v>97.63</v>
      </c>
      <c r="K331" s="40">
        <f t="shared" ref="K331:K394" si="80">+IF($B331&gt;15,$B331-15,0)*$K$258</f>
        <v>358.28</v>
      </c>
      <c r="L331" s="179">
        <f t="shared" si="72"/>
        <v>478.92999999999995</v>
      </c>
      <c r="M331" s="54">
        <f t="shared" si="73"/>
        <v>217.53900000000004</v>
      </c>
      <c r="N331" s="54">
        <f t="shared" si="74"/>
        <v>922.60350000000005</v>
      </c>
      <c r="O331" s="54">
        <f t="shared" si="75"/>
        <v>3385.7460000000001</v>
      </c>
      <c r="P331" s="54">
        <f t="shared" si="76"/>
        <v>4525.8885</v>
      </c>
    </row>
    <row r="332" spans="2:16" ht="15" customHeight="1" x14ac:dyDescent="0.3">
      <c r="B332" s="164">
        <v>69</v>
      </c>
      <c r="C332" s="165">
        <v>6</v>
      </c>
      <c r="D332" s="165">
        <f t="shared" si="69"/>
        <v>6.3000000000000007</v>
      </c>
      <c r="E332" s="54">
        <f t="shared" si="68"/>
        <v>12.600000000000001</v>
      </c>
      <c r="F332" s="54">
        <f t="shared" si="77"/>
        <v>81.900000000000006</v>
      </c>
      <c r="G332" s="54">
        <f t="shared" si="78"/>
        <v>340.20000000000005</v>
      </c>
      <c r="H332" s="54">
        <f t="shared" si="70"/>
        <v>434.70000000000005</v>
      </c>
      <c r="I332" s="40">
        <f t="shared" si="71"/>
        <v>23.020000000000003</v>
      </c>
      <c r="J332" s="40">
        <f t="shared" si="79"/>
        <v>97.63</v>
      </c>
      <c r="K332" s="40">
        <f t="shared" si="80"/>
        <v>365.03999999999996</v>
      </c>
      <c r="L332" s="179">
        <f t="shared" si="72"/>
        <v>485.68999999999994</v>
      </c>
      <c r="M332" s="54">
        <f t="shared" si="73"/>
        <v>145.02600000000004</v>
      </c>
      <c r="N332" s="54">
        <f t="shared" si="74"/>
        <v>615.06900000000007</v>
      </c>
      <c r="O332" s="54">
        <f t="shared" si="75"/>
        <v>2299.752</v>
      </c>
      <c r="P332" s="54">
        <f t="shared" si="76"/>
        <v>3059.8470000000002</v>
      </c>
    </row>
    <row r="333" spans="2:16" ht="15" customHeight="1" x14ac:dyDescent="0.3">
      <c r="B333" s="164">
        <v>70</v>
      </c>
      <c r="C333" s="165">
        <v>7</v>
      </c>
      <c r="D333" s="165">
        <f t="shared" si="69"/>
        <v>7.3500000000000005</v>
      </c>
      <c r="E333" s="54">
        <f t="shared" si="68"/>
        <v>14.700000000000001</v>
      </c>
      <c r="F333" s="54">
        <f t="shared" si="77"/>
        <v>95.550000000000011</v>
      </c>
      <c r="G333" s="54">
        <f t="shared" si="78"/>
        <v>404.25000000000006</v>
      </c>
      <c r="H333" s="54">
        <f t="shared" si="70"/>
        <v>514.50000000000011</v>
      </c>
      <c r="I333" s="40">
        <f t="shared" si="71"/>
        <v>23.020000000000003</v>
      </c>
      <c r="J333" s="40">
        <f t="shared" si="79"/>
        <v>97.63</v>
      </c>
      <c r="K333" s="40">
        <f t="shared" si="80"/>
        <v>371.8</v>
      </c>
      <c r="L333" s="179">
        <f t="shared" si="72"/>
        <v>492.45000000000005</v>
      </c>
      <c r="M333" s="54">
        <f t="shared" si="73"/>
        <v>169.19700000000003</v>
      </c>
      <c r="N333" s="54">
        <f t="shared" si="74"/>
        <v>717.58050000000003</v>
      </c>
      <c r="O333" s="54">
        <f t="shared" si="75"/>
        <v>2732.7300000000005</v>
      </c>
      <c r="P333" s="54">
        <f t="shared" si="76"/>
        <v>3619.5075000000006</v>
      </c>
    </row>
    <row r="334" spans="2:16" ht="15" customHeight="1" x14ac:dyDescent="0.3">
      <c r="B334" s="164">
        <v>71</v>
      </c>
      <c r="C334" s="165">
        <v>5</v>
      </c>
      <c r="D334" s="165">
        <f t="shared" si="69"/>
        <v>5.25</v>
      </c>
      <c r="E334" s="54">
        <f t="shared" si="68"/>
        <v>10.5</v>
      </c>
      <c r="F334" s="54">
        <f t="shared" si="77"/>
        <v>68.25</v>
      </c>
      <c r="G334" s="54">
        <f t="shared" si="78"/>
        <v>294</v>
      </c>
      <c r="H334" s="54">
        <f t="shared" si="70"/>
        <v>372.75</v>
      </c>
      <c r="I334" s="40">
        <f t="shared" si="71"/>
        <v>23.020000000000003</v>
      </c>
      <c r="J334" s="40">
        <f t="shared" si="79"/>
        <v>97.63</v>
      </c>
      <c r="K334" s="40">
        <f t="shared" si="80"/>
        <v>378.56</v>
      </c>
      <c r="L334" s="179">
        <f t="shared" si="72"/>
        <v>499.21000000000004</v>
      </c>
      <c r="M334" s="54">
        <f t="shared" si="73"/>
        <v>120.85500000000002</v>
      </c>
      <c r="N334" s="54">
        <f t="shared" si="74"/>
        <v>512.5575</v>
      </c>
      <c r="O334" s="54">
        <f t="shared" si="75"/>
        <v>1987.44</v>
      </c>
      <c r="P334" s="54">
        <f t="shared" si="76"/>
        <v>2620.8525</v>
      </c>
    </row>
    <row r="335" spans="2:16" ht="15" customHeight="1" x14ac:dyDescent="0.3">
      <c r="B335" s="164">
        <v>72</v>
      </c>
      <c r="C335" s="165">
        <v>7</v>
      </c>
      <c r="D335" s="165">
        <f t="shared" si="69"/>
        <v>7.3500000000000005</v>
      </c>
      <c r="E335" s="54">
        <f t="shared" si="68"/>
        <v>14.700000000000001</v>
      </c>
      <c r="F335" s="54">
        <f t="shared" si="77"/>
        <v>95.550000000000011</v>
      </c>
      <c r="G335" s="54">
        <f t="shared" si="78"/>
        <v>418.95000000000005</v>
      </c>
      <c r="H335" s="54">
        <f t="shared" si="70"/>
        <v>529.20000000000005</v>
      </c>
      <c r="I335" s="40">
        <f t="shared" si="71"/>
        <v>23.020000000000003</v>
      </c>
      <c r="J335" s="40">
        <f t="shared" si="79"/>
        <v>97.63</v>
      </c>
      <c r="K335" s="40">
        <f t="shared" si="80"/>
        <v>385.32</v>
      </c>
      <c r="L335" s="179">
        <f t="shared" si="72"/>
        <v>505.97</v>
      </c>
      <c r="M335" s="54">
        <f t="shared" si="73"/>
        <v>169.19700000000003</v>
      </c>
      <c r="N335" s="54">
        <f t="shared" si="74"/>
        <v>717.58050000000003</v>
      </c>
      <c r="O335" s="54">
        <f t="shared" si="75"/>
        <v>2832.1020000000003</v>
      </c>
      <c r="P335" s="54">
        <f t="shared" si="76"/>
        <v>3718.8795000000005</v>
      </c>
    </row>
    <row r="336" spans="2:16" ht="15" customHeight="1" x14ac:dyDescent="0.3">
      <c r="B336" s="164">
        <v>73</v>
      </c>
      <c r="C336" s="165">
        <v>9</v>
      </c>
      <c r="D336" s="165">
        <f t="shared" si="69"/>
        <v>9.4500000000000011</v>
      </c>
      <c r="E336" s="54">
        <f t="shared" si="68"/>
        <v>18.900000000000002</v>
      </c>
      <c r="F336" s="54">
        <f t="shared" si="77"/>
        <v>122.85000000000001</v>
      </c>
      <c r="G336" s="54">
        <f t="shared" si="78"/>
        <v>548.1</v>
      </c>
      <c r="H336" s="54">
        <f t="shared" si="70"/>
        <v>689.85</v>
      </c>
      <c r="I336" s="40">
        <f t="shared" si="71"/>
        <v>23.020000000000003</v>
      </c>
      <c r="J336" s="40">
        <f t="shared" si="79"/>
        <v>97.63</v>
      </c>
      <c r="K336" s="40">
        <f t="shared" si="80"/>
        <v>392.08</v>
      </c>
      <c r="L336" s="179">
        <f t="shared" si="72"/>
        <v>512.73</v>
      </c>
      <c r="M336" s="54">
        <f t="shared" si="73"/>
        <v>217.53900000000004</v>
      </c>
      <c r="N336" s="54">
        <f t="shared" si="74"/>
        <v>922.60350000000005</v>
      </c>
      <c r="O336" s="54">
        <f t="shared" si="75"/>
        <v>3705.1560000000004</v>
      </c>
      <c r="P336" s="54">
        <f t="shared" si="76"/>
        <v>4845.2985000000008</v>
      </c>
    </row>
    <row r="337" spans="2:16" ht="15" customHeight="1" x14ac:dyDescent="0.3">
      <c r="B337" s="164">
        <v>74</v>
      </c>
      <c r="C337" s="165">
        <v>4</v>
      </c>
      <c r="D337" s="165">
        <f t="shared" si="69"/>
        <v>4.2</v>
      </c>
      <c r="E337" s="54">
        <f t="shared" si="68"/>
        <v>8.4</v>
      </c>
      <c r="F337" s="54">
        <f t="shared" si="77"/>
        <v>54.6</v>
      </c>
      <c r="G337" s="54">
        <f t="shared" si="78"/>
        <v>247.8</v>
      </c>
      <c r="H337" s="54">
        <f t="shared" si="70"/>
        <v>310.8</v>
      </c>
      <c r="I337" s="40">
        <f t="shared" si="71"/>
        <v>23.020000000000003</v>
      </c>
      <c r="J337" s="40">
        <f t="shared" si="79"/>
        <v>97.63</v>
      </c>
      <c r="K337" s="40">
        <f t="shared" si="80"/>
        <v>398.84</v>
      </c>
      <c r="L337" s="179">
        <f t="shared" si="72"/>
        <v>519.49</v>
      </c>
      <c r="M337" s="54">
        <f t="shared" si="73"/>
        <v>96.684000000000012</v>
      </c>
      <c r="N337" s="54">
        <f t="shared" si="74"/>
        <v>410.04599999999999</v>
      </c>
      <c r="O337" s="54">
        <f t="shared" si="75"/>
        <v>1675.1279999999999</v>
      </c>
      <c r="P337" s="54">
        <f t="shared" si="76"/>
        <v>2181.8580000000002</v>
      </c>
    </row>
    <row r="338" spans="2:16" ht="15" customHeight="1" x14ac:dyDescent="0.3">
      <c r="B338" s="164">
        <v>75</v>
      </c>
      <c r="C338" s="165">
        <v>4</v>
      </c>
      <c r="D338" s="165">
        <f t="shared" si="69"/>
        <v>4.2</v>
      </c>
      <c r="E338" s="54">
        <f t="shared" si="68"/>
        <v>8.4</v>
      </c>
      <c r="F338" s="54">
        <f t="shared" si="77"/>
        <v>54.6</v>
      </c>
      <c r="G338" s="54">
        <f t="shared" si="78"/>
        <v>252</v>
      </c>
      <c r="H338" s="54">
        <f t="shared" si="70"/>
        <v>315</v>
      </c>
      <c r="I338" s="40">
        <f t="shared" si="71"/>
        <v>23.020000000000003</v>
      </c>
      <c r="J338" s="40">
        <f t="shared" si="79"/>
        <v>97.63</v>
      </c>
      <c r="K338" s="40">
        <f t="shared" si="80"/>
        <v>405.59999999999997</v>
      </c>
      <c r="L338" s="179">
        <f t="shared" si="72"/>
        <v>526.25</v>
      </c>
      <c r="M338" s="54">
        <f t="shared" si="73"/>
        <v>96.684000000000012</v>
      </c>
      <c r="N338" s="54">
        <f t="shared" si="74"/>
        <v>410.04599999999999</v>
      </c>
      <c r="O338" s="54">
        <f t="shared" si="75"/>
        <v>1703.52</v>
      </c>
      <c r="P338" s="54">
        <f t="shared" si="76"/>
        <v>2210.25</v>
      </c>
    </row>
    <row r="339" spans="2:16" ht="15" customHeight="1" x14ac:dyDescent="0.3">
      <c r="B339" s="164">
        <v>76</v>
      </c>
      <c r="C339" s="165">
        <v>6</v>
      </c>
      <c r="D339" s="165">
        <f t="shared" si="69"/>
        <v>6.3000000000000007</v>
      </c>
      <c r="E339" s="54">
        <f t="shared" si="68"/>
        <v>12.600000000000001</v>
      </c>
      <c r="F339" s="54">
        <f t="shared" si="77"/>
        <v>81.900000000000006</v>
      </c>
      <c r="G339" s="54">
        <f t="shared" si="78"/>
        <v>384.30000000000007</v>
      </c>
      <c r="H339" s="54">
        <f t="shared" si="70"/>
        <v>478.80000000000007</v>
      </c>
      <c r="I339" s="40">
        <f t="shared" si="71"/>
        <v>23.020000000000003</v>
      </c>
      <c r="J339" s="40">
        <f t="shared" si="79"/>
        <v>97.63</v>
      </c>
      <c r="K339" s="40">
        <f t="shared" si="80"/>
        <v>412.36</v>
      </c>
      <c r="L339" s="179">
        <f t="shared" si="72"/>
        <v>533.01</v>
      </c>
      <c r="M339" s="54">
        <f t="shared" si="73"/>
        <v>145.02600000000004</v>
      </c>
      <c r="N339" s="54">
        <f t="shared" si="74"/>
        <v>615.06900000000007</v>
      </c>
      <c r="O339" s="54">
        <f t="shared" si="75"/>
        <v>2597.8680000000004</v>
      </c>
      <c r="P339" s="54">
        <f t="shared" si="76"/>
        <v>3357.9630000000006</v>
      </c>
    </row>
    <row r="340" spans="2:16" ht="15" customHeight="1" x14ac:dyDescent="0.3">
      <c r="B340" s="164">
        <v>77</v>
      </c>
      <c r="C340" s="165">
        <v>5</v>
      </c>
      <c r="D340" s="165">
        <f t="shared" si="69"/>
        <v>5.25</v>
      </c>
      <c r="E340" s="54">
        <f t="shared" si="68"/>
        <v>10.5</v>
      </c>
      <c r="F340" s="54">
        <f t="shared" si="77"/>
        <v>68.25</v>
      </c>
      <c r="G340" s="54">
        <f t="shared" si="78"/>
        <v>325.5</v>
      </c>
      <c r="H340" s="54">
        <f t="shared" si="70"/>
        <v>404.25</v>
      </c>
      <c r="I340" s="40">
        <f t="shared" si="71"/>
        <v>23.020000000000003</v>
      </c>
      <c r="J340" s="40">
        <f t="shared" si="79"/>
        <v>97.63</v>
      </c>
      <c r="K340" s="40">
        <f t="shared" si="80"/>
        <v>419.12</v>
      </c>
      <c r="L340" s="179">
        <f t="shared" si="72"/>
        <v>539.77</v>
      </c>
      <c r="M340" s="54">
        <f t="shared" si="73"/>
        <v>120.85500000000002</v>
      </c>
      <c r="N340" s="54">
        <f t="shared" si="74"/>
        <v>512.5575</v>
      </c>
      <c r="O340" s="54">
        <f t="shared" si="75"/>
        <v>2200.38</v>
      </c>
      <c r="P340" s="54">
        <f t="shared" si="76"/>
        <v>2833.7925</v>
      </c>
    </row>
    <row r="341" spans="2:16" ht="15" customHeight="1" x14ac:dyDescent="0.3">
      <c r="B341" s="164">
        <v>78</v>
      </c>
      <c r="C341" s="165">
        <v>3</v>
      </c>
      <c r="D341" s="165">
        <f t="shared" si="69"/>
        <v>3.1500000000000004</v>
      </c>
      <c r="E341" s="54">
        <f t="shared" si="68"/>
        <v>6.3000000000000007</v>
      </c>
      <c r="F341" s="54">
        <f t="shared" si="77"/>
        <v>40.950000000000003</v>
      </c>
      <c r="G341" s="54">
        <f t="shared" si="78"/>
        <v>198.45000000000002</v>
      </c>
      <c r="H341" s="54">
        <f t="shared" si="70"/>
        <v>245.70000000000002</v>
      </c>
      <c r="I341" s="40">
        <f t="shared" si="71"/>
        <v>23.020000000000003</v>
      </c>
      <c r="J341" s="40">
        <f t="shared" si="79"/>
        <v>97.63</v>
      </c>
      <c r="K341" s="40">
        <f t="shared" si="80"/>
        <v>425.88</v>
      </c>
      <c r="L341" s="179">
        <f t="shared" si="72"/>
        <v>546.53</v>
      </c>
      <c r="M341" s="54">
        <f t="shared" si="73"/>
        <v>72.513000000000019</v>
      </c>
      <c r="N341" s="54">
        <f t="shared" si="74"/>
        <v>307.53450000000004</v>
      </c>
      <c r="O341" s="54">
        <f t="shared" si="75"/>
        <v>1341.5220000000002</v>
      </c>
      <c r="P341" s="54">
        <f t="shared" si="76"/>
        <v>1721.5695000000003</v>
      </c>
    </row>
    <row r="342" spans="2:16" ht="15" customHeight="1" x14ac:dyDescent="0.3">
      <c r="B342" s="164">
        <v>79</v>
      </c>
      <c r="C342" s="165">
        <v>4</v>
      </c>
      <c r="D342" s="165">
        <f t="shared" si="69"/>
        <v>4.2</v>
      </c>
      <c r="E342" s="54">
        <f t="shared" si="68"/>
        <v>8.4</v>
      </c>
      <c r="F342" s="54">
        <f t="shared" si="77"/>
        <v>54.6</v>
      </c>
      <c r="G342" s="54">
        <f t="shared" si="78"/>
        <v>268.8</v>
      </c>
      <c r="H342" s="54">
        <f t="shared" si="70"/>
        <v>331.8</v>
      </c>
      <c r="I342" s="40">
        <f t="shared" si="71"/>
        <v>23.020000000000003</v>
      </c>
      <c r="J342" s="40">
        <f t="shared" si="79"/>
        <v>97.63</v>
      </c>
      <c r="K342" s="40">
        <f t="shared" si="80"/>
        <v>432.64</v>
      </c>
      <c r="L342" s="179">
        <f t="shared" si="72"/>
        <v>553.29</v>
      </c>
      <c r="M342" s="54">
        <f t="shared" si="73"/>
        <v>96.684000000000012</v>
      </c>
      <c r="N342" s="54">
        <f t="shared" si="74"/>
        <v>410.04599999999999</v>
      </c>
      <c r="O342" s="54">
        <f t="shared" si="75"/>
        <v>1817.088</v>
      </c>
      <c r="P342" s="54">
        <f t="shared" si="76"/>
        <v>2323.8180000000002</v>
      </c>
    </row>
    <row r="343" spans="2:16" ht="15" customHeight="1" x14ac:dyDescent="0.3">
      <c r="B343" s="164">
        <v>80</v>
      </c>
      <c r="C343" s="165">
        <v>3</v>
      </c>
      <c r="D343" s="165">
        <f t="shared" si="69"/>
        <v>3.1500000000000004</v>
      </c>
      <c r="E343" s="54">
        <f t="shared" si="68"/>
        <v>6.3000000000000007</v>
      </c>
      <c r="F343" s="54">
        <f t="shared" si="77"/>
        <v>40.950000000000003</v>
      </c>
      <c r="G343" s="54">
        <f t="shared" si="78"/>
        <v>204.75000000000003</v>
      </c>
      <c r="H343" s="54">
        <f t="shared" si="70"/>
        <v>252.00000000000003</v>
      </c>
      <c r="I343" s="40">
        <f t="shared" si="71"/>
        <v>23.020000000000003</v>
      </c>
      <c r="J343" s="40">
        <f t="shared" si="79"/>
        <v>97.63</v>
      </c>
      <c r="K343" s="40">
        <f t="shared" si="80"/>
        <v>439.4</v>
      </c>
      <c r="L343" s="179">
        <f t="shared" si="72"/>
        <v>560.04999999999995</v>
      </c>
      <c r="M343" s="54">
        <f t="shared" si="73"/>
        <v>72.513000000000019</v>
      </c>
      <c r="N343" s="54">
        <f t="shared" si="74"/>
        <v>307.53450000000004</v>
      </c>
      <c r="O343" s="54">
        <f t="shared" si="75"/>
        <v>1384.1100000000001</v>
      </c>
      <c r="P343" s="54">
        <f t="shared" si="76"/>
        <v>1764.1575000000003</v>
      </c>
    </row>
    <row r="344" spans="2:16" ht="15" customHeight="1" x14ac:dyDescent="0.3">
      <c r="B344" s="164">
        <v>81</v>
      </c>
      <c r="C344" s="165">
        <v>3</v>
      </c>
      <c r="D344" s="165">
        <f t="shared" si="69"/>
        <v>3.1500000000000004</v>
      </c>
      <c r="E344" s="54">
        <f t="shared" si="68"/>
        <v>6.3000000000000007</v>
      </c>
      <c r="F344" s="54">
        <f t="shared" si="77"/>
        <v>40.950000000000003</v>
      </c>
      <c r="G344" s="54">
        <f t="shared" si="78"/>
        <v>207.90000000000003</v>
      </c>
      <c r="H344" s="54">
        <f t="shared" si="70"/>
        <v>255.15000000000003</v>
      </c>
      <c r="I344" s="40">
        <f t="shared" si="71"/>
        <v>23.020000000000003</v>
      </c>
      <c r="J344" s="40">
        <f t="shared" si="79"/>
        <v>97.63</v>
      </c>
      <c r="K344" s="40">
        <f t="shared" si="80"/>
        <v>446.15999999999997</v>
      </c>
      <c r="L344" s="179">
        <f t="shared" si="72"/>
        <v>566.80999999999995</v>
      </c>
      <c r="M344" s="54">
        <f t="shared" si="73"/>
        <v>72.513000000000019</v>
      </c>
      <c r="N344" s="54">
        <f t="shared" si="74"/>
        <v>307.53450000000004</v>
      </c>
      <c r="O344" s="54">
        <f t="shared" si="75"/>
        <v>1405.404</v>
      </c>
      <c r="P344" s="54">
        <f t="shared" si="76"/>
        <v>1785.4515000000001</v>
      </c>
    </row>
    <row r="345" spans="2:16" ht="15" customHeight="1" x14ac:dyDescent="0.3">
      <c r="B345" s="164">
        <v>82</v>
      </c>
      <c r="C345" s="165">
        <v>7</v>
      </c>
      <c r="D345" s="165">
        <f t="shared" si="69"/>
        <v>7.3500000000000005</v>
      </c>
      <c r="E345" s="54">
        <f t="shared" si="68"/>
        <v>14.700000000000001</v>
      </c>
      <c r="F345" s="54">
        <f t="shared" si="77"/>
        <v>95.550000000000011</v>
      </c>
      <c r="G345" s="54">
        <f t="shared" si="78"/>
        <v>492.45000000000005</v>
      </c>
      <c r="H345" s="54">
        <f t="shared" si="70"/>
        <v>602.70000000000005</v>
      </c>
      <c r="I345" s="40">
        <f t="shared" si="71"/>
        <v>23.020000000000003</v>
      </c>
      <c r="J345" s="40">
        <f t="shared" si="79"/>
        <v>97.63</v>
      </c>
      <c r="K345" s="40">
        <f t="shared" si="80"/>
        <v>452.91999999999996</v>
      </c>
      <c r="L345" s="179">
        <f t="shared" si="72"/>
        <v>573.56999999999994</v>
      </c>
      <c r="M345" s="54">
        <f t="shared" si="73"/>
        <v>169.19700000000003</v>
      </c>
      <c r="N345" s="54">
        <f t="shared" si="74"/>
        <v>717.58050000000003</v>
      </c>
      <c r="O345" s="54">
        <f t="shared" si="75"/>
        <v>3328.962</v>
      </c>
      <c r="P345" s="54">
        <f t="shared" si="76"/>
        <v>4215.7394999999997</v>
      </c>
    </row>
    <row r="346" spans="2:16" ht="15" customHeight="1" x14ac:dyDescent="0.3">
      <c r="B346" s="164">
        <v>83</v>
      </c>
      <c r="C346" s="165">
        <v>5</v>
      </c>
      <c r="D346" s="165">
        <f t="shared" si="69"/>
        <v>5.25</v>
      </c>
      <c r="E346" s="54">
        <f t="shared" si="68"/>
        <v>10.5</v>
      </c>
      <c r="F346" s="54">
        <f t="shared" si="77"/>
        <v>68.25</v>
      </c>
      <c r="G346" s="54">
        <f t="shared" si="78"/>
        <v>357</v>
      </c>
      <c r="H346" s="54">
        <f t="shared" si="70"/>
        <v>435.75</v>
      </c>
      <c r="I346" s="40">
        <f t="shared" si="71"/>
        <v>23.020000000000003</v>
      </c>
      <c r="J346" s="40">
        <f t="shared" si="79"/>
        <v>97.63</v>
      </c>
      <c r="K346" s="40">
        <f t="shared" si="80"/>
        <v>459.68</v>
      </c>
      <c r="L346" s="179">
        <f t="shared" si="72"/>
        <v>580.33000000000004</v>
      </c>
      <c r="M346" s="54">
        <f t="shared" si="73"/>
        <v>120.85500000000002</v>
      </c>
      <c r="N346" s="54">
        <f t="shared" si="74"/>
        <v>512.5575</v>
      </c>
      <c r="O346" s="54">
        <f t="shared" si="75"/>
        <v>2413.3200000000002</v>
      </c>
      <c r="P346" s="54">
        <f t="shared" si="76"/>
        <v>3046.7325000000001</v>
      </c>
    </row>
    <row r="347" spans="2:16" ht="15" customHeight="1" x14ac:dyDescent="0.3">
      <c r="B347" s="164">
        <v>84</v>
      </c>
      <c r="C347" s="165">
        <v>7</v>
      </c>
      <c r="D347" s="165">
        <f t="shared" si="69"/>
        <v>7.3500000000000005</v>
      </c>
      <c r="E347" s="54">
        <f t="shared" si="68"/>
        <v>14.700000000000001</v>
      </c>
      <c r="F347" s="54">
        <f t="shared" si="77"/>
        <v>95.550000000000011</v>
      </c>
      <c r="G347" s="54">
        <f t="shared" si="78"/>
        <v>507.15000000000003</v>
      </c>
      <c r="H347" s="54">
        <f t="shared" si="70"/>
        <v>617.40000000000009</v>
      </c>
      <c r="I347" s="40">
        <f t="shared" si="71"/>
        <v>23.020000000000003</v>
      </c>
      <c r="J347" s="40">
        <f t="shared" si="79"/>
        <v>97.63</v>
      </c>
      <c r="K347" s="40">
        <f t="shared" si="80"/>
        <v>466.44</v>
      </c>
      <c r="L347" s="179">
        <f t="shared" si="72"/>
        <v>587.09</v>
      </c>
      <c r="M347" s="54">
        <f t="shared" si="73"/>
        <v>169.19700000000003</v>
      </c>
      <c r="N347" s="54">
        <f t="shared" si="74"/>
        <v>717.58050000000003</v>
      </c>
      <c r="O347" s="54">
        <f t="shared" si="75"/>
        <v>3428.3340000000003</v>
      </c>
      <c r="P347" s="54">
        <f t="shared" si="76"/>
        <v>4315.1115</v>
      </c>
    </row>
    <row r="348" spans="2:16" ht="15" customHeight="1" x14ac:dyDescent="0.3">
      <c r="B348" s="164">
        <v>85</v>
      </c>
      <c r="C348" s="165">
        <v>1</v>
      </c>
      <c r="D348" s="165">
        <f t="shared" si="69"/>
        <v>1.05</v>
      </c>
      <c r="E348" s="54">
        <f t="shared" si="68"/>
        <v>2.1</v>
      </c>
      <c r="F348" s="54">
        <f t="shared" si="77"/>
        <v>13.65</v>
      </c>
      <c r="G348" s="54">
        <f t="shared" si="78"/>
        <v>73.5</v>
      </c>
      <c r="H348" s="54">
        <f t="shared" si="70"/>
        <v>89.25</v>
      </c>
      <c r="I348" s="40">
        <f t="shared" si="71"/>
        <v>23.020000000000003</v>
      </c>
      <c r="J348" s="40">
        <f t="shared" si="79"/>
        <v>97.63</v>
      </c>
      <c r="K348" s="40">
        <f t="shared" si="80"/>
        <v>473.2</v>
      </c>
      <c r="L348" s="179">
        <f t="shared" si="72"/>
        <v>593.85</v>
      </c>
      <c r="M348" s="54">
        <f t="shared" si="73"/>
        <v>24.171000000000003</v>
      </c>
      <c r="N348" s="54">
        <f t="shared" si="74"/>
        <v>102.5115</v>
      </c>
      <c r="O348" s="54">
        <f t="shared" si="75"/>
        <v>496.86</v>
      </c>
      <c r="P348" s="54">
        <f t="shared" si="76"/>
        <v>623.54250000000002</v>
      </c>
    </row>
    <row r="349" spans="2:16" ht="15" customHeight="1" x14ac:dyDescent="0.3">
      <c r="B349" s="164">
        <v>86</v>
      </c>
      <c r="C349" s="165">
        <v>5</v>
      </c>
      <c r="D349" s="165">
        <f t="shared" si="69"/>
        <v>5.25</v>
      </c>
      <c r="E349" s="54">
        <f t="shared" si="68"/>
        <v>10.5</v>
      </c>
      <c r="F349" s="54">
        <f t="shared" si="77"/>
        <v>68.25</v>
      </c>
      <c r="G349" s="54">
        <f t="shared" si="78"/>
        <v>372.75</v>
      </c>
      <c r="H349" s="54">
        <f t="shared" si="70"/>
        <v>451.5</v>
      </c>
      <c r="I349" s="40">
        <f t="shared" si="71"/>
        <v>23.020000000000003</v>
      </c>
      <c r="J349" s="40">
        <f t="shared" si="79"/>
        <v>97.63</v>
      </c>
      <c r="K349" s="40">
        <f t="shared" si="80"/>
        <v>479.96</v>
      </c>
      <c r="L349" s="179">
        <f t="shared" si="72"/>
        <v>600.61</v>
      </c>
      <c r="M349" s="54">
        <f t="shared" si="73"/>
        <v>120.85500000000002</v>
      </c>
      <c r="N349" s="54">
        <f t="shared" si="74"/>
        <v>512.5575</v>
      </c>
      <c r="O349" s="54">
        <f t="shared" si="75"/>
        <v>2519.79</v>
      </c>
      <c r="P349" s="54">
        <f t="shared" si="76"/>
        <v>3153.2024999999999</v>
      </c>
    </row>
    <row r="350" spans="2:16" ht="15" customHeight="1" x14ac:dyDescent="0.3">
      <c r="B350" s="164">
        <v>87</v>
      </c>
      <c r="C350" s="165">
        <v>6</v>
      </c>
      <c r="D350" s="165">
        <f t="shared" si="69"/>
        <v>6.3000000000000007</v>
      </c>
      <c r="E350" s="54">
        <f t="shared" si="68"/>
        <v>12.600000000000001</v>
      </c>
      <c r="F350" s="54">
        <f t="shared" si="77"/>
        <v>81.900000000000006</v>
      </c>
      <c r="G350" s="54">
        <f t="shared" si="78"/>
        <v>453.6</v>
      </c>
      <c r="H350" s="54">
        <f t="shared" si="70"/>
        <v>548.1</v>
      </c>
      <c r="I350" s="40">
        <f t="shared" si="71"/>
        <v>23.020000000000003</v>
      </c>
      <c r="J350" s="40">
        <f t="shared" si="79"/>
        <v>97.63</v>
      </c>
      <c r="K350" s="40">
        <f t="shared" si="80"/>
        <v>486.71999999999997</v>
      </c>
      <c r="L350" s="179">
        <f t="shared" si="72"/>
        <v>607.37</v>
      </c>
      <c r="M350" s="54">
        <f t="shared" si="73"/>
        <v>145.02600000000004</v>
      </c>
      <c r="N350" s="54">
        <f t="shared" si="74"/>
        <v>615.06900000000007</v>
      </c>
      <c r="O350" s="54">
        <f t="shared" si="75"/>
        <v>3066.3360000000002</v>
      </c>
      <c r="P350" s="54">
        <f t="shared" si="76"/>
        <v>3826.4310000000005</v>
      </c>
    </row>
    <row r="351" spans="2:16" ht="15" customHeight="1" x14ac:dyDescent="0.3">
      <c r="B351" s="164">
        <v>89</v>
      </c>
      <c r="C351" s="165">
        <v>3</v>
      </c>
      <c r="D351" s="165">
        <f t="shared" si="69"/>
        <v>3.1500000000000004</v>
      </c>
      <c r="E351" s="54">
        <f t="shared" si="68"/>
        <v>6.3000000000000007</v>
      </c>
      <c r="F351" s="54">
        <f t="shared" si="77"/>
        <v>40.950000000000003</v>
      </c>
      <c r="G351" s="54">
        <f t="shared" si="78"/>
        <v>233.10000000000002</v>
      </c>
      <c r="H351" s="54">
        <f t="shared" si="70"/>
        <v>280.35000000000002</v>
      </c>
      <c r="I351" s="40">
        <f t="shared" si="71"/>
        <v>23.020000000000003</v>
      </c>
      <c r="J351" s="40">
        <f t="shared" si="79"/>
        <v>97.63</v>
      </c>
      <c r="K351" s="40">
        <f t="shared" si="80"/>
        <v>500.24</v>
      </c>
      <c r="L351" s="179">
        <f t="shared" si="72"/>
        <v>620.89</v>
      </c>
      <c r="M351" s="54">
        <f t="shared" si="73"/>
        <v>72.513000000000019</v>
      </c>
      <c r="N351" s="54">
        <f t="shared" si="74"/>
        <v>307.53450000000004</v>
      </c>
      <c r="O351" s="54">
        <f t="shared" si="75"/>
        <v>1575.7560000000003</v>
      </c>
      <c r="P351" s="54">
        <f t="shared" si="76"/>
        <v>1955.8035000000004</v>
      </c>
    </row>
    <row r="352" spans="2:16" ht="15" customHeight="1" x14ac:dyDescent="0.3">
      <c r="B352" s="164">
        <v>90</v>
      </c>
      <c r="C352" s="165">
        <v>4</v>
      </c>
      <c r="D352" s="165">
        <f t="shared" si="69"/>
        <v>4.2</v>
      </c>
      <c r="E352" s="54">
        <f t="shared" si="68"/>
        <v>8.4</v>
      </c>
      <c r="F352" s="54">
        <f t="shared" si="77"/>
        <v>54.6</v>
      </c>
      <c r="G352" s="54">
        <f t="shared" si="78"/>
        <v>315</v>
      </c>
      <c r="H352" s="54">
        <f t="shared" si="70"/>
        <v>378</v>
      </c>
      <c r="I352" s="40">
        <f t="shared" si="71"/>
        <v>23.020000000000003</v>
      </c>
      <c r="J352" s="40">
        <f t="shared" si="79"/>
        <v>97.63</v>
      </c>
      <c r="K352" s="40">
        <f t="shared" si="80"/>
        <v>507</v>
      </c>
      <c r="L352" s="179">
        <f t="shared" si="72"/>
        <v>627.65</v>
      </c>
      <c r="M352" s="54">
        <f t="shared" si="73"/>
        <v>96.684000000000012</v>
      </c>
      <c r="N352" s="54">
        <f t="shared" si="74"/>
        <v>410.04599999999999</v>
      </c>
      <c r="O352" s="54">
        <f t="shared" si="75"/>
        <v>2129.4</v>
      </c>
      <c r="P352" s="54">
        <f t="shared" si="76"/>
        <v>2636.13</v>
      </c>
    </row>
    <row r="353" spans="2:16" ht="15" customHeight="1" x14ac:dyDescent="0.3">
      <c r="B353" s="164">
        <v>91</v>
      </c>
      <c r="C353" s="165">
        <v>5</v>
      </c>
      <c r="D353" s="165">
        <f t="shared" si="69"/>
        <v>5.25</v>
      </c>
      <c r="E353" s="54">
        <f t="shared" si="68"/>
        <v>10.5</v>
      </c>
      <c r="F353" s="54">
        <f t="shared" si="77"/>
        <v>68.25</v>
      </c>
      <c r="G353" s="54">
        <f t="shared" si="78"/>
        <v>399</v>
      </c>
      <c r="H353" s="54">
        <f t="shared" si="70"/>
        <v>477.75</v>
      </c>
      <c r="I353" s="40">
        <f t="shared" si="71"/>
        <v>23.020000000000003</v>
      </c>
      <c r="J353" s="40">
        <f t="shared" si="79"/>
        <v>97.63</v>
      </c>
      <c r="K353" s="40">
        <f t="shared" si="80"/>
        <v>513.76</v>
      </c>
      <c r="L353" s="179">
        <f t="shared" si="72"/>
        <v>634.41</v>
      </c>
      <c r="M353" s="54">
        <f t="shared" si="73"/>
        <v>120.85500000000002</v>
      </c>
      <c r="N353" s="54">
        <f t="shared" si="74"/>
        <v>512.5575</v>
      </c>
      <c r="O353" s="54">
        <f t="shared" si="75"/>
        <v>2697.24</v>
      </c>
      <c r="P353" s="54">
        <f t="shared" si="76"/>
        <v>3330.6524999999997</v>
      </c>
    </row>
    <row r="354" spans="2:16" ht="15" customHeight="1" x14ac:dyDescent="0.3">
      <c r="B354" s="164">
        <v>92</v>
      </c>
      <c r="C354" s="165">
        <v>6</v>
      </c>
      <c r="D354" s="165">
        <f t="shared" si="69"/>
        <v>6.3000000000000007</v>
      </c>
      <c r="E354" s="54">
        <f t="shared" si="68"/>
        <v>12.600000000000001</v>
      </c>
      <c r="F354" s="54">
        <f t="shared" si="77"/>
        <v>81.900000000000006</v>
      </c>
      <c r="G354" s="54">
        <f t="shared" si="78"/>
        <v>485.10000000000008</v>
      </c>
      <c r="H354" s="54">
        <f t="shared" si="70"/>
        <v>579.60000000000014</v>
      </c>
      <c r="I354" s="40">
        <f t="shared" si="71"/>
        <v>23.020000000000003</v>
      </c>
      <c r="J354" s="40">
        <f t="shared" si="79"/>
        <v>97.63</v>
      </c>
      <c r="K354" s="40">
        <f t="shared" si="80"/>
        <v>520.52</v>
      </c>
      <c r="L354" s="179">
        <f t="shared" si="72"/>
        <v>641.16999999999996</v>
      </c>
      <c r="M354" s="54">
        <f t="shared" si="73"/>
        <v>145.02600000000004</v>
      </c>
      <c r="N354" s="54">
        <f t="shared" si="74"/>
        <v>615.06900000000007</v>
      </c>
      <c r="O354" s="54">
        <f t="shared" si="75"/>
        <v>3279.2760000000003</v>
      </c>
      <c r="P354" s="54">
        <f t="shared" si="76"/>
        <v>4039.3710000000005</v>
      </c>
    </row>
    <row r="355" spans="2:16" ht="15" customHeight="1" x14ac:dyDescent="0.3">
      <c r="B355" s="164">
        <v>93</v>
      </c>
      <c r="C355" s="165">
        <v>4</v>
      </c>
      <c r="D355" s="165">
        <f t="shared" si="69"/>
        <v>4.2</v>
      </c>
      <c r="E355" s="54">
        <f t="shared" si="68"/>
        <v>8.4</v>
      </c>
      <c r="F355" s="54">
        <f t="shared" si="77"/>
        <v>54.6</v>
      </c>
      <c r="G355" s="54">
        <f t="shared" si="78"/>
        <v>327.60000000000002</v>
      </c>
      <c r="H355" s="54">
        <f t="shared" si="70"/>
        <v>390.6</v>
      </c>
      <c r="I355" s="40">
        <f t="shared" si="71"/>
        <v>23.020000000000003</v>
      </c>
      <c r="J355" s="40">
        <f t="shared" si="79"/>
        <v>97.63</v>
      </c>
      <c r="K355" s="40">
        <f t="shared" si="80"/>
        <v>527.28</v>
      </c>
      <c r="L355" s="179">
        <f t="shared" si="72"/>
        <v>647.92999999999995</v>
      </c>
      <c r="M355" s="54">
        <f t="shared" si="73"/>
        <v>96.684000000000012</v>
      </c>
      <c r="N355" s="54">
        <f t="shared" si="74"/>
        <v>410.04599999999999</v>
      </c>
      <c r="O355" s="54">
        <f t="shared" si="75"/>
        <v>2214.576</v>
      </c>
      <c r="P355" s="54">
        <f t="shared" si="76"/>
        <v>2721.306</v>
      </c>
    </row>
    <row r="356" spans="2:16" ht="15" customHeight="1" x14ac:dyDescent="0.3">
      <c r="B356" s="164">
        <v>94</v>
      </c>
      <c r="C356" s="165">
        <v>7</v>
      </c>
      <c r="D356" s="165">
        <f t="shared" si="69"/>
        <v>7.3500000000000005</v>
      </c>
      <c r="E356" s="54">
        <f t="shared" si="68"/>
        <v>14.700000000000001</v>
      </c>
      <c r="F356" s="54">
        <f t="shared" si="77"/>
        <v>95.550000000000011</v>
      </c>
      <c r="G356" s="54">
        <f t="shared" si="78"/>
        <v>580.65000000000009</v>
      </c>
      <c r="H356" s="54">
        <f t="shared" si="70"/>
        <v>690.90000000000009</v>
      </c>
      <c r="I356" s="40">
        <f t="shared" si="71"/>
        <v>23.020000000000003</v>
      </c>
      <c r="J356" s="40">
        <f t="shared" si="79"/>
        <v>97.63</v>
      </c>
      <c r="K356" s="40">
        <f t="shared" si="80"/>
        <v>534.04</v>
      </c>
      <c r="L356" s="179">
        <f t="shared" si="72"/>
        <v>654.68999999999994</v>
      </c>
      <c r="M356" s="54">
        <f t="shared" si="73"/>
        <v>169.19700000000003</v>
      </c>
      <c r="N356" s="54">
        <f t="shared" si="74"/>
        <v>717.58050000000003</v>
      </c>
      <c r="O356" s="54">
        <f t="shared" si="75"/>
        <v>3925.194</v>
      </c>
      <c r="P356" s="54">
        <f t="shared" si="76"/>
        <v>4811.9714999999997</v>
      </c>
    </row>
    <row r="357" spans="2:16" ht="15" customHeight="1" x14ac:dyDescent="0.3">
      <c r="B357" s="164">
        <v>95</v>
      </c>
      <c r="C357" s="165">
        <v>3</v>
      </c>
      <c r="D357" s="165">
        <f t="shared" si="69"/>
        <v>3.1500000000000004</v>
      </c>
      <c r="E357" s="54">
        <f t="shared" si="68"/>
        <v>6.3000000000000007</v>
      </c>
      <c r="F357" s="54">
        <f t="shared" si="77"/>
        <v>40.950000000000003</v>
      </c>
      <c r="G357" s="54">
        <f t="shared" si="78"/>
        <v>252.00000000000003</v>
      </c>
      <c r="H357" s="54">
        <f t="shared" si="70"/>
        <v>299.25</v>
      </c>
      <c r="I357" s="40">
        <f t="shared" si="71"/>
        <v>23.020000000000003</v>
      </c>
      <c r="J357" s="40">
        <f t="shared" si="79"/>
        <v>97.63</v>
      </c>
      <c r="K357" s="40">
        <f t="shared" si="80"/>
        <v>540.79999999999995</v>
      </c>
      <c r="L357" s="179">
        <f t="shared" si="72"/>
        <v>661.44999999999993</v>
      </c>
      <c r="M357" s="54">
        <f t="shared" si="73"/>
        <v>72.513000000000019</v>
      </c>
      <c r="N357" s="54">
        <f t="shared" si="74"/>
        <v>307.53450000000004</v>
      </c>
      <c r="O357" s="54">
        <f t="shared" si="75"/>
        <v>1703.52</v>
      </c>
      <c r="P357" s="54">
        <f t="shared" si="76"/>
        <v>2083.5675000000001</v>
      </c>
    </row>
    <row r="358" spans="2:16" ht="15" customHeight="1" x14ac:dyDescent="0.3">
      <c r="B358" s="164">
        <v>96</v>
      </c>
      <c r="C358" s="165">
        <v>4</v>
      </c>
      <c r="D358" s="165">
        <f t="shared" si="69"/>
        <v>4.2</v>
      </c>
      <c r="E358" s="54">
        <f t="shared" si="68"/>
        <v>8.4</v>
      </c>
      <c r="F358" s="54">
        <f t="shared" si="77"/>
        <v>54.6</v>
      </c>
      <c r="G358" s="54">
        <f t="shared" si="78"/>
        <v>340.2</v>
      </c>
      <c r="H358" s="54">
        <f t="shared" si="70"/>
        <v>403.2</v>
      </c>
      <c r="I358" s="40">
        <f t="shared" si="71"/>
        <v>23.020000000000003</v>
      </c>
      <c r="J358" s="40">
        <f t="shared" si="79"/>
        <v>97.63</v>
      </c>
      <c r="K358" s="40">
        <f t="shared" si="80"/>
        <v>547.55999999999995</v>
      </c>
      <c r="L358" s="179">
        <f t="shared" si="72"/>
        <v>668.20999999999992</v>
      </c>
      <c r="M358" s="54">
        <f t="shared" si="73"/>
        <v>96.684000000000012</v>
      </c>
      <c r="N358" s="54">
        <f t="shared" si="74"/>
        <v>410.04599999999999</v>
      </c>
      <c r="O358" s="54">
        <f t="shared" si="75"/>
        <v>2299.752</v>
      </c>
      <c r="P358" s="54">
        <f t="shared" si="76"/>
        <v>2806.482</v>
      </c>
    </row>
    <row r="359" spans="2:16" ht="15" customHeight="1" x14ac:dyDescent="0.3">
      <c r="B359" s="164">
        <v>97</v>
      </c>
      <c r="C359" s="165">
        <v>4</v>
      </c>
      <c r="D359" s="165">
        <f t="shared" si="69"/>
        <v>4.2</v>
      </c>
      <c r="E359" s="54">
        <f t="shared" si="68"/>
        <v>8.4</v>
      </c>
      <c r="F359" s="54">
        <f t="shared" si="77"/>
        <v>54.6</v>
      </c>
      <c r="G359" s="54">
        <f t="shared" si="78"/>
        <v>344.40000000000003</v>
      </c>
      <c r="H359" s="54">
        <f t="shared" si="70"/>
        <v>407.40000000000003</v>
      </c>
      <c r="I359" s="40">
        <f t="shared" si="71"/>
        <v>23.020000000000003</v>
      </c>
      <c r="J359" s="40">
        <f t="shared" si="79"/>
        <v>97.63</v>
      </c>
      <c r="K359" s="40">
        <f t="shared" si="80"/>
        <v>554.31999999999994</v>
      </c>
      <c r="L359" s="179">
        <f t="shared" si="72"/>
        <v>674.96999999999991</v>
      </c>
      <c r="M359" s="54">
        <f t="shared" si="73"/>
        <v>96.684000000000012</v>
      </c>
      <c r="N359" s="54">
        <f t="shared" si="74"/>
        <v>410.04599999999999</v>
      </c>
      <c r="O359" s="54">
        <f t="shared" si="75"/>
        <v>2328.1439999999998</v>
      </c>
      <c r="P359" s="54">
        <f t="shared" si="76"/>
        <v>2834.8739999999998</v>
      </c>
    </row>
    <row r="360" spans="2:16" ht="15" customHeight="1" x14ac:dyDescent="0.3">
      <c r="B360" s="164">
        <v>98</v>
      </c>
      <c r="C360" s="165">
        <v>1</v>
      </c>
      <c r="D360" s="165">
        <f t="shared" si="69"/>
        <v>1.05</v>
      </c>
      <c r="E360" s="54">
        <f t="shared" si="68"/>
        <v>2.1</v>
      </c>
      <c r="F360" s="54">
        <f t="shared" si="77"/>
        <v>13.65</v>
      </c>
      <c r="G360" s="54">
        <f t="shared" si="78"/>
        <v>87.15</v>
      </c>
      <c r="H360" s="54">
        <f t="shared" si="70"/>
        <v>102.9</v>
      </c>
      <c r="I360" s="40">
        <f t="shared" si="71"/>
        <v>23.020000000000003</v>
      </c>
      <c r="J360" s="40">
        <f t="shared" si="79"/>
        <v>97.63</v>
      </c>
      <c r="K360" s="40">
        <f t="shared" si="80"/>
        <v>561.07999999999993</v>
      </c>
      <c r="L360" s="179">
        <f t="shared" si="72"/>
        <v>681.7299999999999</v>
      </c>
      <c r="M360" s="54">
        <f t="shared" si="73"/>
        <v>24.171000000000003</v>
      </c>
      <c r="N360" s="54">
        <f t="shared" si="74"/>
        <v>102.5115</v>
      </c>
      <c r="O360" s="54">
        <f t="shared" si="75"/>
        <v>589.1339999999999</v>
      </c>
      <c r="P360" s="54">
        <f t="shared" si="76"/>
        <v>715.81649999999991</v>
      </c>
    </row>
    <row r="361" spans="2:16" ht="15" customHeight="1" x14ac:dyDescent="0.3">
      <c r="B361" s="164">
        <v>99</v>
      </c>
      <c r="C361" s="165">
        <v>8</v>
      </c>
      <c r="D361" s="165">
        <f t="shared" si="69"/>
        <v>8.4</v>
      </c>
      <c r="E361" s="54">
        <f t="shared" si="68"/>
        <v>16.8</v>
      </c>
      <c r="F361" s="54">
        <f t="shared" si="77"/>
        <v>109.2</v>
      </c>
      <c r="G361" s="54">
        <f t="shared" si="78"/>
        <v>705.6</v>
      </c>
      <c r="H361" s="54">
        <f t="shared" si="70"/>
        <v>831.6</v>
      </c>
      <c r="I361" s="40">
        <f t="shared" si="71"/>
        <v>23.020000000000003</v>
      </c>
      <c r="J361" s="40">
        <f t="shared" si="79"/>
        <v>97.63</v>
      </c>
      <c r="K361" s="40">
        <f t="shared" si="80"/>
        <v>567.84</v>
      </c>
      <c r="L361" s="179">
        <f t="shared" si="72"/>
        <v>688.49</v>
      </c>
      <c r="M361" s="54">
        <f t="shared" si="73"/>
        <v>193.36800000000002</v>
      </c>
      <c r="N361" s="54">
        <f t="shared" si="74"/>
        <v>820.09199999999998</v>
      </c>
      <c r="O361" s="54">
        <f t="shared" si="75"/>
        <v>4769.8560000000007</v>
      </c>
      <c r="P361" s="54">
        <f t="shared" si="76"/>
        <v>5783.3160000000007</v>
      </c>
    </row>
    <row r="362" spans="2:16" ht="15" customHeight="1" x14ac:dyDescent="0.3">
      <c r="B362" s="164">
        <v>100</v>
      </c>
      <c r="C362" s="165">
        <v>4</v>
      </c>
      <c r="D362" s="165">
        <f t="shared" si="69"/>
        <v>4.2</v>
      </c>
      <c r="E362" s="54">
        <f t="shared" si="68"/>
        <v>8.4</v>
      </c>
      <c r="F362" s="54">
        <f t="shared" si="77"/>
        <v>54.6</v>
      </c>
      <c r="G362" s="54">
        <f t="shared" si="78"/>
        <v>357</v>
      </c>
      <c r="H362" s="54">
        <f t="shared" si="70"/>
        <v>420</v>
      </c>
      <c r="I362" s="40">
        <f t="shared" si="71"/>
        <v>23.020000000000003</v>
      </c>
      <c r="J362" s="40">
        <f t="shared" si="79"/>
        <v>97.63</v>
      </c>
      <c r="K362" s="40">
        <f t="shared" si="80"/>
        <v>574.6</v>
      </c>
      <c r="L362" s="179">
        <f t="shared" si="72"/>
        <v>695.25</v>
      </c>
      <c r="M362" s="54">
        <f t="shared" si="73"/>
        <v>96.684000000000012</v>
      </c>
      <c r="N362" s="54">
        <f t="shared" si="74"/>
        <v>410.04599999999999</v>
      </c>
      <c r="O362" s="54">
        <f t="shared" si="75"/>
        <v>2413.3200000000002</v>
      </c>
      <c r="P362" s="54">
        <f t="shared" si="76"/>
        <v>2920.05</v>
      </c>
    </row>
    <row r="363" spans="2:16" ht="15" customHeight="1" x14ac:dyDescent="0.3">
      <c r="B363" s="164">
        <v>101</v>
      </c>
      <c r="C363" s="165">
        <v>3</v>
      </c>
      <c r="D363" s="165">
        <f t="shared" si="69"/>
        <v>3.1500000000000004</v>
      </c>
      <c r="E363" s="54">
        <f t="shared" si="68"/>
        <v>6.3000000000000007</v>
      </c>
      <c r="F363" s="54">
        <f t="shared" si="77"/>
        <v>40.950000000000003</v>
      </c>
      <c r="G363" s="54">
        <f t="shared" si="78"/>
        <v>270.90000000000003</v>
      </c>
      <c r="H363" s="54">
        <f t="shared" si="70"/>
        <v>318.15000000000003</v>
      </c>
      <c r="I363" s="40">
        <f t="shared" si="71"/>
        <v>23.020000000000003</v>
      </c>
      <c r="J363" s="40">
        <f t="shared" si="79"/>
        <v>97.63</v>
      </c>
      <c r="K363" s="40">
        <f t="shared" si="80"/>
        <v>581.36</v>
      </c>
      <c r="L363" s="179">
        <f t="shared" si="72"/>
        <v>702.01</v>
      </c>
      <c r="M363" s="54">
        <f t="shared" si="73"/>
        <v>72.513000000000019</v>
      </c>
      <c r="N363" s="54">
        <f t="shared" si="74"/>
        <v>307.53450000000004</v>
      </c>
      <c r="O363" s="54">
        <f t="shared" si="75"/>
        <v>1831.2840000000003</v>
      </c>
      <c r="P363" s="54">
        <f t="shared" si="76"/>
        <v>2211.3315000000002</v>
      </c>
    </row>
    <row r="364" spans="2:16" ht="15" customHeight="1" x14ac:dyDescent="0.3">
      <c r="B364" s="164">
        <v>102</v>
      </c>
      <c r="C364" s="165">
        <v>4</v>
      </c>
      <c r="D364" s="165">
        <f t="shared" si="69"/>
        <v>4.2</v>
      </c>
      <c r="E364" s="54">
        <f t="shared" si="68"/>
        <v>8.4</v>
      </c>
      <c r="F364" s="54">
        <f t="shared" si="77"/>
        <v>54.6</v>
      </c>
      <c r="G364" s="54">
        <f t="shared" si="78"/>
        <v>365.40000000000003</v>
      </c>
      <c r="H364" s="54">
        <f t="shared" si="70"/>
        <v>428.40000000000003</v>
      </c>
      <c r="I364" s="40">
        <f t="shared" si="71"/>
        <v>23.020000000000003</v>
      </c>
      <c r="J364" s="40">
        <f t="shared" si="79"/>
        <v>97.63</v>
      </c>
      <c r="K364" s="40">
        <f t="shared" si="80"/>
        <v>588.12</v>
      </c>
      <c r="L364" s="179">
        <f t="shared" si="72"/>
        <v>708.77</v>
      </c>
      <c r="M364" s="54">
        <f t="shared" si="73"/>
        <v>96.684000000000012</v>
      </c>
      <c r="N364" s="54">
        <f t="shared" si="74"/>
        <v>410.04599999999999</v>
      </c>
      <c r="O364" s="54">
        <f t="shared" si="75"/>
        <v>2470.1040000000003</v>
      </c>
      <c r="P364" s="54">
        <f t="shared" si="76"/>
        <v>2976.8340000000003</v>
      </c>
    </row>
    <row r="365" spans="2:16" ht="15" customHeight="1" x14ac:dyDescent="0.3">
      <c r="B365" s="164">
        <v>103</v>
      </c>
      <c r="C365" s="165">
        <v>5</v>
      </c>
      <c r="D365" s="165">
        <f t="shared" si="69"/>
        <v>5.25</v>
      </c>
      <c r="E365" s="54">
        <f t="shared" si="68"/>
        <v>10.5</v>
      </c>
      <c r="F365" s="54">
        <f t="shared" si="77"/>
        <v>68.25</v>
      </c>
      <c r="G365" s="54">
        <f t="shared" si="78"/>
        <v>462</v>
      </c>
      <c r="H365" s="54">
        <f t="shared" si="70"/>
        <v>540.75</v>
      </c>
      <c r="I365" s="40">
        <f t="shared" si="71"/>
        <v>23.020000000000003</v>
      </c>
      <c r="J365" s="40">
        <f t="shared" si="79"/>
        <v>97.63</v>
      </c>
      <c r="K365" s="40">
        <f t="shared" si="80"/>
        <v>594.88</v>
      </c>
      <c r="L365" s="179">
        <f t="shared" si="72"/>
        <v>715.53</v>
      </c>
      <c r="M365" s="54">
        <f t="shared" si="73"/>
        <v>120.85500000000002</v>
      </c>
      <c r="N365" s="54">
        <f t="shared" si="74"/>
        <v>512.5575</v>
      </c>
      <c r="O365" s="54">
        <f t="shared" si="75"/>
        <v>3123.12</v>
      </c>
      <c r="P365" s="54">
        <f t="shared" si="76"/>
        <v>3756.5324999999998</v>
      </c>
    </row>
    <row r="366" spans="2:16" ht="15" customHeight="1" x14ac:dyDescent="0.3">
      <c r="B366" s="164">
        <v>104</v>
      </c>
      <c r="C366" s="165">
        <v>1</v>
      </c>
      <c r="D366" s="165">
        <f t="shared" si="69"/>
        <v>1.05</v>
      </c>
      <c r="E366" s="54">
        <f t="shared" si="68"/>
        <v>2.1</v>
      </c>
      <c r="F366" s="54">
        <f t="shared" si="77"/>
        <v>13.65</v>
      </c>
      <c r="G366" s="54">
        <f t="shared" si="78"/>
        <v>93.45</v>
      </c>
      <c r="H366" s="54">
        <f t="shared" si="70"/>
        <v>109.2</v>
      </c>
      <c r="I366" s="40">
        <f t="shared" si="71"/>
        <v>23.020000000000003</v>
      </c>
      <c r="J366" s="40">
        <f t="shared" si="79"/>
        <v>97.63</v>
      </c>
      <c r="K366" s="40">
        <f t="shared" si="80"/>
        <v>601.64</v>
      </c>
      <c r="L366" s="179">
        <f t="shared" si="72"/>
        <v>722.29</v>
      </c>
      <c r="M366" s="54">
        <f t="shared" si="73"/>
        <v>24.171000000000003</v>
      </c>
      <c r="N366" s="54">
        <f t="shared" si="74"/>
        <v>102.5115</v>
      </c>
      <c r="O366" s="54">
        <f t="shared" si="75"/>
        <v>631.72199999999998</v>
      </c>
      <c r="P366" s="54">
        <f t="shared" si="76"/>
        <v>758.40449999999998</v>
      </c>
    </row>
    <row r="367" spans="2:16" ht="15" customHeight="1" x14ac:dyDescent="0.3">
      <c r="B367" s="164">
        <v>105</v>
      </c>
      <c r="C367" s="165">
        <v>2</v>
      </c>
      <c r="D367" s="165">
        <f t="shared" si="69"/>
        <v>2.1</v>
      </c>
      <c r="E367" s="54">
        <f t="shared" si="68"/>
        <v>4.2</v>
      </c>
      <c r="F367" s="54">
        <f t="shared" si="77"/>
        <v>27.3</v>
      </c>
      <c r="G367" s="54">
        <f t="shared" si="78"/>
        <v>189</v>
      </c>
      <c r="H367" s="54">
        <f t="shared" si="70"/>
        <v>220.5</v>
      </c>
      <c r="I367" s="40">
        <f t="shared" si="71"/>
        <v>23.020000000000003</v>
      </c>
      <c r="J367" s="40">
        <f t="shared" si="79"/>
        <v>97.63</v>
      </c>
      <c r="K367" s="40">
        <f t="shared" si="80"/>
        <v>608.4</v>
      </c>
      <c r="L367" s="179">
        <f t="shared" si="72"/>
        <v>729.05</v>
      </c>
      <c r="M367" s="54">
        <f t="shared" si="73"/>
        <v>48.342000000000006</v>
      </c>
      <c r="N367" s="54">
        <f t="shared" si="74"/>
        <v>205.023</v>
      </c>
      <c r="O367" s="54">
        <f t="shared" si="75"/>
        <v>1277.6400000000001</v>
      </c>
      <c r="P367" s="54">
        <f t="shared" si="76"/>
        <v>1531.0050000000001</v>
      </c>
    </row>
    <row r="368" spans="2:16" ht="15" customHeight="1" x14ac:dyDescent="0.3">
      <c r="B368" s="164">
        <v>106</v>
      </c>
      <c r="C368" s="165">
        <v>3</v>
      </c>
      <c r="D368" s="165">
        <f t="shared" si="69"/>
        <v>3.1500000000000004</v>
      </c>
      <c r="E368" s="54">
        <f t="shared" si="68"/>
        <v>6.3000000000000007</v>
      </c>
      <c r="F368" s="54">
        <f t="shared" si="77"/>
        <v>40.950000000000003</v>
      </c>
      <c r="G368" s="54">
        <f t="shared" si="78"/>
        <v>286.65000000000003</v>
      </c>
      <c r="H368" s="54">
        <f t="shared" si="70"/>
        <v>333.90000000000003</v>
      </c>
      <c r="I368" s="40">
        <f t="shared" si="71"/>
        <v>23.020000000000003</v>
      </c>
      <c r="J368" s="40">
        <f t="shared" si="79"/>
        <v>97.63</v>
      </c>
      <c r="K368" s="40">
        <f t="shared" si="80"/>
        <v>615.16</v>
      </c>
      <c r="L368" s="179">
        <f t="shared" si="72"/>
        <v>735.81</v>
      </c>
      <c r="M368" s="54">
        <f t="shared" si="73"/>
        <v>72.513000000000019</v>
      </c>
      <c r="N368" s="54">
        <f t="shared" si="74"/>
        <v>307.53450000000004</v>
      </c>
      <c r="O368" s="54">
        <f t="shared" si="75"/>
        <v>1937.7540000000001</v>
      </c>
      <c r="P368" s="54">
        <f t="shared" si="76"/>
        <v>2317.8015</v>
      </c>
    </row>
    <row r="369" spans="2:16" ht="15" customHeight="1" x14ac:dyDescent="0.3">
      <c r="B369" s="164">
        <v>107</v>
      </c>
      <c r="C369" s="165">
        <v>4</v>
      </c>
      <c r="D369" s="165">
        <f t="shared" si="69"/>
        <v>4.2</v>
      </c>
      <c r="E369" s="54">
        <f t="shared" si="68"/>
        <v>8.4</v>
      </c>
      <c r="F369" s="54">
        <f t="shared" si="77"/>
        <v>54.6</v>
      </c>
      <c r="G369" s="54">
        <f t="shared" si="78"/>
        <v>386.40000000000003</v>
      </c>
      <c r="H369" s="54">
        <f t="shared" si="70"/>
        <v>449.40000000000003</v>
      </c>
      <c r="I369" s="40">
        <f t="shared" si="71"/>
        <v>23.020000000000003</v>
      </c>
      <c r="J369" s="40">
        <f t="shared" si="79"/>
        <v>97.63</v>
      </c>
      <c r="K369" s="40">
        <f t="shared" si="80"/>
        <v>621.91999999999996</v>
      </c>
      <c r="L369" s="179">
        <f t="shared" si="72"/>
        <v>742.56999999999994</v>
      </c>
      <c r="M369" s="54">
        <f t="shared" si="73"/>
        <v>96.684000000000012</v>
      </c>
      <c r="N369" s="54">
        <f t="shared" si="74"/>
        <v>410.04599999999999</v>
      </c>
      <c r="O369" s="54">
        <f t="shared" si="75"/>
        <v>2612.0639999999999</v>
      </c>
      <c r="P369" s="54">
        <f t="shared" si="76"/>
        <v>3118.7939999999999</v>
      </c>
    </row>
    <row r="370" spans="2:16" ht="15" customHeight="1" x14ac:dyDescent="0.3">
      <c r="B370" s="164">
        <v>108</v>
      </c>
      <c r="C370" s="165">
        <v>3</v>
      </c>
      <c r="D370" s="165">
        <f t="shared" si="69"/>
        <v>3.1500000000000004</v>
      </c>
      <c r="E370" s="54">
        <f t="shared" si="68"/>
        <v>6.3000000000000007</v>
      </c>
      <c r="F370" s="54">
        <f t="shared" si="77"/>
        <v>40.950000000000003</v>
      </c>
      <c r="G370" s="54">
        <f t="shared" si="78"/>
        <v>292.95000000000005</v>
      </c>
      <c r="H370" s="54">
        <f t="shared" si="70"/>
        <v>340.20000000000005</v>
      </c>
      <c r="I370" s="40">
        <f t="shared" si="71"/>
        <v>23.020000000000003</v>
      </c>
      <c r="J370" s="40">
        <f t="shared" si="79"/>
        <v>97.63</v>
      </c>
      <c r="K370" s="40">
        <f t="shared" si="80"/>
        <v>628.67999999999995</v>
      </c>
      <c r="L370" s="179">
        <f t="shared" si="72"/>
        <v>749.32999999999993</v>
      </c>
      <c r="M370" s="54">
        <f t="shared" si="73"/>
        <v>72.513000000000019</v>
      </c>
      <c r="N370" s="54">
        <f t="shared" si="74"/>
        <v>307.53450000000004</v>
      </c>
      <c r="O370" s="54">
        <f t="shared" si="75"/>
        <v>1980.3420000000001</v>
      </c>
      <c r="P370" s="54">
        <f t="shared" si="76"/>
        <v>2360.3895000000002</v>
      </c>
    </row>
    <row r="371" spans="2:16" ht="15" customHeight="1" x14ac:dyDescent="0.3">
      <c r="B371" s="164">
        <v>109</v>
      </c>
      <c r="C371" s="165">
        <v>4</v>
      </c>
      <c r="D371" s="165">
        <f t="shared" si="69"/>
        <v>4.2</v>
      </c>
      <c r="E371" s="54">
        <f t="shared" si="68"/>
        <v>8.4</v>
      </c>
      <c r="F371" s="54">
        <f t="shared" si="77"/>
        <v>54.6</v>
      </c>
      <c r="G371" s="54">
        <f t="shared" si="78"/>
        <v>394.8</v>
      </c>
      <c r="H371" s="54">
        <f t="shared" si="70"/>
        <v>457.8</v>
      </c>
      <c r="I371" s="40">
        <f t="shared" si="71"/>
        <v>23.020000000000003</v>
      </c>
      <c r="J371" s="40">
        <f t="shared" si="79"/>
        <v>97.63</v>
      </c>
      <c r="K371" s="40">
        <f t="shared" si="80"/>
        <v>635.43999999999994</v>
      </c>
      <c r="L371" s="179">
        <f t="shared" si="72"/>
        <v>756.08999999999992</v>
      </c>
      <c r="M371" s="54">
        <f t="shared" si="73"/>
        <v>96.684000000000012</v>
      </c>
      <c r="N371" s="54">
        <f t="shared" si="74"/>
        <v>410.04599999999999</v>
      </c>
      <c r="O371" s="54">
        <f t="shared" si="75"/>
        <v>2668.848</v>
      </c>
      <c r="P371" s="54">
        <f t="shared" si="76"/>
        <v>3175.578</v>
      </c>
    </row>
    <row r="372" spans="2:16" ht="15" customHeight="1" x14ac:dyDescent="0.3">
      <c r="B372" s="164">
        <v>110</v>
      </c>
      <c r="C372" s="165">
        <v>6</v>
      </c>
      <c r="D372" s="165">
        <f t="shared" si="69"/>
        <v>6.3000000000000007</v>
      </c>
      <c r="E372" s="54">
        <f t="shared" si="68"/>
        <v>12.600000000000001</v>
      </c>
      <c r="F372" s="54">
        <f t="shared" si="77"/>
        <v>81.900000000000006</v>
      </c>
      <c r="G372" s="54">
        <f t="shared" si="78"/>
        <v>598.50000000000011</v>
      </c>
      <c r="H372" s="54">
        <f t="shared" si="70"/>
        <v>693.00000000000011</v>
      </c>
      <c r="I372" s="40">
        <f t="shared" si="71"/>
        <v>23.020000000000003</v>
      </c>
      <c r="J372" s="40">
        <f t="shared" si="79"/>
        <v>97.63</v>
      </c>
      <c r="K372" s="40">
        <f t="shared" si="80"/>
        <v>642.19999999999993</v>
      </c>
      <c r="L372" s="179">
        <f t="shared" si="72"/>
        <v>762.84999999999991</v>
      </c>
      <c r="M372" s="54">
        <f t="shared" si="73"/>
        <v>145.02600000000004</v>
      </c>
      <c r="N372" s="54">
        <f t="shared" si="74"/>
        <v>615.06900000000007</v>
      </c>
      <c r="O372" s="54">
        <f t="shared" si="75"/>
        <v>4045.86</v>
      </c>
      <c r="P372" s="54">
        <f t="shared" si="76"/>
        <v>4805.9549999999999</v>
      </c>
    </row>
    <row r="373" spans="2:16" ht="15" customHeight="1" x14ac:dyDescent="0.3">
      <c r="B373" s="164">
        <v>111</v>
      </c>
      <c r="C373" s="165">
        <v>3</v>
      </c>
      <c r="D373" s="165">
        <f t="shared" si="69"/>
        <v>3.1500000000000004</v>
      </c>
      <c r="E373" s="54">
        <f t="shared" si="68"/>
        <v>6.3000000000000007</v>
      </c>
      <c r="F373" s="54">
        <f t="shared" si="77"/>
        <v>40.950000000000003</v>
      </c>
      <c r="G373" s="54">
        <f t="shared" si="78"/>
        <v>302.40000000000003</v>
      </c>
      <c r="H373" s="54">
        <f t="shared" si="70"/>
        <v>349.65000000000003</v>
      </c>
      <c r="I373" s="40">
        <f t="shared" si="71"/>
        <v>23.020000000000003</v>
      </c>
      <c r="J373" s="40">
        <f t="shared" si="79"/>
        <v>97.63</v>
      </c>
      <c r="K373" s="40">
        <f t="shared" si="80"/>
        <v>648.96</v>
      </c>
      <c r="L373" s="179">
        <f t="shared" si="72"/>
        <v>769.61</v>
      </c>
      <c r="M373" s="54">
        <f t="shared" si="73"/>
        <v>72.513000000000019</v>
      </c>
      <c r="N373" s="54">
        <f t="shared" si="74"/>
        <v>307.53450000000004</v>
      </c>
      <c r="O373" s="54">
        <f t="shared" si="75"/>
        <v>2044.2240000000004</v>
      </c>
      <c r="P373" s="54">
        <f t="shared" si="76"/>
        <v>2424.2715000000003</v>
      </c>
    </row>
    <row r="374" spans="2:16" ht="15" customHeight="1" x14ac:dyDescent="0.3">
      <c r="B374" s="164">
        <v>112</v>
      </c>
      <c r="C374" s="165">
        <v>2</v>
      </c>
      <c r="D374" s="165">
        <f t="shared" si="69"/>
        <v>2.1</v>
      </c>
      <c r="E374" s="54">
        <f t="shared" si="68"/>
        <v>4.2</v>
      </c>
      <c r="F374" s="54">
        <f t="shared" si="77"/>
        <v>27.3</v>
      </c>
      <c r="G374" s="54">
        <f t="shared" si="78"/>
        <v>203.70000000000002</v>
      </c>
      <c r="H374" s="54">
        <f t="shared" si="70"/>
        <v>235.20000000000002</v>
      </c>
      <c r="I374" s="40">
        <f t="shared" si="71"/>
        <v>23.020000000000003</v>
      </c>
      <c r="J374" s="40">
        <f t="shared" si="79"/>
        <v>97.63</v>
      </c>
      <c r="K374" s="40">
        <f t="shared" si="80"/>
        <v>655.72</v>
      </c>
      <c r="L374" s="179">
        <f t="shared" si="72"/>
        <v>776.37</v>
      </c>
      <c r="M374" s="54">
        <f t="shared" si="73"/>
        <v>48.342000000000006</v>
      </c>
      <c r="N374" s="54">
        <f t="shared" si="74"/>
        <v>205.023</v>
      </c>
      <c r="O374" s="54">
        <f t="shared" si="75"/>
        <v>1377.0120000000002</v>
      </c>
      <c r="P374" s="54">
        <f t="shared" si="76"/>
        <v>1630.3770000000002</v>
      </c>
    </row>
    <row r="375" spans="2:16" ht="15" customHeight="1" x14ac:dyDescent="0.3">
      <c r="B375" s="164">
        <v>113</v>
      </c>
      <c r="C375" s="165">
        <v>2</v>
      </c>
      <c r="D375" s="165">
        <f t="shared" si="69"/>
        <v>2.1</v>
      </c>
      <c r="E375" s="54">
        <f t="shared" si="68"/>
        <v>4.2</v>
      </c>
      <c r="F375" s="54">
        <f t="shared" si="77"/>
        <v>27.3</v>
      </c>
      <c r="G375" s="54">
        <f t="shared" si="78"/>
        <v>205.8</v>
      </c>
      <c r="H375" s="54">
        <f t="shared" si="70"/>
        <v>237.3</v>
      </c>
      <c r="I375" s="40">
        <f t="shared" si="71"/>
        <v>23.020000000000003</v>
      </c>
      <c r="J375" s="40">
        <f t="shared" si="79"/>
        <v>97.63</v>
      </c>
      <c r="K375" s="40">
        <f t="shared" si="80"/>
        <v>662.48</v>
      </c>
      <c r="L375" s="179">
        <f t="shared" si="72"/>
        <v>783.13</v>
      </c>
      <c r="M375" s="54">
        <f t="shared" si="73"/>
        <v>48.342000000000006</v>
      </c>
      <c r="N375" s="54">
        <f t="shared" si="74"/>
        <v>205.023</v>
      </c>
      <c r="O375" s="54">
        <f t="shared" si="75"/>
        <v>1391.2080000000001</v>
      </c>
      <c r="P375" s="54">
        <f t="shared" si="76"/>
        <v>1644.5730000000001</v>
      </c>
    </row>
    <row r="376" spans="2:16" ht="15" customHeight="1" x14ac:dyDescent="0.3">
      <c r="B376" s="164">
        <v>114</v>
      </c>
      <c r="C376" s="165">
        <v>6</v>
      </c>
      <c r="D376" s="165">
        <f t="shared" si="69"/>
        <v>6.3000000000000007</v>
      </c>
      <c r="E376" s="54">
        <f t="shared" si="68"/>
        <v>12.600000000000001</v>
      </c>
      <c r="F376" s="54">
        <f t="shared" si="77"/>
        <v>81.900000000000006</v>
      </c>
      <c r="G376" s="54">
        <f t="shared" si="78"/>
        <v>623.70000000000005</v>
      </c>
      <c r="H376" s="54">
        <f t="shared" si="70"/>
        <v>718.2</v>
      </c>
      <c r="I376" s="40">
        <f t="shared" si="71"/>
        <v>23.020000000000003</v>
      </c>
      <c r="J376" s="40">
        <f t="shared" si="79"/>
        <v>97.63</v>
      </c>
      <c r="K376" s="40">
        <f t="shared" si="80"/>
        <v>669.24</v>
      </c>
      <c r="L376" s="179">
        <f t="shared" si="72"/>
        <v>789.89</v>
      </c>
      <c r="M376" s="54">
        <f t="shared" si="73"/>
        <v>145.02600000000004</v>
      </c>
      <c r="N376" s="54">
        <f t="shared" si="74"/>
        <v>615.06900000000007</v>
      </c>
      <c r="O376" s="54">
        <f t="shared" si="75"/>
        <v>4216.2120000000004</v>
      </c>
      <c r="P376" s="54">
        <f t="shared" si="76"/>
        <v>4976.3070000000007</v>
      </c>
    </row>
    <row r="377" spans="2:16" ht="15" customHeight="1" x14ac:dyDescent="0.3">
      <c r="B377" s="164">
        <v>115</v>
      </c>
      <c r="C377" s="165">
        <v>2</v>
      </c>
      <c r="D377" s="165">
        <f t="shared" si="69"/>
        <v>2.1</v>
      </c>
      <c r="E377" s="54">
        <f t="shared" si="68"/>
        <v>4.2</v>
      </c>
      <c r="F377" s="54">
        <f t="shared" si="77"/>
        <v>27.3</v>
      </c>
      <c r="G377" s="54">
        <f t="shared" si="78"/>
        <v>210</v>
      </c>
      <c r="H377" s="54">
        <f t="shared" si="70"/>
        <v>241.5</v>
      </c>
      <c r="I377" s="40">
        <f t="shared" si="71"/>
        <v>23.020000000000003</v>
      </c>
      <c r="J377" s="40">
        <f t="shared" si="79"/>
        <v>97.63</v>
      </c>
      <c r="K377" s="40">
        <f t="shared" si="80"/>
        <v>676</v>
      </c>
      <c r="L377" s="179">
        <f t="shared" si="72"/>
        <v>796.65</v>
      </c>
      <c r="M377" s="54">
        <f t="shared" si="73"/>
        <v>48.342000000000006</v>
      </c>
      <c r="N377" s="54">
        <f t="shared" si="74"/>
        <v>205.023</v>
      </c>
      <c r="O377" s="54">
        <f t="shared" si="75"/>
        <v>1419.6000000000001</v>
      </c>
      <c r="P377" s="54">
        <f t="shared" si="76"/>
        <v>1672.9650000000001</v>
      </c>
    </row>
    <row r="378" spans="2:16" ht="15" customHeight="1" x14ac:dyDescent="0.3">
      <c r="B378" s="164">
        <v>116</v>
      </c>
      <c r="C378" s="165">
        <v>6</v>
      </c>
      <c r="D378" s="165">
        <f t="shared" si="69"/>
        <v>6.3000000000000007</v>
      </c>
      <c r="E378" s="54">
        <f t="shared" si="68"/>
        <v>12.600000000000001</v>
      </c>
      <c r="F378" s="54">
        <f t="shared" si="77"/>
        <v>81.900000000000006</v>
      </c>
      <c r="G378" s="54">
        <f t="shared" si="78"/>
        <v>636.30000000000007</v>
      </c>
      <c r="H378" s="54">
        <f t="shared" si="70"/>
        <v>730.80000000000007</v>
      </c>
      <c r="I378" s="40">
        <f t="shared" si="71"/>
        <v>23.020000000000003</v>
      </c>
      <c r="J378" s="40">
        <f t="shared" si="79"/>
        <v>97.63</v>
      </c>
      <c r="K378" s="40">
        <f t="shared" si="80"/>
        <v>682.76</v>
      </c>
      <c r="L378" s="179">
        <f t="shared" si="72"/>
        <v>803.41</v>
      </c>
      <c r="M378" s="54">
        <f t="shared" si="73"/>
        <v>145.02600000000004</v>
      </c>
      <c r="N378" s="54">
        <f t="shared" si="74"/>
        <v>615.06900000000007</v>
      </c>
      <c r="O378" s="54">
        <f t="shared" si="75"/>
        <v>4301.3880000000008</v>
      </c>
      <c r="P378" s="54">
        <f t="shared" si="76"/>
        <v>5061.4830000000011</v>
      </c>
    </row>
    <row r="379" spans="2:16" ht="15" customHeight="1" x14ac:dyDescent="0.3">
      <c r="B379" s="164">
        <v>117</v>
      </c>
      <c r="C379" s="165">
        <v>3</v>
      </c>
      <c r="D379" s="165">
        <f t="shared" si="69"/>
        <v>3.1500000000000004</v>
      </c>
      <c r="E379" s="54">
        <f t="shared" si="68"/>
        <v>6.3000000000000007</v>
      </c>
      <c r="F379" s="54">
        <f t="shared" si="77"/>
        <v>40.950000000000003</v>
      </c>
      <c r="G379" s="54">
        <f t="shared" si="78"/>
        <v>321.3</v>
      </c>
      <c r="H379" s="54">
        <f t="shared" si="70"/>
        <v>368.55</v>
      </c>
      <c r="I379" s="40">
        <f t="shared" si="71"/>
        <v>23.020000000000003</v>
      </c>
      <c r="J379" s="40">
        <f t="shared" si="79"/>
        <v>97.63</v>
      </c>
      <c r="K379" s="40">
        <f t="shared" si="80"/>
        <v>689.52</v>
      </c>
      <c r="L379" s="179">
        <f t="shared" si="72"/>
        <v>810.17</v>
      </c>
      <c r="M379" s="54">
        <f t="shared" si="73"/>
        <v>72.513000000000019</v>
      </c>
      <c r="N379" s="54">
        <f t="shared" si="74"/>
        <v>307.53450000000004</v>
      </c>
      <c r="O379" s="54">
        <f t="shared" si="75"/>
        <v>2171.9880000000003</v>
      </c>
      <c r="P379" s="54">
        <f t="shared" si="76"/>
        <v>2552.0355000000004</v>
      </c>
    </row>
    <row r="380" spans="2:16" ht="15" customHeight="1" x14ac:dyDescent="0.3">
      <c r="B380" s="164">
        <v>118</v>
      </c>
      <c r="C380" s="165">
        <v>3</v>
      </c>
      <c r="D380" s="165">
        <f t="shared" si="69"/>
        <v>3.1500000000000004</v>
      </c>
      <c r="E380" s="54">
        <f t="shared" si="68"/>
        <v>6.3000000000000007</v>
      </c>
      <c r="F380" s="54">
        <f t="shared" si="77"/>
        <v>40.950000000000003</v>
      </c>
      <c r="G380" s="54">
        <f t="shared" si="78"/>
        <v>324.45000000000005</v>
      </c>
      <c r="H380" s="54">
        <f t="shared" si="70"/>
        <v>371.70000000000005</v>
      </c>
      <c r="I380" s="40">
        <f t="shared" si="71"/>
        <v>23.020000000000003</v>
      </c>
      <c r="J380" s="40">
        <f t="shared" si="79"/>
        <v>97.63</v>
      </c>
      <c r="K380" s="40">
        <f t="shared" si="80"/>
        <v>696.28</v>
      </c>
      <c r="L380" s="179">
        <f t="shared" si="72"/>
        <v>816.93</v>
      </c>
      <c r="M380" s="54">
        <f t="shared" si="73"/>
        <v>72.513000000000019</v>
      </c>
      <c r="N380" s="54">
        <f t="shared" si="74"/>
        <v>307.53450000000004</v>
      </c>
      <c r="O380" s="54">
        <f t="shared" si="75"/>
        <v>2193.2820000000002</v>
      </c>
      <c r="P380" s="54">
        <f t="shared" si="76"/>
        <v>2573.3295000000003</v>
      </c>
    </row>
    <row r="381" spans="2:16" ht="15" customHeight="1" x14ac:dyDescent="0.3">
      <c r="B381" s="164">
        <v>119</v>
      </c>
      <c r="C381" s="165">
        <v>3</v>
      </c>
      <c r="D381" s="165">
        <f t="shared" si="69"/>
        <v>3.1500000000000004</v>
      </c>
      <c r="E381" s="54">
        <f t="shared" si="68"/>
        <v>6.3000000000000007</v>
      </c>
      <c r="F381" s="54">
        <f t="shared" si="77"/>
        <v>40.950000000000003</v>
      </c>
      <c r="G381" s="54">
        <f t="shared" si="78"/>
        <v>327.60000000000002</v>
      </c>
      <c r="H381" s="54">
        <f t="shared" si="70"/>
        <v>374.85</v>
      </c>
      <c r="I381" s="40">
        <f t="shared" si="71"/>
        <v>23.020000000000003</v>
      </c>
      <c r="J381" s="40">
        <f t="shared" si="79"/>
        <v>97.63</v>
      </c>
      <c r="K381" s="40">
        <f t="shared" si="80"/>
        <v>703.04</v>
      </c>
      <c r="L381" s="179">
        <f t="shared" si="72"/>
        <v>823.68999999999994</v>
      </c>
      <c r="M381" s="54">
        <f t="shared" si="73"/>
        <v>72.513000000000019</v>
      </c>
      <c r="N381" s="54">
        <f t="shared" si="74"/>
        <v>307.53450000000004</v>
      </c>
      <c r="O381" s="54">
        <f t="shared" si="75"/>
        <v>2214.576</v>
      </c>
      <c r="P381" s="54">
        <f t="shared" si="76"/>
        <v>2594.6235000000001</v>
      </c>
    </row>
    <row r="382" spans="2:16" ht="15" customHeight="1" x14ac:dyDescent="0.3">
      <c r="B382" s="164">
        <v>120</v>
      </c>
      <c r="C382" s="165">
        <v>4</v>
      </c>
      <c r="D382" s="165">
        <f t="shared" si="69"/>
        <v>4.2</v>
      </c>
      <c r="E382" s="54">
        <f t="shared" si="68"/>
        <v>8.4</v>
      </c>
      <c r="F382" s="54">
        <f t="shared" si="77"/>
        <v>54.6</v>
      </c>
      <c r="G382" s="54">
        <f t="shared" si="78"/>
        <v>441</v>
      </c>
      <c r="H382" s="54">
        <f t="shared" si="70"/>
        <v>504</v>
      </c>
      <c r="I382" s="40">
        <f t="shared" si="71"/>
        <v>23.020000000000003</v>
      </c>
      <c r="J382" s="40">
        <f t="shared" si="79"/>
        <v>97.63</v>
      </c>
      <c r="K382" s="40">
        <f t="shared" si="80"/>
        <v>709.8</v>
      </c>
      <c r="L382" s="179">
        <f t="shared" si="72"/>
        <v>830.44999999999993</v>
      </c>
      <c r="M382" s="54">
        <f t="shared" si="73"/>
        <v>96.684000000000012</v>
      </c>
      <c r="N382" s="54">
        <f t="shared" si="74"/>
        <v>410.04599999999999</v>
      </c>
      <c r="O382" s="54">
        <f t="shared" si="75"/>
        <v>2981.16</v>
      </c>
      <c r="P382" s="54">
        <f t="shared" si="76"/>
        <v>3487.89</v>
      </c>
    </row>
    <row r="383" spans="2:16" ht="15" customHeight="1" x14ac:dyDescent="0.3">
      <c r="B383" s="164">
        <v>121</v>
      </c>
      <c r="C383" s="165">
        <v>5</v>
      </c>
      <c r="D383" s="165">
        <f t="shared" si="69"/>
        <v>5.25</v>
      </c>
      <c r="E383" s="54">
        <f t="shared" si="68"/>
        <v>10.5</v>
      </c>
      <c r="F383" s="54">
        <f t="shared" si="77"/>
        <v>68.25</v>
      </c>
      <c r="G383" s="54">
        <f t="shared" si="78"/>
        <v>556.5</v>
      </c>
      <c r="H383" s="54">
        <f t="shared" si="70"/>
        <v>635.25</v>
      </c>
      <c r="I383" s="40">
        <f t="shared" si="71"/>
        <v>23.020000000000003</v>
      </c>
      <c r="J383" s="40">
        <f t="shared" si="79"/>
        <v>97.63</v>
      </c>
      <c r="K383" s="40">
        <f t="shared" si="80"/>
        <v>716.56</v>
      </c>
      <c r="L383" s="179">
        <f t="shared" si="72"/>
        <v>837.20999999999992</v>
      </c>
      <c r="M383" s="54">
        <f t="shared" si="73"/>
        <v>120.85500000000002</v>
      </c>
      <c r="N383" s="54">
        <f t="shared" si="74"/>
        <v>512.5575</v>
      </c>
      <c r="O383" s="54">
        <f t="shared" si="75"/>
        <v>3761.9399999999996</v>
      </c>
      <c r="P383" s="54">
        <f t="shared" si="76"/>
        <v>4395.3525</v>
      </c>
    </row>
    <row r="384" spans="2:16" ht="15" customHeight="1" x14ac:dyDescent="0.3">
      <c r="B384" s="164">
        <v>122</v>
      </c>
      <c r="C384" s="165">
        <v>3</v>
      </c>
      <c r="D384" s="165">
        <f t="shared" si="69"/>
        <v>3.1500000000000004</v>
      </c>
      <c r="E384" s="54">
        <f t="shared" si="68"/>
        <v>6.3000000000000007</v>
      </c>
      <c r="F384" s="54">
        <f t="shared" si="77"/>
        <v>40.950000000000003</v>
      </c>
      <c r="G384" s="54">
        <f t="shared" si="78"/>
        <v>337.05</v>
      </c>
      <c r="H384" s="54">
        <f t="shared" si="70"/>
        <v>384.3</v>
      </c>
      <c r="I384" s="40">
        <f t="shared" si="71"/>
        <v>23.020000000000003</v>
      </c>
      <c r="J384" s="40">
        <f t="shared" si="79"/>
        <v>97.63</v>
      </c>
      <c r="K384" s="40">
        <f t="shared" si="80"/>
        <v>723.31999999999994</v>
      </c>
      <c r="L384" s="179">
        <f t="shared" si="72"/>
        <v>843.96999999999991</v>
      </c>
      <c r="M384" s="54">
        <f t="shared" si="73"/>
        <v>72.513000000000019</v>
      </c>
      <c r="N384" s="54">
        <f t="shared" si="74"/>
        <v>307.53450000000004</v>
      </c>
      <c r="O384" s="54">
        <f t="shared" si="75"/>
        <v>2278.4580000000001</v>
      </c>
      <c r="P384" s="54">
        <f t="shared" si="76"/>
        <v>2658.5055000000002</v>
      </c>
    </row>
    <row r="385" spans="2:16" ht="15" customHeight="1" x14ac:dyDescent="0.3">
      <c r="B385" s="164">
        <v>123</v>
      </c>
      <c r="C385" s="165">
        <v>1</v>
      </c>
      <c r="D385" s="165">
        <f t="shared" si="69"/>
        <v>1.05</v>
      </c>
      <c r="E385" s="54">
        <f t="shared" si="68"/>
        <v>2.1</v>
      </c>
      <c r="F385" s="54">
        <f t="shared" si="77"/>
        <v>13.65</v>
      </c>
      <c r="G385" s="54">
        <f t="shared" si="78"/>
        <v>113.4</v>
      </c>
      <c r="H385" s="54">
        <f t="shared" si="70"/>
        <v>129.15</v>
      </c>
      <c r="I385" s="40">
        <f t="shared" si="71"/>
        <v>23.020000000000003</v>
      </c>
      <c r="J385" s="40">
        <f t="shared" si="79"/>
        <v>97.63</v>
      </c>
      <c r="K385" s="40">
        <f t="shared" si="80"/>
        <v>730.07999999999993</v>
      </c>
      <c r="L385" s="179">
        <f t="shared" si="72"/>
        <v>850.7299999999999</v>
      </c>
      <c r="M385" s="54">
        <f t="shared" si="73"/>
        <v>24.171000000000003</v>
      </c>
      <c r="N385" s="54">
        <f t="shared" si="74"/>
        <v>102.5115</v>
      </c>
      <c r="O385" s="54">
        <f t="shared" si="75"/>
        <v>766.58399999999995</v>
      </c>
      <c r="P385" s="54">
        <f t="shared" si="76"/>
        <v>893.26649999999995</v>
      </c>
    </row>
    <row r="386" spans="2:16" ht="15" customHeight="1" x14ac:dyDescent="0.3">
      <c r="B386" s="164">
        <v>124</v>
      </c>
      <c r="C386" s="165">
        <v>4</v>
      </c>
      <c r="D386" s="165">
        <f t="shared" si="69"/>
        <v>4.2</v>
      </c>
      <c r="E386" s="54">
        <f t="shared" si="68"/>
        <v>8.4</v>
      </c>
      <c r="F386" s="54">
        <f t="shared" si="77"/>
        <v>54.6</v>
      </c>
      <c r="G386" s="54">
        <f t="shared" si="78"/>
        <v>457.8</v>
      </c>
      <c r="H386" s="54">
        <f t="shared" si="70"/>
        <v>520.79999999999995</v>
      </c>
      <c r="I386" s="40">
        <f t="shared" si="71"/>
        <v>23.020000000000003</v>
      </c>
      <c r="J386" s="40">
        <f t="shared" si="79"/>
        <v>97.63</v>
      </c>
      <c r="K386" s="40">
        <f t="shared" si="80"/>
        <v>736.84</v>
      </c>
      <c r="L386" s="179">
        <f t="shared" si="72"/>
        <v>857.49</v>
      </c>
      <c r="M386" s="54">
        <f t="shared" si="73"/>
        <v>96.684000000000012</v>
      </c>
      <c r="N386" s="54">
        <f t="shared" si="74"/>
        <v>410.04599999999999</v>
      </c>
      <c r="O386" s="54">
        <f t="shared" si="75"/>
        <v>3094.7280000000001</v>
      </c>
      <c r="P386" s="54">
        <f t="shared" si="76"/>
        <v>3601.4580000000001</v>
      </c>
    </row>
    <row r="387" spans="2:16" ht="15" customHeight="1" x14ac:dyDescent="0.3">
      <c r="B387" s="164">
        <v>125</v>
      </c>
      <c r="C387" s="165">
        <v>3</v>
      </c>
      <c r="D387" s="165">
        <f t="shared" si="69"/>
        <v>3.1500000000000004</v>
      </c>
      <c r="E387" s="54">
        <f t="shared" si="68"/>
        <v>6.3000000000000007</v>
      </c>
      <c r="F387" s="54">
        <f t="shared" si="77"/>
        <v>40.950000000000003</v>
      </c>
      <c r="G387" s="54">
        <f t="shared" si="78"/>
        <v>346.50000000000006</v>
      </c>
      <c r="H387" s="54">
        <f t="shared" si="70"/>
        <v>393.75000000000006</v>
      </c>
      <c r="I387" s="40">
        <f t="shared" si="71"/>
        <v>23.020000000000003</v>
      </c>
      <c r="J387" s="40">
        <f t="shared" si="79"/>
        <v>97.63</v>
      </c>
      <c r="K387" s="40">
        <f t="shared" si="80"/>
        <v>743.6</v>
      </c>
      <c r="L387" s="179">
        <f t="shared" si="72"/>
        <v>864.25</v>
      </c>
      <c r="M387" s="54">
        <f t="shared" si="73"/>
        <v>72.513000000000019</v>
      </c>
      <c r="N387" s="54">
        <f t="shared" si="74"/>
        <v>307.53450000000004</v>
      </c>
      <c r="O387" s="54">
        <f t="shared" si="75"/>
        <v>2342.34</v>
      </c>
      <c r="P387" s="54">
        <f t="shared" si="76"/>
        <v>2722.3875000000003</v>
      </c>
    </row>
    <row r="388" spans="2:16" ht="15" customHeight="1" x14ac:dyDescent="0.3">
      <c r="B388" s="164">
        <v>126</v>
      </c>
      <c r="C388" s="165">
        <v>5</v>
      </c>
      <c r="D388" s="165">
        <f t="shared" si="69"/>
        <v>5.25</v>
      </c>
      <c r="E388" s="54">
        <f t="shared" si="68"/>
        <v>10.5</v>
      </c>
      <c r="F388" s="54">
        <f t="shared" si="77"/>
        <v>68.25</v>
      </c>
      <c r="G388" s="54">
        <f t="shared" si="78"/>
        <v>582.75</v>
      </c>
      <c r="H388" s="54">
        <f t="shared" si="70"/>
        <v>661.5</v>
      </c>
      <c r="I388" s="40">
        <f t="shared" si="71"/>
        <v>23.020000000000003</v>
      </c>
      <c r="J388" s="40">
        <f t="shared" si="79"/>
        <v>97.63</v>
      </c>
      <c r="K388" s="40">
        <f t="shared" si="80"/>
        <v>750.36</v>
      </c>
      <c r="L388" s="179">
        <f t="shared" si="72"/>
        <v>871.01</v>
      </c>
      <c r="M388" s="54">
        <f t="shared" si="73"/>
        <v>120.85500000000002</v>
      </c>
      <c r="N388" s="54">
        <f t="shared" si="74"/>
        <v>512.5575</v>
      </c>
      <c r="O388" s="54">
        <f t="shared" si="75"/>
        <v>3939.39</v>
      </c>
      <c r="P388" s="54">
        <f t="shared" si="76"/>
        <v>4572.8024999999998</v>
      </c>
    </row>
    <row r="389" spans="2:16" ht="15" customHeight="1" x14ac:dyDescent="0.3">
      <c r="B389" s="164">
        <v>130</v>
      </c>
      <c r="C389" s="165">
        <v>1</v>
      </c>
      <c r="D389" s="165">
        <f t="shared" si="69"/>
        <v>1.05</v>
      </c>
      <c r="E389" s="54">
        <f t="shared" si="68"/>
        <v>2.1</v>
      </c>
      <c r="F389" s="54">
        <f t="shared" si="77"/>
        <v>13.65</v>
      </c>
      <c r="G389" s="54">
        <f t="shared" si="78"/>
        <v>120.75</v>
      </c>
      <c r="H389" s="54">
        <f t="shared" si="70"/>
        <v>136.5</v>
      </c>
      <c r="I389" s="40">
        <f t="shared" si="71"/>
        <v>23.020000000000003</v>
      </c>
      <c r="J389" s="40">
        <f t="shared" si="79"/>
        <v>97.63</v>
      </c>
      <c r="K389" s="40">
        <f t="shared" si="80"/>
        <v>777.4</v>
      </c>
      <c r="L389" s="179">
        <f t="shared" si="72"/>
        <v>898.05</v>
      </c>
      <c r="M389" s="54">
        <f t="shared" si="73"/>
        <v>24.171000000000003</v>
      </c>
      <c r="N389" s="54">
        <f t="shared" si="74"/>
        <v>102.5115</v>
      </c>
      <c r="O389" s="54">
        <f t="shared" si="75"/>
        <v>816.27</v>
      </c>
      <c r="P389" s="54">
        <f t="shared" si="76"/>
        <v>942.95249999999999</v>
      </c>
    </row>
    <row r="390" spans="2:16" ht="15" customHeight="1" x14ac:dyDescent="0.3">
      <c r="B390" s="164">
        <v>131</v>
      </c>
      <c r="C390" s="165">
        <v>3</v>
      </c>
      <c r="D390" s="165">
        <f t="shared" si="69"/>
        <v>3.1500000000000004</v>
      </c>
      <c r="E390" s="54">
        <f t="shared" si="68"/>
        <v>6.3000000000000007</v>
      </c>
      <c r="F390" s="54">
        <f t="shared" si="77"/>
        <v>40.950000000000003</v>
      </c>
      <c r="G390" s="54">
        <f t="shared" si="78"/>
        <v>365.40000000000003</v>
      </c>
      <c r="H390" s="54">
        <f t="shared" si="70"/>
        <v>412.65000000000003</v>
      </c>
      <c r="I390" s="40">
        <f t="shared" si="71"/>
        <v>23.020000000000003</v>
      </c>
      <c r="J390" s="40">
        <f t="shared" si="79"/>
        <v>97.63</v>
      </c>
      <c r="K390" s="40">
        <f t="shared" si="80"/>
        <v>784.16</v>
      </c>
      <c r="L390" s="179">
        <f t="shared" si="72"/>
        <v>904.81</v>
      </c>
      <c r="M390" s="54">
        <f t="shared" si="73"/>
        <v>72.513000000000019</v>
      </c>
      <c r="N390" s="54">
        <f t="shared" si="74"/>
        <v>307.53450000000004</v>
      </c>
      <c r="O390" s="54">
        <f t="shared" si="75"/>
        <v>2470.1040000000003</v>
      </c>
      <c r="P390" s="54">
        <f t="shared" si="76"/>
        <v>2850.1515000000004</v>
      </c>
    </row>
    <row r="391" spans="2:16" ht="15" customHeight="1" x14ac:dyDescent="0.3">
      <c r="B391" s="164">
        <v>132</v>
      </c>
      <c r="C391" s="165">
        <v>3</v>
      </c>
      <c r="D391" s="165">
        <f t="shared" si="69"/>
        <v>3.1500000000000004</v>
      </c>
      <c r="E391" s="54">
        <f t="shared" ref="E391:E454" si="81">+IF($B391&gt;2,2,$B391)*$D391</f>
        <v>6.3000000000000007</v>
      </c>
      <c r="F391" s="54">
        <f t="shared" si="77"/>
        <v>40.950000000000003</v>
      </c>
      <c r="G391" s="54">
        <f t="shared" si="78"/>
        <v>368.55000000000007</v>
      </c>
      <c r="H391" s="54">
        <f t="shared" si="70"/>
        <v>415.80000000000007</v>
      </c>
      <c r="I391" s="40">
        <f t="shared" si="71"/>
        <v>23.020000000000003</v>
      </c>
      <c r="J391" s="40">
        <f t="shared" si="79"/>
        <v>97.63</v>
      </c>
      <c r="K391" s="40">
        <f t="shared" si="80"/>
        <v>790.92</v>
      </c>
      <c r="L391" s="179">
        <f t="shared" si="72"/>
        <v>911.56999999999994</v>
      </c>
      <c r="M391" s="54">
        <f t="shared" si="73"/>
        <v>72.513000000000019</v>
      </c>
      <c r="N391" s="54">
        <f t="shared" si="74"/>
        <v>307.53450000000004</v>
      </c>
      <c r="O391" s="54">
        <f t="shared" si="75"/>
        <v>2491.3980000000001</v>
      </c>
      <c r="P391" s="54">
        <f t="shared" si="76"/>
        <v>2871.4455000000003</v>
      </c>
    </row>
    <row r="392" spans="2:16" ht="15" customHeight="1" x14ac:dyDescent="0.3">
      <c r="B392" s="164">
        <v>133</v>
      </c>
      <c r="C392" s="165">
        <v>3</v>
      </c>
      <c r="D392" s="165">
        <f t="shared" ref="D392:D455" si="82">+C392*(1+$D$10)</f>
        <v>3.1500000000000004</v>
      </c>
      <c r="E392" s="54">
        <f t="shared" si="81"/>
        <v>6.3000000000000007</v>
      </c>
      <c r="F392" s="54">
        <f t="shared" si="77"/>
        <v>40.950000000000003</v>
      </c>
      <c r="G392" s="54">
        <f t="shared" si="78"/>
        <v>371.70000000000005</v>
      </c>
      <c r="H392" s="54">
        <f t="shared" ref="H392:H455" si="83">+SUM(E392:G392)</f>
        <v>418.95000000000005</v>
      </c>
      <c r="I392" s="40">
        <f t="shared" ref="I392:I455" si="84">+$I$258</f>
        <v>23.020000000000003</v>
      </c>
      <c r="J392" s="40">
        <f t="shared" si="79"/>
        <v>97.63</v>
      </c>
      <c r="K392" s="40">
        <f t="shared" si="80"/>
        <v>797.68</v>
      </c>
      <c r="L392" s="179">
        <f t="shared" ref="L392:L455" si="85">+SUM(I392:K392)</f>
        <v>918.32999999999993</v>
      </c>
      <c r="M392" s="54">
        <f t="shared" ref="M392:M455" si="86">+I392*$D392</f>
        <v>72.513000000000019</v>
      </c>
      <c r="N392" s="54">
        <f t="shared" ref="N392:N455" si="87">+J392*$D392</f>
        <v>307.53450000000004</v>
      </c>
      <c r="O392" s="54">
        <f t="shared" ref="O392:O455" si="88">+K392*$D392</f>
        <v>2512.692</v>
      </c>
      <c r="P392" s="54">
        <f t="shared" ref="P392:P455" si="89">+SUM(M392:O392)</f>
        <v>2892.7395000000001</v>
      </c>
    </row>
    <row r="393" spans="2:16" ht="15" customHeight="1" x14ac:dyDescent="0.3">
      <c r="B393" s="164">
        <v>134</v>
      </c>
      <c r="C393" s="165">
        <v>2</v>
      </c>
      <c r="D393" s="165">
        <f t="shared" si="82"/>
        <v>2.1</v>
      </c>
      <c r="E393" s="54">
        <f t="shared" si="81"/>
        <v>4.2</v>
      </c>
      <c r="F393" s="54">
        <f t="shared" si="77"/>
        <v>27.3</v>
      </c>
      <c r="G393" s="54">
        <f t="shared" si="78"/>
        <v>249.9</v>
      </c>
      <c r="H393" s="54">
        <f t="shared" si="83"/>
        <v>281.39999999999998</v>
      </c>
      <c r="I393" s="40">
        <f t="shared" si="84"/>
        <v>23.020000000000003</v>
      </c>
      <c r="J393" s="40">
        <f t="shared" si="79"/>
        <v>97.63</v>
      </c>
      <c r="K393" s="40">
        <f t="shared" si="80"/>
        <v>804.43999999999994</v>
      </c>
      <c r="L393" s="179">
        <f t="shared" si="85"/>
        <v>925.08999999999992</v>
      </c>
      <c r="M393" s="54">
        <f t="shared" si="86"/>
        <v>48.342000000000006</v>
      </c>
      <c r="N393" s="54">
        <f t="shared" si="87"/>
        <v>205.023</v>
      </c>
      <c r="O393" s="54">
        <f t="shared" si="88"/>
        <v>1689.3239999999998</v>
      </c>
      <c r="P393" s="54">
        <f t="shared" si="89"/>
        <v>1942.6889999999999</v>
      </c>
    </row>
    <row r="394" spans="2:16" ht="15" customHeight="1" x14ac:dyDescent="0.3">
      <c r="B394" s="164">
        <v>135</v>
      </c>
      <c r="C394" s="165">
        <v>1</v>
      </c>
      <c r="D394" s="165">
        <f t="shared" si="82"/>
        <v>1.05</v>
      </c>
      <c r="E394" s="54">
        <f t="shared" si="81"/>
        <v>2.1</v>
      </c>
      <c r="F394" s="54">
        <f t="shared" ref="F394:F457" si="90">+IF($B394&gt;15,13,$B394-2)*$D394</f>
        <v>13.65</v>
      </c>
      <c r="G394" s="54">
        <f t="shared" ref="G394:G457" si="91">+IF($B394&gt;15,$B394-15,0)*$D394</f>
        <v>126</v>
      </c>
      <c r="H394" s="54">
        <f t="shared" si="83"/>
        <v>141.75</v>
      </c>
      <c r="I394" s="40">
        <f t="shared" si="84"/>
        <v>23.020000000000003</v>
      </c>
      <c r="J394" s="40">
        <f t="shared" si="79"/>
        <v>97.63</v>
      </c>
      <c r="K394" s="40">
        <f t="shared" si="80"/>
        <v>811.19999999999993</v>
      </c>
      <c r="L394" s="179">
        <f t="shared" si="85"/>
        <v>931.84999999999991</v>
      </c>
      <c r="M394" s="54">
        <f t="shared" si="86"/>
        <v>24.171000000000003</v>
      </c>
      <c r="N394" s="54">
        <f t="shared" si="87"/>
        <v>102.5115</v>
      </c>
      <c r="O394" s="54">
        <f t="shared" si="88"/>
        <v>851.76</v>
      </c>
      <c r="P394" s="54">
        <f t="shared" si="89"/>
        <v>978.4425</v>
      </c>
    </row>
    <row r="395" spans="2:16" ht="15" customHeight="1" x14ac:dyDescent="0.3">
      <c r="B395" s="164">
        <v>137</v>
      </c>
      <c r="C395" s="165">
        <v>3</v>
      </c>
      <c r="D395" s="165">
        <f t="shared" si="82"/>
        <v>3.1500000000000004</v>
      </c>
      <c r="E395" s="54">
        <f t="shared" si="81"/>
        <v>6.3000000000000007</v>
      </c>
      <c r="F395" s="54">
        <f t="shared" si="90"/>
        <v>40.950000000000003</v>
      </c>
      <c r="G395" s="54">
        <f t="shared" si="91"/>
        <v>384.30000000000007</v>
      </c>
      <c r="H395" s="54">
        <f t="shared" si="83"/>
        <v>431.55000000000007</v>
      </c>
      <c r="I395" s="40">
        <f t="shared" si="84"/>
        <v>23.020000000000003</v>
      </c>
      <c r="J395" s="40">
        <f t="shared" ref="J395:J458" si="92">+IF($B395&gt;15,13,$B395-2)*$J$258</f>
        <v>97.63</v>
      </c>
      <c r="K395" s="40">
        <f t="shared" ref="K395:K458" si="93">+IF($B395&gt;15,$B395-15,0)*$K$258</f>
        <v>824.72</v>
      </c>
      <c r="L395" s="179">
        <f t="shared" si="85"/>
        <v>945.37</v>
      </c>
      <c r="M395" s="54">
        <f t="shared" si="86"/>
        <v>72.513000000000019</v>
      </c>
      <c r="N395" s="54">
        <f t="shared" si="87"/>
        <v>307.53450000000004</v>
      </c>
      <c r="O395" s="54">
        <f t="shared" si="88"/>
        <v>2597.8680000000004</v>
      </c>
      <c r="P395" s="54">
        <f t="shared" si="89"/>
        <v>2977.9155000000005</v>
      </c>
    </row>
    <row r="396" spans="2:16" ht="15" customHeight="1" x14ac:dyDescent="0.3">
      <c r="B396" s="164">
        <v>138</v>
      </c>
      <c r="C396" s="165">
        <v>4</v>
      </c>
      <c r="D396" s="165">
        <f t="shared" si="82"/>
        <v>4.2</v>
      </c>
      <c r="E396" s="54">
        <f t="shared" si="81"/>
        <v>8.4</v>
      </c>
      <c r="F396" s="54">
        <f t="shared" si="90"/>
        <v>54.6</v>
      </c>
      <c r="G396" s="54">
        <f t="shared" si="91"/>
        <v>516.6</v>
      </c>
      <c r="H396" s="54">
        <f t="shared" si="83"/>
        <v>579.6</v>
      </c>
      <c r="I396" s="40">
        <f t="shared" si="84"/>
        <v>23.020000000000003</v>
      </c>
      <c r="J396" s="40">
        <f t="shared" si="92"/>
        <v>97.63</v>
      </c>
      <c r="K396" s="40">
        <f t="shared" si="93"/>
        <v>831.48</v>
      </c>
      <c r="L396" s="179">
        <f t="shared" si="85"/>
        <v>952.13</v>
      </c>
      <c r="M396" s="54">
        <f t="shared" si="86"/>
        <v>96.684000000000012</v>
      </c>
      <c r="N396" s="54">
        <f t="shared" si="87"/>
        <v>410.04599999999999</v>
      </c>
      <c r="O396" s="54">
        <f t="shared" si="88"/>
        <v>3492.2160000000003</v>
      </c>
      <c r="P396" s="54">
        <f t="shared" si="89"/>
        <v>3998.9460000000004</v>
      </c>
    </row>
    <row r="397" spans="2:16" ht="15" customHeight="1" x14ac:dyDescent="0.3">
      <c r="B397" s="164">
        <v>139</v>
      </c>
      <c r="C397" s="165">
        <v>1</v>
      </c>
      <c r="D397" s="165">
        <f t="shared" si="82"/>
        <v>1.05</v>
      </c>
      <c r="E397" s="54">
        <f t="shared" si="81"/>
        <v>2.1</v>
      </c>
      <c r="F397" s="54">
        <f t="shared" si="90"/>
        <v>13.65</v>
      </c>
      <c r="G397" s="54">
        <f t="shared" si="91"/>
        <v>130.20000000000002</v>
      </c>
      <c r="H397" s="54">
        <f t="shared" si="83"/>
        <v>145.95000000000002</v>
      </c>
      <c r="I397" s="40">
        <f t="shared" si="84"/>
        <v>23.020000000000003</v>
      </c>
      <c r="J397" s="40">
        <f t="shared" si="92"/>
        <v>97.63</v>
      </c>
      <c r="K397" s="40">
        <f t="shared" si="93"/>
        <v>838.24</v>
      </c>
      <c r="L397" s="179">
        <f t="shared" si="85"/>
        <v>958.89</v>
      </c>
      <c r="M397" s="54">
        <f t="shared" si="86"/>
        <v>24.171000000000003</v>
      </c>
      <c r="N397" s="54">
        <f t="shared" si="87"/>
        <v>102.5115</v>
      </c>
      <c r="O397" s="54">
        <f t="shared" si="88"/>
        <v>880.15200000000004</v>
      </c>
      <c r="P397" s="54">
        <f t="shared" si="89"/>
        <v>1006.8345</v>
      </c>
    </row>
    <row r="398" spans="2:16" ht="15" customHeight="1" x14ac:dyDescent="0.3">
      <c r="B398" s="164">
        <v>141</v>
      </c>
      <c r="C398" s="165">
        <v>5</v>
      </c>
      <c r="D398" s="165">
        <f t="shared" si="82"/>
        <v>5.25</v>
      </c>
      <c r="E398" s="54">
        <f t="shared" si="81"/>
        <v>10.5</v>
      </c>
      <c r="F398" s="54">
        <f t="shared" si="90"/>
        <v>68.25</v>
      </c>
      <c r="G398" s="54">
        <f t="shared" si="91"/>
        <v>661.5</v>
      </c>
      <c r="H398" s="54">
        <f t="shared" si="83"/>
        <v>740.25</v>
      </c>
      <c r="I398" s="40">
        <f t="shared" si="84"/>
        <v>23.020000000000003</v>
      </c>
      <c r="J398" s="40">
        <f t="shared" si="92"/>
        <v>97.63</v>
      </c>
      <c r="K398" s="40">
        <f t="shared" si="93"/>
        <v>851.76</v>
      </c>
      <c r="L398" s="179">
        <f t="shared" si="85"/>
        <v>972.41</v>
      </c>
      <c r="M398" s="54">
        <f t="shared" si="86"/>
        <v>120.85500000000002</v>
      </c>
      <c r="N398" s="54">
        <f t="shared" si="87"/>
        <v>512.5575</v>
      </c>
      <c r="O398" s="54">
        <f t="shared" si="88"/>
        <v>4471.74</v>
      </c>
      <c r="P398" s="54">
        <f t="shared" si="89"/>
        <v>5105.1525000000001</v>
      </c>
    </row>
    <row r="399" spans="2:16" ht="15" customHeight="1" x14ac:dyDescent="0.3">
      <c r="B399" s="164">
        <v>143</v>
      </c>
      <c r="C399" s="165">
        <v>2</v>
      </c>
      <c r="D399" s="165">
        <f t="shared" si="82"/>
        <v>2.1</v>
      </c>
      <c r="E399" s="54">
        <f t="shared" si="81"/>
        <v>4.2</v>
      </c>
      <c r="F399" s="54">
        <f t="shared" si="90"/>
        <v>27.3</v>
      </c>
      <c r="G399" s="54">
        <f t="shared" si="91"/>
        <v>268.8</v>
      </c>
      <c r="H399" s="54">
        <f t="shared" si="83"/>
        <v>300.3</v>
      </c>
      <c r="I399" s="40">
        <f t="shared" si="84"/>
        <v>23.020000000000003</v>
      </c>
      <c r="J399" s="40">
        <f t="shared" si="92"/>
        <v>97.63</v>
      </c>
      <c r="K399" s="40">
        <f t="shared" si="93"/>
        <v>865.28</v>
      </c>
      <c r="L399" s="179">
        <f t="shared" si="85"/>
        <v>985.93</v>
      </c>
      <c r="M399" s="54">
        <f t="shared" si="86"/>
        <v>48.342000000000006</v>
      </c>
      <c r="N399" s="54">
        <f t="shared" si="87"/>
        <v>205.023</v>
      </c>
      <c r="O399" s="54">
        <f t="shared" si="88"/>
        <v>1817.088</v>
      </c>
      <c r="P399" s="54">
        <f t="shared" si="89"/>
        <v>2070.453</v>
      </c>
    </row>
    <row r="400" spans="2:16" ht="15" customHeight="1" x14ac:dyDescent="0.3">
      <c r="B400" s="164">
        <v>144</v>
      </c>
      <c r="C400" s="165">
        <v>1</v>
      </c>
      <c r="D400" s="165">
        <f t="shared" si="82"/>
        <v>1.05</v>
      </c>
      <c r="E400" s="54">
        <f t="shared" si="81"/>
        <v>2.1</v>
      </c>
      <c r="F400" s="54">
        <f t="shared" si="90"/>
        <v>13.65</v>
      </c>
      <c r="G400" s="54">
        <f t="shared" si="91"/>
        <v>135.45000000000002</v>
      </c>
      <c r="H400" s="54">
        <f t="shared" si="83"/>
        <v>151.20000000000002</v>
      </c>
      <c r="I400" s="40">
        <f t="shared" si="84"/>
        <v>23.020000000000003</v>
      </c>
      <c r="J400" s="40">
        <f t="shared" si="92"/>
        <v>97.63</v>
      </c>
      <c r="K400" s="40">
        <f t="shared" si="93"/>
        <v>872.04</v>
      </c>
      <c r="L400" s="179">
        <f t="shared" si="85"/>
        <v>992.68999999999994</v>
      </c>
      <c r="M400" s="54">
        <f t="shared" si="86"/>
        <v>24.171000000000003</v>
      </c>
      <c r="N400" s="54">
        <f t="shared" si="87"/>
        <v>102.5115</v>
      </c>
      <c r="O400" s="54">
        <f t="shared" si="88"/>
        <v>915.64200000000005</v>
      </c>
      <c r="P400" s="54">
        <f t="shared" si="89"/>
        <v>1042.3245000000002</v>
      </c>
    </row>
    <row r="401" spans="2:16" ht="15" customHeight="1" x14ac:dyDescent="0.3">
      <c r="B401" s="164">
        <v>146</v>
      </c>
      <c r="C401" s="165">
        <v>2</v>
      </c>
      <c r="D401" s="165">
        <f t="shared" si="82"/>
        <v>2.1</v>
      </c>
      <c r="E401" s="54">
        <f t="shared" si="81"/>
        <v>4.2</v>
      </c>
      <c r="F401" s="54">
        <f t="shared" si="90"/>
        <v>27.3</v>
      </c>
      <c r="G401" s="54">
        <f t="shared" si="91"/>
        <v>275.10000000000002</v>
      </c>
      <c r="H401" s="54">
        <f t="shared" si="83"/>
        <v>306.60000000000002</v>
      </c>
      <c r="I401" s="40">
        <f t="shared" si="84"/>
        <v>23.020000000000003</v>
      </c>
      <c r="J401" s="40">
        <f t="shared" si="92"/>
        <v>97.63</v>
      </c>
      <c r="K401" s="40">
        <f t="shared" si="93"/>
        <v>885.56</v>
      </c>
      <c r="L401" s="179">
        <f t="shared" si="85"/>
        <v>1006.2099999999999</v>
      </c>
      <c r="M401" s="54">
        <f t="shared" si="86"/>
        <v>48.342000000000006</v>
      </c>
      <c r="N401" s="54">
        <f t="shared" si="87"/>
        <v>205.023</v>
      </c>
      <c r="O401" s="54">
        <f t="shared" si="88"/>
        <v>1859.6759999999999</v>
      </c>
      <c r="P401" s="54">
        <f t="shared" si="89"/>
        <v>2113.0410000000002</v>
      </c>
    </row>
    <row r="402" spans="2:16" ht="15" customHeight="1" x14ac:dyDescent="0.3">
      <c r="B402" s="164">
        <v>147</v>
      </c>
      <c r="C402" s="165">
        <v>1</v>
      </c>
      <c r="D402" s="165">
        <f t="shared" si="82"/>
        <v>1.05</v>
      </c>
      <c r="E402" s="54">
        <f t="shared" si="81"/>
        <v>2.1</v>
      </c>
      <c r="F402" s="54">
        <f t="shared" si="90"/>
        <v>13.65</v>
      </c>
      <c r="G402" s="54">
        <f t="shared" si="91"/>
        <v>138.6</v>
      </c>
      <c r="H402" s="54">
        <f t="shared" si="83"/>
        <v>154.35</v>
      </c>
      <c r="I402" s="40">
        <f t="shared" si="84"/>
        <v>23.020000000000003</v>
      </c>
      <c r="J402" s="40">
        <f t="shared" si="92"/>
        <v>97.63</v>
      </c>
      <c r="K402" s="40">
        <f t="shared" si="93"/>
        <v>892.31999999999994</v>
      </c>
      <c r="L402" s="179">
        <f t="shared" si="85"/>
        <v>1012.9699999999999</v>
      </c>
      <c r="M402" s="54">
        <f t="shared" si="86"/>
        <v>24.171000000000003</v>
      </c>
      <c r="N402" s="54">
        <f t="shared" si="87"/>
        <v>102.5115</v>
      </c>
      <c r="O402" s="54">
        <f t="shared" si="88"/>
        <v>936.93599999999992</v>
      </c>
      <c r="P402" s="54">
        <f t="shared" si="89"/>
        <v>1063.6185</v>
      </c>
    </row>
    <row r="403" spans="2:16" ht="15" customHeight="1" x14ac:dyDescent="0.3">
      <c r="B403" s="164">
        <v>148</v>
      </c>
      <c r="C403" s="165">
        <v>1</v>
      </c>
      <c r="D403" s="165">
        <f t="shared" si="82"/>
        <v>1.05</v>
      </c>
      <c r="E403" s="54">
        <f t="shared" si="81"/>
        <v>2.1</v>
      </c>
      <c r="F403" s="54">
        <f t="shared" si="90"/>
        <v>13.65</v>
      </c>
      <c r="G403" s="54">
        <f t="shared" si="91"/>
        <v>139.65</v>
      </c>
      <c r="H403" s="54">
        <f t="shared" si="83"/>
        <v>155.4</v>
      </c>
      <c r="I403" s="40">
        <f t="shared" si="84"/>
        <v>23.020000000000003</v>
      </c>
      <c r="J403" s="40">
        <f t="shared" si="92"/>
        <v>97.63</v>
      </c>
      <c r="K403" s="40">
        <f t="shared" si="93"/>
        <v>899.07999999999993</v>
      </c>
      <c r="L403" s="179">
        <f t="shared" si="85"/>
        <v>1019.7299999999999</v>
      </c>
      <c r="M403" s="54">
        <f t="shared" si="86"/>
        <v>24.171000000000003</v>
      </c>
      <c r="N403" s="54">
        <f t="shared" si="87"/>
        <v>102.5115</v>
      </c>
      <c r="O403" s="54">
        <f t="shared" si="88"/>
        <v>944.03399999999999</v>
      </c>
      <c r="P403" s="54">
        <f t="shared" si="89"/>
        <v>1070.7165</v>
      </c>
    </row>
    <row r="404" spans="2:16" ht="15" customHeight="1" x14ac:dyDescent="0.3">
      <c r="B404" s="164">
        <v>149</v>
      </c>
      <c r="C404" s="165">
        <v>2</v>
      </c>
      <c r="D404" s="165">
        <f t="shared" si="82"/>
        <v>2.1</v>
      </c>
      <c r="E404" s="54">
        <f t="shared" si="81"/>
        <v>4.2</v>
      </c>
      <c r="F404" s="54">
        <f t="shared" si="90"/>
        <v>27.3</v>
      </c>
      <c r="G404" s="54">
        <f t="shared" si="91"/>
        <v>281.40000000000003</v>
      </c>
      <c r="H404" s="54">
        <f t="shared" si="83"/>
        <v>312.90000000000003</v>
      </c>
      <c r="I404" s="40">
        <f t="shared" si="84"/>
        <v>23.020000000000003</v>
      </c>
      <c r="J404" s="40">
        <f t="shared" si="92"/>
        <v>97.63</v>
      </c>
      <c r="K404" s="40">
        <f t="shared" si="93"/>
        <v>905.83999999999992</v>
      </c>
      <c r="L404" s="179">
        <f t="shared" si="85"/>
        <v>1026.49</v>
      </c>
      <c r="M404" s="54">
        <f t="shared" si="86"/>
        <v>48.342000000000006</v>
      </c>
      <c r="N404" s="54">
        <f t="shared" si="87"/>
        <v>205.023</v>
      </c>
      <c r="O404" s="54">
        <f t="shared" si="88"/>
        <v>1902.2639999999999</v>
      </c>
      <c r="P404" s="54">
        <f t="shared" si="89"/>
        <v>2155.6289999999999</v>
      </c>
    </row>
    <row r="405" spans="2:16" ht="15" customHeight="1" x14ac:dyDescent="0.3">
      <c r="B405" s="164">
        <v>150</v>
      </c>
      <c r="C405" s="165">
        <v>3</v>
      </c>
      <c r="D405" s="165">
        <f t="shared" si="82"/>
        <v>3.1500000000000004</v>
      </c>
      <c r="E405" s="54">
        <f t="shared" si="81"/>
        <v>6.3000000000000007</v>
      </c>
      <c r="F405" s="54">
        <f t="shared" si="90"/>
        <v>40.950000000000003</v>
      </c>
      <c r="G405" s="54">
        <f t="shared" si="91"/>
        <v>425.25000000000006</v>
      </c>
      <c r="H405" s="54">
        <f t="shared" si="83"/>
        <v>472.50000000000006</v>
      </c>
      <c r="I405" s="40">
        <f t="shared" si="84"/>
        <v>23.020000000000003</v>
      </c>
      <c r="J405" s="40">
        <f t="shared" si="92"/>
        <v>97.63</v>
      </c>
      <c r="K405" s="40">
        <f t="shared" si="93"/>
        <v>912.6</v>
      </c>
      <c r="L405" s="179">
        <f t="shared" si="85"/>
        <v>1033.25</v>
      </c>
      <c r="M405" s="54">
        <f t="shared" si="86"/>
        <v>72.513000000000019</v>
      </c>
      <c r="N405" s="54">
        <f t="shared" si="87"/>
        <v>307.53450000000004</v>
      </c>
      <c r="O405" s="54">
        <f t="shared" si="88"/>
        <v>2874.6900000000005</v>
      </c>
      <c r="P405" s="54">
        <f t="shared" si="89"/>
        <v>3254.7375000000006</v>
      </c>
    </row>
    <row r="406" spans="2:16" ht="15" customHeight="1" x14ac:dyDescent="0.3">
      <c r="B406" s="164">
        <v>151</v>
      </c>
      <c r="C406" s="165">
        <v>3</v>
      </c>
      <c r="D406" s="165">
        <f t="shared" si="82"/>
        <v>3.1500000000000004</v>
      </c>
      <c r="E406" s="54">
        <f t="shared" si="81"/>
        <v>6.3000000000000007</v>
      </c>
      <c r="F406" s="54">
        <f t="shared" si="90"/>
        <v>40.950000000000003</v>
      </c>
      <c r="G406" s="54">
        <f t="shared" si="91"/>
        <v>428.40000000000003</v>
      </c>
      <c r="H406" s="54">
        <f t="shared" si="83"/>
        <v>475.65000000000003</v>
      </c>
      <c r="I406" s="40">
        <f t="shared" si="84"/>
        <v>23.020000000000003</v>
      </c>
      <c r="J406" s="40">
        <f t="shared" si="92"/>
        <v>97.63</v>
      </c>
      <c r="K406" s="40">
        <f t="shared" si="93"/>
        <v>919.36</v>
      </c>
      <c r="L406" s="179">
        <f t="shared" si="85"/>
        <v>1040.01</v>
      </c>
      <c r="M406" s="54">
        <f t="shared" si="86"/>
        <v>72.513000000000019</v>
      </c>
      <c r="N406" s="54">
        <f t="shared" si="87"/>
        <v>307.53450000000004</v>
      </c>
      <c r="O406" s="54">
        <f t="shared" si="88"/>
        <v>2895.9840000000004</v>
      </c>
      <c r="P406" s="54">
        <f t="shared" si="89"/>
        <v>3276.0315000000005</v>
      </c>
    </row>
    <row r="407" spans="2:16" ht="15" customHeight="1" x14ac:dyDescent="0.3">
      <c r="B407" s="164">
        <v>152</v>
      </c>
      <c r="C407" s="165">
        <v>1</v>
      </c>
      <c r="D407" s="165">
        <f t="shared" si="82"/>
        <v>1.05</v>
      </c>
      <c r="E407" s="54">
        <f t="shared" si="81"/>
        <v>2.1</v>
      </c>
      <c r="F407" s="54">
        <f t="shared" si="90"/>
        <v>13.65</v>
      </c>
      <c r="G407" s="54">
        <f t="shared" si="91"/>
        <v>143.85</v>
      </c>
      <c r="H407" s="54">
        <f t="shared" si="83"/>
        <v>159.6</v>
      </c>
      <c r="I407" s="40">
        <f t="shared" si="84"/>
        <v>23.020000000000003</v>
      </c>
      <c r="J407" s="40">
        <f t="shared" si="92"/>
        <v>97.63</v>
      </c>
      <c r="K407" s="40">
        <f t="shared" si="93"/>
        <v>926.12</v>
      </c>
      <c r="L407" s="179">
        <f t="shared" si="85"/>
        <v>1046.77</v>
      </c>
      <c r="M407" s="54">
        <f t="shared" si="86"/>
        <v>24.171000000000003</v>
      </c>
      <c r="N407" s="54">
        <f t="shared" si="87"/>
        <v>102.5115</v>
      </c>
      <c r="O407" s="54">
        <f t="shared" si="88"/>
        <v>972.42600000000004</v>
      </c>
      <c r="P407" s="54">
        <f t="shared" si="89"/>
        <v>1099.1085</v>
      </c>
    </row>
    <row r="408" spans="2:16" ht="15" customHeight="1" x14ac:dyDescent="0.3">
      <c r="B408" s="164">
        <v>154</v>
      </c>
      <c r="C408" s="165">
        <v>1</v>
      </c>
      <c r="D408" s="165">
        <f t="shared" si="82"/>
        <v>1.05</v>
      </c>
      <c r="E408" s="54">
        <f t="shared" si="81"/>
        <v>2.1</v>
      </c>
      <c r="F408" s="54">
        <f t="shared" si="90"/>
        <v>13.65</v>
      </c>
      <c r="G408" s="54">
        <f t="shared" si="91"/>
        <v>145.95000000000002</v>
      </c>
      <c r="H408" s="54">
        <f t="shared" si="83"/>
        <v>161.70000000000002</v>
      </c>
      <c r="I408" s="40">
        <f t="shared" si="84"/>
        <v>23.020000000000003</v>
      </c>
      <c r="J408" s="40">
        <f t="shared" si="92"/>
        <v>97.63</v>
      </c>
      <c r="K408" s="40">
        <f t="shared" si="93"/>
        <v>939.64</v>
      </c>
      <c r="L408" s="179">
        <f t="shared" si="85"/>
        <v>1060.29</v>
      </c>
      <c r="M408" s="54">
        <f t="shared" si="86"/>
        <v>24.171000000000003</v>
      </c>
      <c r="N408" s="54">
        <f t="shared" si="87"/>
        <v>102.5115</v>
      </c>
      <c r="O408" s="54">
        <f t="shared" si="88"/>
        <v>986.62200000000007</v>
      </c>
      <c r="P408" s="54">
        <f t="shared" si="89"/>
        <v>1113.3045000000002</v>
      </c>
    </row>
    <row r="409" spans="2:16" ht="15" customHeight="1" x14ac:dyDescent="0.3">
      <c r="B409" s="164">
        <v>156</v>
      </c>
      <c r="C409" s="165">
        <v>2</v>
      </c>
      <c r="D409" s="165">
        <f t="shared" si="82"/>
        <v>2.1</v>
      </c>
      <c r="E409" s="54">
        <f t="shared" si="81"/>
        <v>4.2</v>
      </c>
      <c r="F409" s="54">
        <f t="shared" si="90"/>
        <v>27.3</v>
      </c>
      <c r="G409" s="54">
        <f t="shared" si="91"/>
        <v>296.10000000000002</v>
      </c>
      <c r="H409" s="54">
        <f t="shared" si="83"/>
        <v>327.60000000000002</v>
      </c>
      <c r="I409" s="40">
        <f t="shared" si="84"/>
        <v>23.020000000000003</v>
      </c>
      <c r="J409" s="40">
        <f t="shared" si="92"/>
        <v>97.63</v>
      </c>
      <c r="K409" s="40">
        <f t="shared" si="93"/>
        <v>953.16</v>
      </c>
      <c r="L409" s="179">
        <f t="shared" si="85"/>
        <v>1073.81</v>
      </c>
      <c r="M409" s="54">
        <f t="shared" si="86"/>
        <v>48.342000000000006</v>
      </c>
      <c r="N409" s="54">
        <f t="shared" si="87"/>
        <v>205.023</v>
      </c>
      <c r="O409" s="54">
        <f t="shared" si="88"/>
        <v>2001.636</v>
      </c>
      <c r="P409" s="54">
        <f t="shared" si="89"/>
        <v>2255.0010000000002</v>
      </c>
    </row>
    <row r="410" spans="2:16" ht="15" customHeight="1" x14ac:dyDescent="0.3">
      <c r="B410" s="164">
        <v>157</v>
      </c>
      <c r="C410" s="165">
        <v>1</v>
      </c>
      <c r="D410" s="165">
        <f t="shared" si="82"/>
        <v>1.05</v>
      </c>
      <c r="E410" s="54">
        <f t="shared" si="81"/>
        <v>2.1</v>
      </c>
      <c r="F410" s="54">
        <f t="shared" si="90"/>
        <v>13.65</v>
      </c>
      <c r="G410" s="54">
        <f t="shared" si="91"/>
        <v>149.1</v>
      </c>
      <c r="H410" s="54">
        <f t="shared" si="83"/>
        <v>164.85</v>
      </c>
      <c r="I410" s="40">
        <f t="shared" si="84"/>
        <v>23.020000000000003</v>
      </c>
      <c r="J410" s="40">
        <f t="shared" si="92"/>
        <v>97.63</v>
      </c>
      <c r="K410" s="40">
        <f t="shared" si="93"/>
        <v>959.92</v>
      </c>
      <c r="L410" s="179">
        <f t="shared" si="85"/>
        <v>1080.57</v>
      </c>
      <c r="M410" s="54">
        <f t="shared" si="86"/>
        <v>24.171000000000003</v>
      </c>
      <c r="N410" s="54">
        <f t="shared" si="87"/>
        <v>102.5115</v>
      </c>
      <c r="O410" s="54">
        <f t="shared" si="88"/>
        <v>1007.9160000000001</v>
      </c>
      <c r="P410" s="54">
        <f t="shared" si="89"/>
        <v>1134.5985000000001</v>
      </c>
    </row>
    <row r="411" spans="2:16" ht="15" customHeight="1" x14ac:dyDescent="0.3">
      <c r="B411" s="164">
        <v>158</v>
      </c>
      <c r="C411" s="165">
        <v>1</v>
      </c>
      <c r="D411" s="165">
        <f t="shared" si="82"/>
        <v>1.05</v>
      </c>
      <c r="E411" s="54">
        <f t="shared" si="81"/>
        <v>2.1</v>
      </c>
      <c r="F411" s="54">
        <f t="shared" si="90"/>
        <v>13.65</v>
      </c>
      <c r="G411" s="54">
        <f t="shared" si="91"/>
        <v>150.15</v>
      </c>
      <c r="H411" s="54">
        <f t="shared" si="83"/>
        <v>165.9</v>
      </c>
      <c r="I411" s="40">
        <f t="shared" si="84"/>
        <v>23.020000000000003</v>
      </c>
      <c r="J411" s="40">
        <f t="shared" si="92"/>
        <v>97.63</v>
      </c>
      <c r="K411" s="40">
        <f t="shared" si="93"/>
        <v>966.68</v>
      </c>
      <c r="L411" s="179">
        <f t="shared" si="85"/>
        <v>1087.33</v>
      </c>
      <c r="M411" s="54">
        <f t="shared" si="86"/>
        <v>24.171000000000003</v>
      </c>
      <c r="N411" s="54">
        <f t="shared" si="87"/>
        <v>102.5115</v>
      </c>
      <c r="O411" s="54">
        <f t="shared" si="88"/>
        <v>1015.014</v>
      </c>
      <c r="P411" s="54">
        <f t="shared" si="89"/>
        <v>1141.6965</v>
      </c>
    </row>
    <row r="412" spans="2:16" ht="15" customHeight="1" x14ac:dyDescent="0.3">
      <c r="B412" s="164">
        <v>160</v>
      </c>
      <c r="C412" s="165">
        <v>1</v>
      </c>
      <c r="D412" s="165">
        <f t="shared" si="82"/>
        <v>1.05</v>
      </c>
      <c r="E412" s="54">
        <f t="shared" si="81"/>
        <v>2.1</v>
      </c>
      <c r="F412" s="54">
        <f t="shared" si="90"/>
        <v>13.65</v>
      </c>
      <c r="G412" s="54">
        <f t="shared" si="91"/>
        <v>152.25</v>
      </c>
      <c r="H412" s="54">
        <f t="shared" si="83"/>
        <v>168</v>
      </c>
      <c r="I412" s="40">
        <f t="shared" si="84"/>
        <v>23.020000000000003</v>
      </c>
      <c r="J412" s="40">
        <f t="shared" si="92"/>
        <v>97.63</v>
      </c>
      <c r="K412" s="40">
        <f t="shared" si="93"/>
        <v>980.19999999999993</v>
      </c>
      <c r="L412" s="179">
        <f t="shared" si="85"/>
        <v>1100.8499999999999</v>
      </c>
      <c r="M412" s="54">
        <f t="shared" si="86"/>
        <v>24.171000000000003</v>
      </c>
      <c r="N412" s="54">
        <f t="shared" si="87"/>
        <v>102.5115</v>
      </c>
      <c r="O412" s="54">
        <f t="shared" si="88"/>
        <v>1029.21</v>
      </c>
      <c r="P412" s="54">
        <f t="shared" si="89"/>
        <v>1155.8924999999999</v>
      </c>
    </row>
    <row r="413" spans="2:16" ht="15" customHeight="1" x14ac:dyDescent="0.3">
      <c r="B413" s="164">
        <v>161</v>
      </c>
      <c r="C413" s="165">
        <v>1</v>
      </c>
      <c r="D413" s="165">
        <f t="shared" si="82"/>
        <v>1.05</v>
      </c>
      <c r="E413" s="54">
        <f t="shared" si="81"/>
        <v>2.1</v>
      </c>
      <c r="F413" s="54">
        <f t="shared" si="90"/>
        <v>13.65</v>
      </c>
      <c r="G413" s="54">
        <f t="shared" si="91"/>
        <v>153.30000000000001</v>
      </c>
      <c r="H413" s="54">
        <f t="shared" si="83"/>
        <v>169.05</v>
      </c>
      <c r="I413" s="40">
        <f t="shared" si="84"/>
        <v>23.020000000000003</v>
      </c>
      <c r="J413" s="40">
        <f t="shared" si="92"/>
        <v>97.63</v>
      </c>
      <c r="K413" s="40">
        <f t="shared" si="93"/>
        <v>986.95999999999992</v>
      </c>
      <c r="L413" s="179">
        <f t="shared" si="85"/>
        <v>1107.6099999999999</v>
      </c>
      <c r="M413" s="54">
        <f t="shared" si="86"/>
        <v>24.171000000000003</v>
      </c>
      <c r="N413" s="54">
        <f t="shared" si="87"/>
        <v>102.5115</v>
      </c>
      <c r="O413" s="54">
        <f t="shared" si="88"/>
        <v>1036.308</v>
      </c>
      <c r="P413" s="54">
        <f t="shared" si="89"/>
        <v>1162.9904999999999</v>
      </c>
    </row>
    <row r="414" spans="2:16" ht="15" customHeight="1" x14ac:dyDescent="0.3">
      <c r="B414" s="164">
        <v>162</v>
      </c>
      <c r="C414" s="165">
        <v>2</v>
      </c>
      <c r="D414" s="165">
        <f t="shared" si="82"/>
        <v>2.1</v>
      </c>
      <c r="E414" s="54">
        <f t="shared" si="81"/>
        <v>4.2</v>
      </c>
      <c r="F414" s="54">
        <f t="shared" si="90"/>
        <v>27.3</v>
      </c>
      <c r="G414" s="54">
        <f t="shared" si="91"/>
        <v>308.7</v>
      </c>
      <c r="H414" s="54">
        <f t="shared" si="83"/>
        <v>340.2</v>
      </c>
      <c r="I414" s="40">
        <f t="shared" si="84"/>
        <v>23.020000000000003</v>
      </c>
      <c r="J414" s="40">
        <f t="shared" si="92"/>
        <v>97.63</v>
      </c>
      <c r="K414" s="40">
        <f t="shared" si="93"/>
        <v>993.71999999999991</v>
      </c>
      <c r="L414" s="179">
        <f t="shared" si="85"/>
        <v>1114.3699999999999</v>
      </c>
      <c r="M414" s="54">
        <f t="shared" si="86"/>
        <v>48.342000000000006</v>
      </c>
      <c r="N414" s="54">
        <f t="shared" si="87"/>
        <v>205.023</v>
      </c>
      <c r="O414" s="54">
        <f t="shared" si="88"/>
        <v>2086.8119999999999</v>
      </c>
      <c r="P414" s="54">
        <f t="shared" si="89"/>
        <v>2340.1769999999997</v>
      </c>
    </row>
    <row r="415" spans="2:16" ht="15" customHeight="1" x14ac:dyDescent="0.3">
      <c r="B415" s="164">
        <v>163</v>
      </c>
      <c r="C415" s="165">
        <v>2</v>
      </c>
      <c r="D415" s="165">
        <f t="shared" si="82"/>
        <v>2.1</v>
      </c>
      <c r="E415" s="54">
        <f t="shared" si="81"/>
        <v>4.2</v>
      </c>
      <c r="F415" s="54">
        <f t="shared" si="90"/>
        <v>27.3</v>
      </c>
      <c r="G415" s="54">
        <f t="shared" si="91"/>
        <v>310.8</v>
      </c>
      <c r="H415" s="54">
        <f t="shared" si="83"/>
        <v>342.3</v>
      </c>
      <c r="I415" s="40">
        <f t="shared" si="84"/>
        <v>23.020000000000003</v>
      </c>
      <c r="J415" s="40">
        <f t="shared" si="92"/>
        <v>97.63</v>
      </c>
      <c r="K415" s="40">
        <f t="shared" si="93"/>
        <v>1000.48</v>
      </c>
      <c r="L415" s="179">
        <f t="shared" si="85"/>
        <v>1121.1300000000001</v>
      </c>
      <c r="M415" s="54">
        <f t="shared" si="86"/>
        <v>48.342000000000006</v>
      </c>
      <c r="N415" s="54">
        <f t="shared" si="87"/>
        <v>205.023</v>
      </c>
      <c r="O415" s="54">
        <f t="shared" si="88"/>
        <v>2101.0080000000003</v>
      </c>
      <c r="P415" s="54">
        <f t="shared" si="89"/>
        <v>2354.3730000000005</v>
      </c>
    </row>
    <row r="416" spans="2:16" ht="15" customHeight="1" x14ac:dyDescent="0.3">
      <c r="B416" s="164">
        <v>164</v>
      </c>
      <c r="C416" s="165">
        <v>1</v>
      </c>
      <c r="D416" s="165">
        <f t="shared" si="82"/>
        <v>1.05</v>
      </c>
      <c r="E416" s="54">
        <f t="shared" si="81"/>
        <v>2.1</v>
      </c>
      <c r="F416" s="54">
        <f t="shared" si="90"/>
        <v>13.65</v>
      </c>
      <c r="G416" s="54">
        <f t="shared" si="91"/>
        <v>156.45000000000002</v>
      </c>
      <c r="H416" s="54">
        <f t="shared" si="83"/>
        <v>172.20000000000002</v>
      </c>
      <c r="I416" s="40">
        <f t="shared" si="84"/>
        <v>23.020000000000003</v>
      </c>
      <c r="J416" s="40">
        <f t="shared" si="92"/>
        <v>97.63</v>
      </c>
      <c r="K416" s="40">
        <f t="shared" si="93"/>
        <v>1007.24</v>
      </c>
      <c r="L416" s="179">
        <f t="shared" si="85"/>
        <v>1127.8900000000001</v>
      </c>
      <c r="M416" s="54">
        <f t="shared" si="86"/>
        <v>24.171000000000003</v>
      </c>
      <c r="N416" s="54">
        <f t="shared" si="87"/>
        <v>102.5115</v>
      </c>
      <c r="O416" s="54">
        <f t="shared" si="88"/>
        <v>1057.6020000000001</v>
      </c>
      <c r="P416" s="54">
        <f t="shared" si="89"/>
        <v>1184.2845000000002</v>
      </c>
    </row>
    <row r="417" spans="2:16" ht="15" customHeight="1" x14ac:dyDescent="0.3">
      <c r="B417" s="164">
        <v>165</v>
      </c>
      <c r="C417" s="165">
        <v>1</v>
      </c>
      <c r="D417" s="165">
        <f t="shared" si="82"/>
        <v>1.05</v>
      </c>
      <c r="E417" s="54">
        <f t="shared" si="81"/>
        <v>2.1</v>
      </c>
      <c r="F417" s="54">
        <f t="shared" si="90"/>
        <v>13.65</v>
      </c>
      <c r="G417" s="54">
        <f t="shared" si="91"/>
        <v>157.5</v>
      </c>
      <c r="H417" s="54">
        <f t="shared" si="83"/>
        <v>173.25</v>
      </c>
      <c r="I417" s="40">
        <f t="shared" si="84"/>
        <v>23.020000000000003</v>
      </c>
      <c r="J417" s="40">
        <f t="shared" si="92"/>
        <v>97.63</v>
      </c>
      <c r="K417" s="40">
        <f t="shared" si="93"/>
        <v>1014</v>
      </c>
      <c r="L417" s="179">
        <f t="shared" si="85"/>
        <v>1134.6500000000001</v>
      </c>
      <c r="M417" s="54">
        <f t="shared" si="86"/>
        <v>24.171000000000003</v>
      </c>
      <c r="N417" s="54">
        <f t="shared" si="87"/>
        <v>102.5115</v>
      </c>
      <c r="O417" s="54">
        <f t="shared" si="88"/>
        <v>1064.7</v>
      </c>
      <c r="P417" s="54">
        <f t="shared" si="89"/>
        <v>1191.3825000000002</v>
      </c>
    </row>
    <row r="418" spans="2:16" ht="15" customHeight="1" x14ac:dyDescent="0.3">
      <c r="B418" s="164">
        <v>166</v>
      </c>
      <c r="C418" s="165">
        <v>1</v>
      </c>
      <c r="D418" s="165">
        <f t="shared" si="82"/>
        <v>1.05</v>
      </c>
      <c r="E418" s="54">
        <f t="shared" si="81"/>
        <v>2.1</v>
      </c>
      <c r="F418" s="54">
        <f t="shared" si="90"/>
        <v>13.65</v>
      </c>
      <c r="G418" s="54">
        <f t="shared" si="91"/>
        <v>158.55000000000001</v>
      </c>
      <c r="H418" s="54">
        <f t="shared" si="83"/>
        <v>174.3</v>
      </c>
      <c r="I418" s="40">
        <f t="shared" si="84"/>
        <v>23.020000000000003</v>
      </c>
      <c r="J418" s="40">
        <f t="shared" si="92"/>
        <v>97.63</v>
      </c>
      <c r="K418" s="40">
        <f t="shared" si="93"/>
        <v>1020.76</v>
      </c>
      <c r="L418" s="179">
        <f t="shared" si="85"/>
        <v>1141.4100000000001</v>
      </c>
      <c r="M418" s="54">
        <f t="shared" si="86"/>
        <v>24.171000000000003</v>
      </c>
      <c r="N418" s="54">
        <f t="shared" si="87"/>
        <v>102.5115</v>
      </c>
      <c r="O418" s="54">
        <f t="shared" si="88"/>
        <v>1071.798</v>
      </c>
      <c r="P418" s="54">
        <f t="shared" si="89"/>
        <v>1198.4805000000001</v>
      </c>
    </row>
    <row r="419" spans="2:16" ht="15" customHeight="1" x14ac:dyDescent="0.3">
      <c r="B419" s="164">
        <v>167</v>
      </c>
      <c r="C419" s="165">
        <v>1</v>
      </c>
      <c r="D419" s="165">
        <f t="shared" si="82"/>
        <v>1.05</v>
      </c>
      <c r="E419" s="54">
        <f t="shared" si="81"/>
        <v>2.1</v>
      </c>
      <c r="F419" s="54">
        <f t="shared" si="90"/>
        <v>13.65</v>
      </c>
      <c r="G419" s="54">
        <f t="shared" si="91"/>
        <v>159.6</v>
      </c>
      <c r="H419" s="54">
        <f t="shared" si="83"/>
        <v>175.35</v>
      </c>
      <c r="I419" s="40">
        <f t="shared" si="84"/>
        <v>23.020000000000003</v>
      </c>
      <c r="J419" s="40">
        <f t="shared" si="92"/>
        <v>97.63</v>
      </c>
      <c r="K419" s="40">
        <f t="shared" si="93"/>
        <v>1027.52</v>
      </c>
      <c r="L419" s="179">
        <f t="shared" si="85"/>
        <v>1148.17</v>
      </c>
      <c r="M419" s="54">
        <f t="shared" si="86"/>
        <v>24.171000000000003</v>
      </c>
      <c r="N419" s="54">
        <f t="shared" si="87"/>
        <v>102.5115</v>
      </c>
      <c r="O419" s="54">
        <f t="shared" si="88"/>
        <v>1078.896</v>
      </c>
      <c r="P419" s="54">
        <f t="shared" si="89"/>
        <v>1205.5785000000001</v>
      </c>
    </row>
    <row r="420" spans="2:16" ht="15" customHeight="1" x14ac:dyDescent="0.3">
      <c r="B420" s="164">
        <v>168</v>
      </c>
      <c r="C420" s="165">
        <v>2</v>
      </c>
      <c r="D420" s="165">
        <f t="shared" si="82"/>
        <v>2.1</v>
      </c>
      <c r="E420" s="54">
        <f t="shared" si="81"/>
        <v>4.2</v>
      </c>
      <c r="F420" s="54">
        <f t="shared" si="90"/>
        <v>27.3</v>
      </c>
      <c r="G420" s="54">
        <f t="shared" si="91"/>
        <v>321.3</v>
      </c>
      <c r="H420" s="54">
        <f t="shared" si="83"/>
        <v>352.8</v>
      </c>
      <c r="I420" s="40">
        <f t="shared" si="84"/>
        <v>23.020000000000003</v>
      </c>
      <c r="J420" s="40">
        <f t="shared" si="92"/>
        <v>97.63</v>
      </c>
      <c r="K420" s="40">
        <f t="shared" si="93"/>
        <v>1034.28</v>
      </c>
      <c r="L420" s="179">
        <f t="shared" si="85"/>
        <v>1154.93</v>
      </c>
      <c r="M420" s="54">
        <f t="shared" si="86"/>
        <v>48.342000000000006</v>
      </c>
      <c r="N420" s="54">
        <f t="shared" si="87"/>
        <v>205.023</v>
      </c>
      <c r="O420" s="54">
        <f t="shared" si="88"/>
        <v>2171.9879999999998</v>
      </c>
      <c r="P420" s="54">
        <f t="shared" si="89"/>
        <v>2425.3530000000001</v>
      </c>
    </row>
    <row r="421" spans="2:16" ht="15" customHeight="1" x14ac:dyDescent="0.3">
      <c r="B421" s="164">
        <v>169</v>
      </c>
      <c r="C421" s="165">
        <v>3</v>
      </c>
      <c r="D421" s="165">
        <f t="shared" si="82"/>
        <v>3.1500000000000004</v>
      </c>
      <c r="E421" s="54">
        <f t="shared" si="81"/>
        <v>6.3000000000000007</v>
      </c>
      <c r="F421" s="54">
        <f t="shared" si="90"/>
        <v>40.950000000000003</v>
      </c>
      <c r="G421" s="54">
        <f t="shared" si="91"/>
        <v>485.10000000000008</v>
      </c>
      <c r="H421" s="54">
        <f t="shared" si="83"/>
        <v>532.35000000000014</v>
      </c>
      <c r="I421" s="40">
        <f t="shared" si="84"/>
        <v>23.020000000000003</v>
      </c>
      <c r="J421" s="40">
        <f t="shared" si="92"/>
        <v>97.63</v>
      </c>
      <c r="K421" s="40">
        <f t="shared" si="93"/>
        <v>1041.04</v>
      </c>
      <c r="L421" s="179">
        <f t="shared" si="85"/>
        <v>1161.69</v>
      </c>
      <c r="M421" s="54">
        <f t="shared" si="86"/>
        <v>72.513000000000019</v>
      </c>
      <c r="N421" s="54">
        <f t="shared" si="87"/>
        <v>307.53450000000004</v>
      </c>
      <c r="O421" s="54">
        <f t="shared" si="88"/>
        <v>3279.2760000000003</v>
      </c>
      <c r="P421" s="54">
        <f t="shared" si="89"/>
        <v>3659.3235000000004</v>
      </c>
    </row>
    <row r="422" spans="2:16" ht="15" customHeight="1" x14ac:dyDescent="0.3">
      <c r="B422" s="164">
        <v>171</v>
      </c>
      <c r="C422" s="165">
        <v>1</v>
      </c>
      <c r="D422" s="165">
        <f t="shared" si="82"/>
        <v>1.05</v>
      </c>
      <c r="E422" s="54">
        <f t="shared" si="81"/>
        <v>2.1</v>
      </c>
      <c r="F422" s="54">
        <f t="shared" si="90"/>
        <v>13.65</v>
      </c>
      <c r="G422" s="54">
        <f t="shared" si="91"/>
        <v>163.80000000000001</v>
      </c>
      <c r="H422" s="54">
        <f t="shared" si="83"/>
        <v>179.55</v>
      </c>
      <c r="I422" s="40">
        <f t="shared" si="84"/>
        <v>23.020000000000003</v>
      </c>
      <c r="J422" s="40">
        <f t="shared" si="92"/>
        <v>97.63</v>
      </c>
      <c r="K422" s="40">
        <f t="shared" si="93"/>
        <v>1054.56</v>
      </c>
      <c r="L422" s="179">
        <f t="shared" si="85"/>
        <v>1175.21</v>
      </c>
      <c r="M422" s="54">
        <f t="shared" si="86"/>
        <v>24.171000000000003</v>
      </c>
      <c r="N422" s="54">
        <f t="shared" si="87"/>
        <v>102.5115</v>
      </c>
      <c r="O422" s="54">
        <f t="shared" si="88"/>
        <v>1107.288</v>
      </c>
      <c r="P422" s="54">
        <f t="shared" si="89"/>
        <v>1233.9704999999999</v>
      </c>
    </row>
    <row r="423" spans="2:16" ht="15" customHeight="1" x14ac:dyDescent="0.3">
      <c r="B423" s="164">
        <v>172</v>
      </c>
      <c r="C423" s="165">
        <v>1</v>
      </c>
      <c r="D423" s="165">
        <f t="shared" si="82"/>
        <v>1.05</v>
      </c>
      <c r="E423" s="54">
        <f t="shared" si="81"/>
        <v>2.1</v>
      </c>
      <c r="F423" s="54">
        <f t="shared" si="90"/>
        <v>13.65</v>
      </c>
      <c r="G423" s="54">
        <f t="shared" si="91"/>
        <v>164.85</v>
      </c>
      <c r="H423" s="54">
        <f t="shared" si="83"/>
        <v>180.6</v>
      </c>
      <c r="I423" s="40">
        <f t="shared" si="84"/>
        <v>23.020000000000003</v>
      </c>
      <c r="J423" s="40">
        <f t="shared" si="92"/>
        <v>97.63</v>
      </c>
      <c r="K423" s="40">
        <f t="shared" si="93"/>
        <v>1061.32</v>
      </c>
      <c r="L423" s="179">
        <f t="shared" si="85"/>
        <v>1181.97</v>
      </c>
      <c r="M423" s="54">
        <f t="shared" si="86"/>
        <v>24.171000000000003</v>
      </c>
      <c r="N423" s="54">
        <f t="shared" si="87"/>
        <v>102.5115</v>
      </c>
      <c r="O423" s="54">
        <f t="shared" si="88"/>
        <v>1114.386</v>
      </c>
      <c r="P423" s="54">
        <f t="shared" si="89"/>
        <v>1241.0684999999999</v>
      </c>
    </row>
    <row r="424" spans="2:16" ht="15" customHeight="1" x14ac:dyDescent="0.3">
      <c r="B424" s="164">
        <v>173</v>
      </c>
      <c r="C424" s="165">
        <v>1</v>
      </c>
      <c r="D424" s="165">
        <f t="shared" si="82"/>
        <v>1.05</v>
      </c>
      <c r="E424" s="54">
        <f t="shared" si="81"/>
        <v>2.1</v>
      </c>
      <c r="F424" s="54">
        <f t="shared" si="90"/>
        <v>13.65</v>
      </c>
      <c r="G424" s="54">
        <f t="shared" si="91"/>
        <v>165.9</v>
      </c>
      <c r="H424" s="54">
        <f t="shared" si="83"/>
        <v>181.65</v>
      </c>
      <c r="I424" s="40">
        <f t="shared" si="84"/>
        <v>23.020000000000003</v>
      </c>
      <c r="J424" s="40">
        <f t="shared" si="92"/>
        <v>97.63</v>
      </c>
      <c r="K424" s="40">
        <f t="shared" si="93"/>
        <v>1068.08</v>
      </c>
      <c r="L424" s="179">
        <f t="shared" si="85"/>
        <v>1188.73</v>
      </c>
      <c r="M424" s="54">
        <f t="shared" si="86"/>
        <v>24.171000000000003</v>
      </c>
      <c r="N424" s="54">
        <f t="shared" si="87"/>
        <v>102.5115</v>
      </c>
      <c r="O424" s="54">
        <f t="shared" si="88"/>
        <v>1121.4839999999999</v>
      </c>
      <c r="P424" s="54">
        <f t="shared" si="89"/>
        <v>1248.1664999999998</v>
      </c>
    </row>
    <row r="425" spans="2:16" ht="15" customHeight="1" x14ac:dyDescent="0.3">
      <c r="B425" s="164">
        <v>174</v>
      </c>
      <c r="C425" s="165">
        <v>1</v>
      </c>
      <c r="D425" s="165">
        <f t="shared" si="82"/>
        <v>1.05</v>
      </c>
      <c r="E425" s="54">
        <f t="shared" si="81"/>
        <v>2.1</v>
      </c>
      <c r="F425" s="54">
        <f t="shared" si="90"/>
        <v>13.65</v>
      </c>
      <c r="G425" s="54">
        <f t="shared" si="91"/>
        <v>166.95000000000002</v>
      </c>
      <c r="H425" s="54">
        <f t="shared" si="83"/>
        <v>182.70000000000002</v>
      </c>
      <c r="I425" s="40">
        <f t="shared" si="84"/>
        <v>23.020000000000003</v>
      </c>
      <c r="J425" s="40">
        <f t="shared" si="92"/>
        <v>97.63</v>
      </c>
      <c r="K425" s="40">
        <f t="shared" si="93"/>
        <v>1074.8399999999999</v>
      </c>
      <c r="L425" s="179">
        <f t="shared" si="85"/>
        <v>1195.49</v>
      </c>
      <c r="M425" s="54">
        <f t="shared" si="86"/>
        <v>24.171000000000003</v>
      </c>
      <c r="N425" s="54">
        <f t="shared" si="87"/>
        <v>102.5115</v>
      </c>
      <c r="O425" s="54">
        <f t="shared" si="88"/>
        <v>1128.5819999999999</v>
      </c>
      <c r="P425" s="54">
        <f t="shared" si="89"/>
        <v>1255.2644999999998</v>
      </c>
    </row>
    <row r="426" spans="2:16" ht="15" customHeight="1" x14ac:dyDescent="0.3">
      <c r="B426" s="164">
        <v>175</v>
      </c>
      <c r="C426" s="165">
        <v>1</v>
      </c>
      <c r="D426" s="165">
        <f t="shared" si="82"/>
        <v>1.05</v>
      </c>
      <c r="E426" s="54">
        <f t="shared" si="81"/>
        <v>2.1</v>
      </c>
      <c r="F426" s="54">
        <f t="shared" si="90"/>
        <v>13.65</v>
      </c>
      <c r="G426" s="54">
        <f t="shared" si="91"/>
        <v>168</v>
      </c>
      <c r="H426" s="54">
        <f t="shared" si="83"/>
        <v>183.75</v>
      </c>
      <c r="I426" s="40">
        <f t="shared" si="84"/>
        <v>23.020000000000003</v>
      </c>
      <c r="J426" s="40">
        <f t="shared" si="92"/>
        <v>97.63</v>
      </c>
      <c r="K426" s="40">
        <f t="shared" si="93"/>
        <v>1081.5999999999999</v>
      </c>
      <c r="L426" s="179">
        <f t="shared" si="85"/>
        <v>1202.25</v>
      </c>
      <c r="M426" s="54">
        <f t="shared" si="86"/>
        <v>24.171000000000003</v>
      </c>
      <c r="N426" s="54">
        <f t="shared" si="87"/>
        <v>102.5115</v>
      </c>
      <c r="O426" s="54">
        <f t="shared" si="88"/>
        <v>1135.68</v>
      </c>
      <c r="P426" s="54">
        <f t="shared" si="89"/>
        <v>1262.3625000000002</v>
      </c>
    </row>
    <row r="427" spans="2:16" ht="15" customHeight="1" x14ac:dyDescent="0.3">
      <c r="B427" s="164">
        <v>176</v>
      </c>
      <c r="C427" s="165">
        <v>1</v>
      </c>
      <c r="D427" s="165">
        <f t="shared" si="82"/>
        <v>1.05</v>
      </c>
      <c r="E427" s="54">
        <f t="shared" si="81"/>
        <v>2.1</v>
      </c>
      <c r="F427" s="54">
        <f t="shared" si="90"/>
        <v>13.65</v>
      </c>
      <c r="G427" s="54">
        <f t="shared" si="91"/>
        <v>169.05</v>
      </c>
      <c r="H427" s="54">
        <f t="shared" si="83"/>
        <v>184.8</v>
      </c>
      <c r="I427" s="40">
        <f t="shared" si="84"/>
        <v>23.020000000000003</v>
      </c>
      <c r="J427" s="40">
        <f t="shared" si="92"/>
        <v>97.63</v>
      </c>
      <c r="K427" s="40">
        <f t="shared" si="93"/>
        <v>1088.3599999999999</v>
      </c>
      <c r="L427" s="179">
        <f t="shared" si="85"/>
        <v>1209.01</v>
      </c>
      <c r="M427" s="54">
        <f t="shared" si="86"/>
        <v>24.171000000000003</v>
      </c>
      <c r="N427" s="54">
        <f t="shared" si="87"/>
        <v>102.5115</v>
      </c>
      <c r="O427" s="54">
        <f t="shared" si="88"/>
        <v>1142.778</v>
      </c>
      <c r="P427" s="54">
        <f t="shared" si="89"/>
        <v>1269.4605000000001</v>
      </c>
    </row>
    <row r="428" spans="2:16" ht="15" customHeight="1" x14ac:dyDescent="0.3">
      <c r="B428" s="164">
        <v>178</v>
      </c>
      <c r="C428" s="165">
        <v>2</v>
      </c>
      <c r="D428" s="165">
        <f t="shared" si="82"/>
        <v>2.1</v>
      </c>
      <c r="E428" s="54">
        <f t="shared" si="81"/>
        <v>4.2</v>
      </c>
      <c r="F428" s="54">
        <f t="shared" si="90"/>
        <v>27.3</v>
      </c>
      <c r="G428" s="54">
        <f t="shared" si="91"/>
        <v>342.3</v>
      </c>
      <c r="H428" s="54">
        <f t="shared" si="83"/>
        <v>373.8</v>
      </c>
      <c r="I428" s="40">
        <f t="shared" si="84"/>
        <v>23.020000000000003</v>
      </c>
      <c r="J428" s="40">
        <f t="shared" si="92"/>
        <v>97.63</v>
      </c>
      <c r="K428" s="40">
        <f t="shared" si="93"/>
        <v>1101.8799999999999</v>
      </c>
      <c r="L428" s="179">
        <f t="shared" si="85"/>
        <v>1222.53</v>
      </c>
      <c r="M428" s="54">
        <f t="shared" si="86"/>
        <v>48.342000000000006</v>
      </c>
      <c r="N428" s="54">
        <f t="shared" si="87"/>
        <v>205.023</v>
      </c>
      <c r="O428" s="54">
        <f t="shared" si="88"/>
        <v>2313.9479999999999</v>
      </c>
      <c r="P428" s="54">
        <f t="shared" si="89"/>
        <v>2567.3130000000001</v>
      </c>
    </row>
    <row r="429" spans="2:16" ht="15" customHeight="1" x14ac:dyDescent="0.3">
      <c r="B429" s="164">
        <v>179</v>
      </c>
      <c r="C429" s="165">
        <v>2</v>
      </c>
      <c r="D429" s="165">
        <f t="shared" si="82"/>
        <v>2.1</v>
      </c>
      <c r="E429" s="54">
        <f t="shared" si="81"/>
        <v>4.2</v>
      </c>
      <c r="F429" s="54">
        <f t="shared" si="90"/>
        <v>27.3</v>
      </c>
      <c r="G429" s="54">
        <f t="shared" si="91"/>
        <v>344.40000000000003</v>
      </c>
      <c r="H429" s="54">
        <f t="shared" si="83"/>
        <v>375.90000000000003</v>
      </c>
      <c r="I429" s="40">
        <f t="shared" si="84"/>
        <v>23.020000000000003</v>
      </c>
      <c r="J429" s="40">
        <f t="shared" si="92"/>
        <v>97.63</v>
      </c>
      <c r="K429" s="40">
        <f t="shared" si="93"/>
        <v>1108.6399999999999</v>
      </c>
      <c r="L429" s="179">
        <f t="shared" si="85"/>
        <v>1229.29</v>
      </c>
      <c r="M429" s="54">
        <f t="shared" si="86"/>
        <v>48.342000000000006</v>
      </c>
      <c r="N429" s="54">
        <f t="shared" si="87"/>
        <v>205.023</v>
      </c>
      <c r="O429" s="54">
        <f t="shared" si="88"/>
        <v>2328.1439999999998</v>
      </c>
      <c r="P429" s="54">
        <f t="shared" si="89"/>
        <v>2581.509</v>
      </c>
    </row>
    <row r="430" spans="2:16" ht="15" customHeight="1" x14ac:dyDescent="0.3">
      <c r="B430" s="164">
        <v>180</v>
      </c>
      <c r="C430" s="165">
        <v>2</v>
      </c>
      <c r="D430" s="165">
        <f t="shared" si="82"/>
        <v>2.1</v>
      </c>
      <c r="E430" s="54">
        <f t="shared" si="81"/>
        <v>4.2</v>
      </c>
      <c r="F430" s="54">
        <f t="shared" si="90"/>
        <v>27.3</v>
      </c>
      <c r="G430" s="54">
        <f t="shared" si="91"/>
        <v>346.5</v>
      </c>
      <c r="H430" s="54">
        <f t="shared" si="83"/>
        <v>378</v>
      </c>
      <c r="I430" s="40">
        <f t="shared" si="84"/>
        <v>23.020000000000003</v>
      </c>
      <c r="J430" s="40">
        <f t="shared" si="92"/>
        <v>97.63</v>
      </c>
      <c r="K430" s="40">
        <f t="shared" si="93"/>
        <v>1115.3999999999999</v>
      </c>
      <c r="L430" s="179">
        <f t="shared" si="85"/>
        <v>1236.05</v>
      </c>
      <c r="M430" s="54">
        <f t="shared" si="86"/>
        <v>48.342000000000006</v>
      </c>
      <c r="N430" s="54">
        <f t="shared" si="87"/>
        <v>205.023</v>
      </c>
      <c r="O430" s="54">
        <f t="shared" si="88"/>
        <v>2342.3399999999997</v>
      </c>
      <c r="P430" s="54">
        <f t="shared" si="89"/>
        <v>2595.7049999999999</v>
      </c>
    </row>
    <row r="431" spans="2:16" ht="15" customHeight="1" x14ac:dyDescent="0.3">
      <c r="B431" s="164">
        <v>182</v>
      </c>
      <c r="C431" s="165">
        <v>3</v>
      </c>
      <c r="D431" s="165">
        <f t="shared" si="82"/>
        <v>3.1500000000000004</v>
      </c>
      <c r="E431" s="54">
        <f t="shared" si="81"/>
        <v>6.3000000000000007</v>
      </c>
      <c r="F431" s="54">
        <f t="shared" si="90"/>
        <v>40.950000000000003</v>
      </c>
      <c r="G431" s="54">
        <f t="shared" si="91"/>
        <v>526.05000000000007</v>
      </c>
      <c r="H431" s="54">
        <f t="shared" si="83"/>
        <v>573.30000000000007</v>
      </c>
      <c r="I431" s="40">
        <f t="shared" si="84"/>
        <v>23.020000000000003</v>
      </c>
      <c r="J431" s="40">
        <f t="shared" si="92"/>
        <v>97.63</v>
      </c>
      <c r="K431" s="40">
        <f t="shared" si="93"/>
        <v>1128.92</v>
      </c>
      <c r="L431" s="179">
        <f t="shared" si="85"/>
        <v>1249.5700000000002</v>
      </c>
      <c r="M431" s="54">
        <f t="shared" si="86"/>
        <v>72.513000000000019</v>
      </c>
      <c r="N431" s="54">
        <f t="shared" si="87"/>
        <v>307.53450000000004</v>
      </c>
      <c r="O431" s="54">
        <f t="shared" si="88"/>
        <v>3556.0980000000004</v>
      </c>
      <c r="P431" s="54">
        <f t="shared" si="89"/>
        <v>3936.1455000000005</v>
      </c>
    </row>
    <row r="432" spans="2:16" ht="15" customHeight="1" x14ac:dyDescent="0.3">
      <c r="B432" s="164">
        <v>184</v>
      </c>
      <c r="C432" s="165">
        <v>1</v>
      </c>
      <c r="D432" s="165">
        <f t="shared" si="82"/>
        <v>1.05</v>
      </c>
      <c r="E432" s="54">
        <f t="shared" si="81"/>
        <v>2.1</v>
      </c>
      <c r="F432" s="54">
        <f t="shared" si="90"/>
        <v>13.65</v>
      </c>
      <c r="G432" s="54">
        <f t="shared" si="91"/>
        <v>177.45000000000002</v>
      </c>
      <c r="H432" s="54">
        <f t="shared" si="83"/>
        <v>193.20000000000002</v>
      </c>
      <c r="I432" s="40">
        <f t="shared" si="84"/>
        <v>23.020000000000003</v>
      </c>
      <c r="J432" s="40">
        <f t="shared" si="92"/>
        <v>97.63</v>
      </c>
      <c r="K432" s="40">
        <f t="shared" si="93"/>
        <v>1142.44</v>
      </c>
      <c r="L432" s="179">
        <f t="shared" si="85"/>
        <v>1263.0900000000001</v>
      </c>
      <c r="M432" s="54">
        <f t="shared" si="86"/>
        <v>24.171000000000003</v>
      </c>
      <c r="N432" s="54">
        <f t="shared" si="87"/>
        <v>102.5115</v>
      </c>
      <c r="O432" s="54">
        <f t="shared" si="88"/>
        <v>1199.5620000000001</v>
      </c>
      <c r="P432" s="54">
        <f t="shared" si="89"/>
        <v>1326.2445000000002</v>
      </c>
    </row>
    <row r="433" spans="2:16" ht="15" customHeight="1" x14ac:dyDescent="0.3">
      <c r="B433" s="164">
        <v>186</v>
      </c>
      <c r="C433" s="165">
        <v>1</v>
      </c>
      <c r="D433" s="165">
        <f t="shared" si="82"/>
        <v>1.05</v>
      </c>
      <c r="E433" s="54">
        <f t="shared" si="81"/>
        <v>2.1</v>
      </c>
      <c r="F433" s="54">
        <f t="shared" si="90"/>
        <v>13.65</v>
      </c>
      <c r="G433" s="54">
        <f t="shared" si="91"/>
        <v>179.55</v>
      </c>
      <c r="H433" s="54">
        <f t="shared" si="83"/>
        <v>195.3</v>
      </c>
      <c r="I433" s="40">
        <f t="shared" si="84"/>
        <v>23.020000000000003</v>
      </c>
      <c r="J433" s="40">
        <f t="shared" si="92"/>
        <v>97.63</v>
      </c>
      <c r="K433" s="40">
        <f t="shared" si="93"/>
        <v>1155.96</v>
      </c>
      <c r="L433" s="179">
        <f t="shared" si="85"/>
        <v>1276.6100000000001</v>
      </c>
      <c r="M433" s="54">
        <f t="shared" si="86"/>
        <v>24.171000000000003</v>
      </c>
      <c r="N433" s="54">
        <f t="shared" si="87"/>
        <v>102.5115</v>
      </c>
      <c r="O433" s="54">
        <f t="shared" si="88"/>
        <v>1213.758</v>
      </c>
      <c r="P433" s="54">
        <f t="shared" si="89"/>
        <v>1340.4405000000002</v>
      </c>
    </row>
    <row r="434" spans="2:16" ht="15" customHeight="1" x14ac:dyDescent="0.3">
      <c r="B434" s="164">
        <v>187</v>
      </c>
      <c r="C434" s="165">
        <v>1</v>
      </c>
      <c r="D434" s="165">
        <f t="shared" si="82"/>
        <v>1.05</v>
      </c>
      <c r="E434" s="54">
        <f t="shared" si="81"/>
        <v>2.1</v>
      </c>
      <c r="F434" s="54">
        <f t="shared" si="90"/>
        <v>13.65</v>
      </c>
      <c r="G434" s="54">
        <f t="shared" si="91"/>
        <v>180.6</v>
      </c>
      <c r="H434" s="54">
        <f t="shared" si="83"/>
        <v>196.35</v>
      </c>
      <c r="I434" s="40">
        <f t="shared" si="84"/>
        <v>23.020000000000003</v>
      </c>
      <c r="J434" s="40">
        <f t="shared" si="92"/>
        <v>97.63</v>
      </c>
      <c r="K434" s="40">
        <f t="shared" si="93"/>
        <v>1162.72</v>
      </c>
      <c r="L434" s="179">
        <f t="shared" si="85"/>
        <v>1283.3700000000001</v>
      </c>
      <c r="M434" s="54">
        <f t="shared" si="86"/>
        <v>24.171000000000003</v>
      </c>
      <c r="N434" s="54">
        <f t="shared" si="87"/>
        <v>102.5115</v>
      </c>
      <c r="O434" s="54">
        <f t="shared" si="88"/>
        <v>1220.856</v>
      </c>
      <c r="P434" s="54">
        <f t="shared" si="89"/>
        <v>1347.5385000000001</v>
      </c>
    </row>
    <row r="435" spans="2:16" ht="15" customHeight="1" x14ac:dyDescent="0.3">
      <c r="B435" s="164">
        <v>188</v>
      </c>
      <c r="C435" s="165">
        <v>2</v>
      </c>
      <c r="D435" s="165">
        <f t="shared" si="82"/>
        <v>2.1</v>
      </c>
      <c r="E435" s="54">
        <f t="shared" si="81"/>
        <v>4.2</v>
      </c>
      <c r="F435" s="54">
        <f t="shared" si="90"/>
        <v>27.3</v>
      </c>
      <c r="G435" s="54">
        <f t="shared" si="91"/>
        <v>363.3</v>
      </c>
      <c r="H435" s="54">
        <f t="shared" si="83"/>
        <v>394.8</v>
      </c>
      <c r="I435" s="40">
        <f t="shared" si="84"/>
        <v>23.020000000000003</v>
      </c>
      <c r="J435" s="40">
        <f t="shared" si="92"/>
        <v>97.63</v>
      </c>
      <c r="K435" s="40">
        <f t="shared" si="93"/>
        <v>1169.48</v>
      </c>
      <c r="L435" s="179">
        <f t="shared" si="85"/>
        <v>1290.1300000000001</v>
      </c>
      <c r="M435" s="54">
        <f t="shared" si="86"/>
        <v>48.342000000000006</v>
      </c>
      <c r="N435" s="54">
        <f t="shared" si="87"/>
        <v>205.023</v>
      </c>
      <c r="O435" s="54">
        <f t="shared" si="88"/>
        <v>2455.9080000000004</v>
      </c>
      <c r="P435" s="54">
        <f t="shared" si="89"/>
        <v>2709.2730000000001</v>
      </c>
    </row>
    <row r="436" spans="2:16" ht="15" customHeight="1" x14ac:dyDescent="0.3">
      <c r="B436" s="164">
        <v>189</v>
      </c>
      <c r="C436" s="165">
        <v>1</v>
      </c>
      <c r="D436" s="165">
        <f t="shared" si="82"/>
        <v>1.05</v>
      </c>
      <c r="E436" s="54">
        <f t="shared" si="81"/>
        <v>2.1</v>
      </c>
      <c r="F436" s="54">
        <f t="shared" si="90"/>
        <v>13.65</v>
      </c>
      <c r="G436" s="54">
        <f t="shared" si="91"/>
        <v>182.70000000000002</v>
      </c>
      <c r="H436" s="54">
        <f t="shared" si="83"/>
        <v>198.45000000000002</v>
      </c>
      <c r="I436" s="40">
        <f t="shared" si="84"/>
        <v>23.020000000000003</v>
      </c>
      <c r="J436" s="40">
        <f t="shared" si="92"/>
        <v>97.63</v>
      </c>
      <c r="K436" s="40">
        <f t="shared" si="93"/>
        <v>1176.24</v>
      </c>
      <c r="L436" s="179">
        <f t="shared" si="85"/>
        <v>1296.8900000000001</v>
      </c>
      <c r="M436" s="54">
        <f t="shared" si="86"/>
        <v>24.171000000000003</v>
      </c>
      <c r="N436" s="54">
        <f t="shared" si="87"/>
        <v>102.5115</v>
      </c>
      <c r="O436" s="54">
        <f t="shared" si="88"/>
        <v>1235.0520000000001</v>
      </c>
      <c r="P436" s="54">
        <f t="shared" si="89"/>
        <v>1361.7345</v>
      </c>
    </row>
    <row r="437" spans="2:16" ht="15" customHeight="1" x14ac:dyDescent="0.3">
      <c r="B437" s="164">
        <v>194</v>
      </c>
      <c r="C437" s="165">
        <v>1</v>
      </c>
      <c r="D437" s="165">
        <f t="shared" si="82"/>
        <v>1.05</v>
      </c>
      <c r="E437" s="54">
        <f t="shared" si="81"/>
        <v>2.1</v>
      </c>
      <c r="F437" s="54">
        <f t="shared" si="90"/>
        <v>13.65</v>
      </c>
      <c r="G437" s="54">
        <f t="shared" si="91"/>
        <v>187.95000000000002</v>
      </c>
      <c r="H437" s="54">
        <f t="shared" si="83"/>
        <v>203.70000000000002</v>
      </c>
      <c r="I437" s="40">
        <f t="shared" si="84"/>
        <v>23.020000000000003</v>
      </c>
      <c r="J437" s="40">
        <f t="shared" si="92"/>
        <v>97.63</v>
      </c>
      <c r="K437" s="40">
        <f t="shared" si="93"/>
        <v>1210.04</v>
      </c>
      <c r="L437" s="179">
        <f t="shared" si="85"/>
        <v>1330.69</v>
      </c>
      <c r="M437" s="54">
        <f t="shared" si="86"/>
        <v>24.171000000000003</v>
      </c>
      <c r="N437" s="54">
        <f t="shared" si="87"/>
        <v>102.5115</v>
      </c>
      <c r="O437" s="54">
        <f t="shared" si="88"/>
        <v>1270.5419999999999</v>
      </c>
      <c r="P437" s="54">
        <f t="shared" si="89"/>
        <v>1397.2244999999998</v>
      </c>
    </row>
    <row r="438" spans="2:16" ht="15" customHeight="1" x14ac:dyDescent="0.3">
      <c r="B438" s="164">
        <v>197</v>
      </c>
      <c r="C438" s="165">
        <v>1</v>
      </c>
      <c r="D438" s="165">
        <f t="shared" si="82"/>
        <v>1.05</v>
      </c>
      <c r="E438" s="54">
        <f t="shared" si="81"/>
        <v>2.1</v>
      </c>
      <c r="F438" s="54">
        <f t="shared" si="90"/>
        <v>13.65</v>
      </c>
      <c r="G438" s="54">
        <f t="shared" si="91"/>
        <v>191.1</v>
      </c>
      <c r="H438" s="54">
        <f t="shared" si="83"/>
        <v>206.85</v>
      </c>
      <c r="I438" s="40">
        <f t="shared" si="84"/>
        <v>23.020000000000003</v>
      </c>
      <c r="J438" s="40">
        <f t="shared" si="92"/>
        <v>97.63</v>
      </c>
      <c r="K438" s="40">
        <f t="shared" si="93"/>
        <v>1230.32</v>
      </c>
      <c r="L438" s="179">
        <f t="shared" si="85"/>
        <v>1350.97</v>
      </c>
      <c r="M438" s="54">
        <f t="shared" si="86"/>
        <v>24.171000000000003</v>
      </c>
      <c r="N438" s="54">
        <f t="shared" si="87"/>
        <v>102.5115</v>
      </c>
      <c r="O438" s="54">
        <f t="shared" si="88"/>
        <v>1291.836</v>
      </c>
      <c r="P438" s="54">
        <f t="shared" si="89"/>
        <v>1418.5185000000001</v>
      </c>
    </row>
    <row r="439" spans="2:16" ht="15" customHeight="1" x14ac:dyDescent="0.3">
      <c r="B439" s="164">
        <v>199</v>
      </c>
      <c r="C439" s="165">
        <v>1</v>
      </c>
      <c r="D439" s="165">
        <f t="shared" si="82"/>
        <v>1.05</v>
      </c>
      <c r="E439" s="54">
        <f t="shared" si="81"/>
        <v>2.1</v>
      </c>
      <c r="F439" s="54">
        <f t="shared" si="90"/>
        <v>13.65</v>
      </c>
      <c r="G439" s="54">
        <f t="shared" si="91"/>
        <v>193.20000000000002</v>
      </c>
      <c r="H439" s="54">
        <f t="shared" si="83"/>
        <v>208.95000000000002</v>
      </c>
      <c r="I439" s="40">
        <f t="shared" si="84"/>
        <v>23.020000000000003</v>
      </c>
      <c r="J439" s="40">
        <f t="shared" si="92"/>
        <v>97.63</v>
      </c>
      <c r="K439" s="40">
        <f t="shared" si="93"/>
        <v>1243.8399999999999</v>
      </c>
      <c r="L439" s="179">
        <f t="shared" si="85"/>
        <v>1364.49</v>
      </c>
      <c r="M439" s="54">
        <f t="shared" si="86"/>
        <v>24.171000000000003</v>
      </c>
      <c r="N439" s="54">
        <f t="shared" si="87"/>
        <v>102.5115</v>
      </c>
      <c r="O439" s="54">
        <f t="shared" si="88"/>
        <v>1306.0319999999999</v>
      </c>
      <c r="P439" s="54">
        <f t="shared" si="89"/>
        <v>1432.7145</v>
      </c>
    </row>
    <row r="440" spans="2:16" ht="15" customHeight="1" x14ac:dyDescent="0.3">
      <c r="B440" s="164">
        <v>204</v>
      </c>
      <c r="C440" s="165">
        <v>2</v>
      </c>
      <c r="D440" s="165">
        <f t="shared" si="82"/>
        <v>2.1</v>
      </c>
      <c r="E440" s="54">
        <f t="shared" si="81"/>
        <v>4.2</v>
      </c>
      <c r="F440" s="54">
        <f t="shared" si="90"/>
        <v>27.3</v>
      </c>
      <c r="G440" s="54">
        <f t="shared" si="91"/>
        <v>396.90000000000003</v>
      </c>
      <c r="H440" s="54">
        <f t="shared" si="83"/>
        <v>428.40000000000003</v>
      </c>
      <c r="I440" s="40">
        <f t="shared" si="84"/>
        <v>23.020000000000003</v>
      </c>
      <c r="J440" s="40">
        <f t="shared" si="92"/>
        <v>97.63</v>
      </c>
      <c r="K440" s="40">
        <f t="shared" si="93"/>
        <v>1277.6399999999999</v>
      </c>
      <c r="L440" s="179">
        <f t="shared" si="85"/>
        <v>1398.29</v>
      </c>
      <c r="M440" s="54">
        <f t="shared" si="86"/>
        <v>48.342000000000006</v>
      </c>
      <c r="N440" s="54">
        <f t="shared" si="87"/>
        <v>205.023</v>
      </c>
      <c r="O440" s="54">
        <f t="shared" si="88"/>
        <v>2683.0439999999999</v>
      </c>
      <c r="P440" s="54">
        <f t="shared" si="89"/>
        <v>2936.4089999999997</v>
      </c>
    </row>
    <row r="441" spans="2:16" ht="15" customHeight="1" x14ac:dyDescent="0.3">
      <c r="B441" s="164">
        <v>206</v>
      </c>
      <c r="C441" s="165">
        <v>1</v>
      </c>
      <c r="D441" s="165">
        <f t="shared" si="82"/>
        <v>1.05</v>
      </c>
      <c r="E441" s="54">
        <f t="shared" si="81"/>
        <v>2.1</v>
      </c>
      <c r="F441" s="54">
        <f t="shared" si="90"/>
        <v>13.65</v>
      </c>
      <c r="G441" s="54">
        <f t="shared" si="91"/>
        <v>200.55</v>
      </c>
      <c r="H441" s="54">
        <f t="shared" si="83"/>
        <v>216.3</v>
      </c>
      <c r="I441" s="40">
        <f t="shared" si="84"/>
        <v>23.020000000000003</v>
      </c>
      <c r="J441" s="40">
        <f t="shared" si="92"/>
        <v>97.63</v>
      </c>
      <c r="K441" s="40">
        <f t="shared" si="93"/>
        <v>1291.1599999999999</v>
      </c>
      <c r="L441" s="179">
        <f t="shared" si="85"/>
        <v>1411.81</v>
      </c>
      <c r="M441" s="54">
        <f t="shared" si="86"/>
        <v>24.171000000000003</v>
      </c>
      <c r="N441" s="54">
        <f t="shared" si="87"/>
        <v>102.5115</v>
      </c>
      <c r="O441" s="54">
        <f t="shared" si="88"/>
        <v>1355.7179999999998</v>
      </c>
      <c r="P441" s="54">
        <f t="shared" si="89"/>
        <v>1482.4004999999997</v>
      </c>
    </row>
    <row r="442" spans="2:16" ht="15" customHeight="1" x14ac:dyDescent="0.3">
      <c r="B442" s="164">
        <v>207</v>
      </c>
      <c r="C442" s="165">
        <v>1</v>
      </c>
      <c r="D442" s="165">
        <f t="shared" si="82"/>
        <v>1.05</v>
      </c>
      <c r="E442" s="54">
        <f t="shared" si="81"/>
        <v>2.1</v>
      </c>
      <c r="F442" s="54">
        <f t="shared" si="90"/>
        <v>13.65</v>
      </c>
      <c r="G442" s="54">
        <f t="shared" si="91"/>
        <v>201.60000000000002</v>
      </c>
      <c r="H442" s="54">
        <f t="shared" si="83"/>
        <v>217.35000000000002</v>
      </c>
      <c r="I442" s="40">
        <f t="shared" si="84"/>
        <v>23.020000000000003</v>
      </c>
      <c r="J442" s="40">
        <f t="shared" si="92"/>
        <v>97.63</v>
      </c>
      <c r="K442" s="40">
        <f t="shared" si="93"/>
        <v>1297.92</v>
      </c>
      <c r="L442" s="179">
        <f t="shared" si="85"/>
        <v>1418.5700000000002</v>
      </c>
      <c r="M442" s="54">
        <f t="shared" si="86"/>
        <v>24.171000000000003</v>
      </c>
      <c r="N442" s="54">
        <f t="shared" si="87"/>
        <v>102.5115</v>
      </c>
      <c r="O442" s="54">
        <f t="shared" si="88"/>
        <v>1362.816</v>
      </c>
      <c r="P442" s="54">
        <f t="shared" si="89"/>
        <v>1489.4985000000001</v>
      </c>
    </row>
    <row r="443" spans="2:16" ht="15" customHeight="1" x14ac:dyDescent="0.3">
      <c r="B443" s="164">
        <v>211</v>
      </c>
      <c r="C443" s="165">
        <v>1</v>
      </c>
      <c r="D443" s="165">
        <f t="shared" si="82"/>
        <v>1.05</v>
      </c>
      <c r="E443" s="54">
        <f t="shared" si="81"/>
        <v>2.1</v>
      </c>
      <c r="F443" s="54">
        <f t="shared" si="90"/>
        <v>13.65</v>
      </c>
      <c r="G443" s="54">
        <f t="shared" si="91"/>
        <v>205.8</v>
      </c>
      <c r="H443" s="54">
        <f t="shared" si="83"/>
        <v>221.55</v>
      </c>
      <c r="I443" s="40">
        <f t="shared" si="84"/>
        <v>23.020000000000003</v>
      </c>
      <c r="J443" s="40">
        <f t="shared" si="92"/>
        <v>97.63</v>
      </c>
      <c r="K443" s="40">
        <f t="shared" si="93"/>
        <v>1324.96</v>
      </c>
      <c r="L443" s="179">
        <f t="shared" si="85"/>
        <v>1445.6100000000001</v>
      </c>
      <c r="M443" s="54">
        <f t="shared" si="86"/>
        <v>24.171000000000003</v>
      </c>
      <c r="N443" s="54">
        <f t="shared" si="87"/>
        <v>102.5115</v>
      </c>
      <c r="O443" s="54">
        <f t="shared" si="88"/>
        <v>1391.2080000000001</v>
      </c>
      <c r="P443" s="54">
        <f t="shared" si="89"/>
        <v>1517.8905</v>
      </c>
    </row>
    <row r="444" spans="2:16" ht="15" customHeight="1" x14ac:dyDescent="0.3">
      <c r="B444" s="164">
        <v>212</v>
      </c>
      <c r="C444" s="165">
        <v>1</v>
      </c>
      <c r="D444" s="165">
        <f t="shared" si="82"/>
        <v>1.05</v>
      </c>
      <c r="E444" s="54">
        <f t="shared" si="81"/>
        <v>2.1</v>
      </c>
      <c r="F444" s="54">
        <f t="shared" si="90"/>
        <v>13.65</v>
      </c>
      <c r="G444" s="54">
        <f t="shared" si="91"/>
        <v>206.85000000000002</v>
      </c>
      <c r="H444" s="54">
        <f t="shared" si="83"/>
        <v>222.60000000000002</v>
      </c>
      <c r="I444" s="40">
        <f t="shared" si="84"/>
        <v>23.020000000000003</v>
      </c>
      <c r="J444" s="40">
        <f t="shared" si="92"/>
        <v>97.63</v>
      </c>
      <c r="K444" s="40">
        <f t="shared" si="93"/>
        <v>1331.72</v>
      </c>
      <c r="L444" s="179">
        <f t="shared" si="85"/>
        <v>1452.3700000000001</v>
      </c>
      <c r="M444" s="54">
        <f t="shared" si="86"/>
        <v>24.171000000000003</v>
      </c>
      <c r="N444" s="54">
        <f t="shared" si="87"/>
        <v>102.5115</v>
      </c>
      <c r="O444" s="54">
        <f t="shared" si="88"/>
        <v>1398.306</v>
      </c>
      <c r="P444" s="54">
        <f t="shared" si="89"/>
        <v>1524.9884999999999</v>
      </c>
    </row>
    <row r="445" spans="2:16" ht="15" customHeight="1" x14ac:dyDescent="0.3">
      <c r="B445" s="164">
        <v>216</v>
      </c>
      <c r="C445" s="165">
        <v>1</v>
      </c>
      <c r="D445" s="165">
        <f t="shared" si="82"/>
        <v>1.05</v>
      </c>
      <c r="E445" s="54">
        <f t="shared" si="81"/>
        <v>2.1</v>
      </c>
      <c r="F445" s="54">
        <f t="shared" si="90"/>
        <v>13.65</v>
      </c>
      <c r="G445" s="54">
        <f t="shared" si="91"/>
        <v>211.05</v>
      </c>
      <c r="H445" s="54">
        <f t="shared" si="83"/>
        <v>226.8</v>
      </c>
      <c r="I445" s="40">
        <f t="shared" si="84"/>
        <v>23.020000000000003</v>
      </c>
      <c r="J445" s="40">
        <f t="shared" si="92"/>
        <v>97.63</v>
      </c>
      <c r="K445" s="40">
        <f t="shared" si="93"/>
        <v>1358.76</v>
      </c>
      <c r="L445" s="179">
        <f t="shared" si="85"/>
        <v>1479.41</v>
      </c>
      <c r="M445" s="54">
        <f t="shared" si="86"/>
        <v>24.171000000000003</v>
      </c>
      <c r="N445" s="54">
        <f t="shared" si="87"/>
        <v>102.5115</v>
      </c>
      <c r="O445" s="54">
        <f t="shared" si="88"/>
        <v>1426.6980000000001</v>
      </c>
      <c r="P445" s="54">
        <f t="shared" si="89"/>
        <v>1553.3805000000002</v>
      </c>
    </row>
    <row r="446" spans="2:16" ht="15" customHeight="1" x14ac:dyDescent="0.3">
      <c r="B446" s="164">
        <v>219</v>
      </c>
      <c r="C446" s="165">
        <v>2</v>
      </c>
      <c r="D446" s="165">
        <f t="shared" si="82"/>
        <v>2.1</v>
      </c>
      <c r="E446" s="54">
        <f t="shared" si="81"/>
        <v>4.2</v>
      </c>
      <c r="F446" s="54">
        <f t="shared" si="90"/>
        <v>27.3</v>
      </c>
      <c r="G446" s="54">
        <f t="shared" si="91"/>
        <v>428.40000000000003</v>
      </c>
      <c r="H446" s="54">
        <f t="shared" si="83"/>
        <v>459.90000000000003</v>
      </c>
      <c r="I446" s="40">
        <f t="shared" si="84"/>
        <v>23.020000000000003</v>
      </c>
      <c r="J446" s="40">
        <f t="shared" si="92"/>
        <v>97.63</v>
      </c>
      <c r="K446" s="40">
        <f t="shared" si="93"/>
        <v>1379.04</v>
      </c>
      <c r="L446" s="179">
        <f t="shared" si="85"/>
        <v>1499.69</v>
      </c>
      <c r="M446" s="54">
        <f t="shared" si="86"/>
        <v>48.342000000000006</v>
      </c>
      <c r="N446" s="54">
        <f t="shared" si="87"/>
        <v>205.023</v>
      </c>
      <c r="O446" s="54">
        <f t="shared" si="88"/>
        <v>2895.9839999999999</v>
      </c>
      <c r="P446" s="54">
        <f t="shared" si="89"/>
        <v>3149.3490000000002</v>
      </c>
    </row>
    <row r="447" spans="2:16" ht="15" customHeight="1" x14ac:dyDescent="0.3">
      <c r="B447" s="164">
        <v>220</v>
      </c>
      <c r="C447" s="165">
        <v>1</v>
      </c>
      <c r="D447" s="165">
        <f t="shared" si="82"/>
        <v>1.05</v>
      </c>
      <c r="E447" s="54">
        <f t="shared" si="81"/>
        <v>2.1</v>
      </c>
      <c r="F447" s="54">
        <f t="shared" si="90"/>
        <v>13.65</v>
      </c>
      <c r="G447" s="54">
        <f t="shared" si="91"/>
        <v>215.25</v>
      </c>
      <c r="H447" s="54">
        <f t="shared" si="83"/>
        <v>231</v>
      </c>
      <c r="I447" s="40">
        <f t="shared" si="84"/>
        <v>23.020000000000003</v>
      </c>
      <c r="J447" s="40">
        <f t="shared" si="92"/>
        <v>97.63</v>
      </c>
      <c r="K447" s="40">
        <f t="shared" si="93"/>
        <v>1385.8</v>
      </c>
      <c r="L447" s="179">
        <f t="shared" si="85"/>
        <v>1506.45</v>
      </c>
      <c r="M447" s="54">
        <f t="shared" si="86"/>
        <v>24.171000000000003</v>
      </c>
      <c r="N447" s="54">
        <f t="shared" si="87"/>
        <v>102.5115</v>
      </c>
      <c r="O447" s="54">
        <f t="shared" si="88"/>
        <v>1455.09</v>
      </c>
      <c r="P447" s="54">
        <f t="shared" si="89"/>
        <v>1581.7725</v>
      </c>
    </row>
    <row r="448" spans="2:16" ht="15" customHeight="1" x14ac:dyDescent="0.3">
      <c r="B448" s="164">
        <v>221</v>
      </c>
      <c r="C448" s="165">
        <v>1</v>
      </c>
      <c r="D448" s="165">
        <f t="shared" si="82"/>
        <v>1.05</v>
      </c>
      <c r="E448" s="54">
        <f t="shared" si="81"/>
        <v>2.1</v>
      </c>
      <c r="F448" s="54">
        <f t="shared" si="90"/>
        <v>13.65</v>
      </c>
      <c r="G448" s="54">
        <f t="shared" si="91"/>
        <v>216.3</v>
      </c>
      <c r="H448" s="54">
        <f t="shared" si="83"/>
        <v>232.05</v>
      </c>
      <c r="I448" s="40">
        <f t="shared" si="84"/>
        <v>23.020000000000003</v>
      </c>
      <c r="J448" s="40">
        <f t="shared" si="92"/>
        <v>97.63</v>
      </c>
      <c r="K448" s="40">
        <f t="shared" si="93"/>
        <v>1392.56</v>
      </c>
      <c r="L448" s="179">
        <f t="shared" si="85"/>
        <v>1513.21</v>
      </c>
      <c r="M448" s="54">
        <f t="shared" si="86"/>
        <v>24.171000000000003</v>
      </c>
      <c r="N448" s="54">
        <f t="shared" si="87"/>
        <v>102.5115</v>
      </c>
      <c r="O448" s="54">
        <f t="shared" si="88"/>
        <v>1462.1880000000001</v>
      </c>
      <c r="P448" s="54">
        <f t="shared" si="89"/>
        <v>1588.8705</v>
      </c>
    </row>
    <row r="449" spans="2:16" ht="15" customHeight="1" x14ac:dyDescent="0.3">
      <c r="B449" s="164">
        <v>222</v>
      </c>
      <c r="C449" s="165">
        <v>1</v>
      </c>
      <c r="D449" s="165">
        <f t="shared" si="82"/>
        <v>1.05</v>
      </c>
      <c r="E449" s="54">
        <f t="shared" si="81"/>
        <v>2.1</v>
      </c>
      <c r="F449" s="54">
        <f t="shared" si="90"/>
        <v>13.65</v>
      </c>
      <c r="G449" s="54">
        <f t="shared" si="91"/>
        <v>217.35000000000002</v>
      </c>
      <c r="H449" s="54">
        <f t="shared" si="83"/>
        <v>233.10000000000002</v>
      </c>
      <c r="I449" s="40">
        <f t="shared" si="84"/>
        <v>23.020000000000003</v>
      </c>
      <c r="J449" s="40">
        <f t="shared" si="92"/>
        <v>97.63</v>
      </c>
      <c r="K449" s="40">
        <f t="shared" si="93"/>
        <v>1399.32</v>
      </c>
      <c r="L449" s="179">
        <f t="shared" si="85"/>
        <v>1519.97</v>
      </c>
      <c r="M449" s="54">
        <f t="shared" si="86"/>
        <v>24.171000000000003</v>
      </c>
      <c r="N449" s="54">
        <f t="shared" si="87"/>
        <v>102.5115</v>
      </c>
      <c r="O449" s="54">
        <f t="shared" si="88"/>
        <v>1469.2860000000001</v>
      </c>
      <c r="P449" s="54">
        <f t="shared" si="89"/>
        <v>1595.9684999999999</v>
      </c>
    </row>
    <row r="450" spans="2:16" ht="15" customHeight="1" x14ac:dyDescent="0.3">
      <c r="B450" s="164">
        <v>226</v>
      </c>
      <c r="C450" s="165">
        <v>2</v>
      </c>
      <c r="D450" s="165">
        <f t="shared" si="82"/>
        <v>2.1</v>
      </c>
      <c r="E450" s="54">
        <f t="shared" si="81"/>
        <v>4.2</v>
      </c>
      <c r="F450" s="54">
        <f t="shared" si="90"/>
        <v>27.3</v>
      </c>
      <c r="G450" s="54">
        <f t="shared" si="91"/>
        <v>443.1</v>
      </c>
      <c r="H450" s="54">
        <f t="shared" si="83"/>
        <v>474.6</v>
      </c>
      <c r="I450" s="40">
        <f t="shared" si="84"/>
        <v>23.020000000000003</v>
      </c>
      <c r="J450" s="40">
        <f t="shared" si="92"/>
        <v>97.63</v>
      </c>
      <c r="K450" s="40">
        <f t="shared" si="93"/>
        <v>1426.36</v>
      </c>
      <c r="L450" s="179">
        <f t="shared" si="85"/>
        <v>1547.01</v>
      </c>
      <c r="M450" s="54">
        <f t="shared" si="86"/>
        <v>48.342000000000006</v>
      </c>
      <c r="N450" s="54">
        <f t="shared" si="87"/>
        <v>205.023</v>
      </c>
      <c r="O450" s="54">
        <f t="shared" si="88"/>
        <v>2995.3559999999998</v>
      </c>
      <c r="P450" s="54">
        <f t="shared" si="89"/>
        <v>3248.7209999999995</v>
      </c>
    </row>
    <row r="451" spans="2:16" ht="15" customHeight="1" x14ac:dyDescent="0.3">
      <c r="B451" s="164">
        <v>229</v>
      </c>
      <c r="C451" s="165">
        <v>1</v>
      </c>
      <c r="D451" s="165">
        <f t="shared" si="82"/>
        <v>1.05</v>
      </c>
      <c r="E451" s="54">
        <f t="shared" si="81"/>
        <v>2.1</v>
      </c>
      <c r="F451" s="54">
        <f t="shared" si="90"/>
        <v>13.65</v>
      </c>
      <c r="G451" s="54">
        <f t="shared" si="91"/>
        <v>224.70000000000002</v>
      </c>
      <c r="H451" s="54">
        <f t="shared" si="83"/>
        <v>240.45000000000002</v>
      </c>
      <c r="I451" s="40">
        <f t="shared" si="84"/>
        <v>23.020000000000003</v>
      </c>
      <c r="J451" s="40">
        <f t="shared" si="92"/>
        <v>97.63</v>
      </c>
      <c r="K451" s="40">
        <f t="shared" si="93"/>
        <v>1446.6399999999999</v>
      </c>
      <c r="L451" s="179">
        <f t="shared" si="85"/>
        <v>1567.29</v>
      </c>
      <c r="M451" s="54">
        <f t="shared" si="86"/>
        <v>24.171000000000003</v>
      </c>
      <c r="N451" s="54">
        <f t="shared" si="87"/>
        <v>102.5115</v>
      </c>
      <c r="O451" s="54">
        <f t="shared" si="88"/>
        <v>1518.972</v>
      </c>
      <c r="P451" s="54">
        <f t="shared" si="89"/>
        <v>1645.6545000000001</v>
      </c>
    </row>
    <row r="452" spans="2:16" ht="15" customHeight="1" x14ac:dyDescent="0.3">
      <c r="B452" s="164">
        <v>231</v>
      </c>
      <c r="C452" s="165">
        <v>1</v>
      </c>
      <c r="D452" s="165">
        <f t="shared" si="82"/>
        <v>1.05</v>
      </c>
      <c r="E452" s="54">
        <f t="shared" si="81"/>
        <v>2.1</v>
      </c>
      <c r="F452" s="54">
        <f t="shared" si="90"/>
        <v>13.65</v>
      </c>
      <c r="G452" s="54">
        <f t="shared" si="91"/>
        <v>226.8</v>
      </c>
      <c r="H452" s="54">
        <f t="shared" si="83"/>
        <v>242.55</v>
      </c>
      <c r="I452" s="40">
        <f t="shared" si="84"/>
        <v>23.020000000000003</v>
      </c>
      <c r="J452" s="40">
        <f t="shared" si="92"/>
        <v>97.63</v>
      </c>
      <c r="K452" s="40">
        <f t="shared" si="93"/>
        <v>1460.1599999999999</v>
      </c>
      <c r="L452" s="179">
        <f t="shared" si="85"/>
        <v>1580.81</v>
      </c>
      <c r="M452" s="54">
        <f t="shared" si="86"/>
        <v>24.171000000000003</v>
      </c>
      <c r="N452" s="54">
        <f t="shared" si="87"/>
        <v>102.5115</v>
      </c>
      <c r="O452" s="54">
        <f t="shared" si="88"/>
        <v>1533.1679999999999</v>
      </c>
      <c r="P452" s="54">
        <f t="shared" si="89"/>
        <v>1659.8505</v>
      </c>
    </row>
    <row r="453" spans="2:16" ht="15" customHeight="1" x14ac:dyDescent="0.3">
      <c r="B453" s="164">
        <v>232</v>
      </c>
      <c r="C453" s="165">
        <v>1</v>
      </c>
      <c r="D453" s="165">
        <f t="shared" si="82"/>
        <v>1.05</v>
      </c>
      <c r="E453" s="54">
        <f t="shared" si="81"/>
        <v>2.1</v>
      </c>
      <c r="F453" s="54">
        <f t="shared" si="90"/>
        <v>13.65</v>
      </c>
      <c r="G453" s="54">
        <f t="shared" si="91"/>
        <v>227.85000000000002</v>
      </c>
      <c r="H453" s="54">
        <f t="shared" si="83"/>
        <v>243.60000000000002</v>
      </c>
      <c r="I453" s="40">
        <f t="shared" si="84"/>
        <v>23.020000000000003</v>
      </c>
      <c r="J453" s="40">
        <f t="shared" si="92"/>
        <v>97.63</v>
      </c>
      <c r="K453" s="40">
        <f t="shared" si="93"/>
        <v>1466.9199999999998</v>
      </c>
      <c r="L453" s="179">
        <f t="shared" si="85"/>
        <v>1587.57</v>
      </c>
      <c r="M453" s="54">
        <f t="shared" si="86"/>
        <v>24.171000000000003</v>
      </c>
      <c r="N453" s="54">
        <f t="shared" si="87"/>
        <v>102.5115</v>
      </c>
      <c r="O453" s="54">
        <f t="shared" si="88"/>
        <v>1540.2659999999998</v>
      </c>
      <c r="P453" s="54">
        <f t="shared" si="89"/>
        <v>1666.9485</v>
      </c>
    </row>
    <row r="454" spans="2:16" ht="15" customHeight="1" x14ac:dyDescent="0.3">
      <c r="B454" s="164">
        <v>234</v>
      </c>
      <c r="C454" s="165">
        <v>1</v>
      </c>
      <c r="D454" s="165">
        <f t="shared" si="82"/>
        <v>1.05</v>
      </c>
      <c r="E454" s="54">
        <f t="shared" si="81"/>
        <v>2.1</v>
      </c>
      <c r="F454" s="54">
        <f t="shared" si="90"/>
        <v>13.65</v>
      </c>
      <c r="G454" s="54">
        <f t="shared" si="91"/>
        <v>229.95000000000002</v>
      </c>
      <c r="H454" s="54">
        <f t="shared" si="83"/>
        <v>245.70000000000002</v>
      </c>
      <c r="I454" s="40">
        <f t="shared" si="84"/>
        <v>23.020000000000003</v>
      </c>
      <c r="J454" s="40">
        <f t="shared" si="92"/>
        <v>97.63</v>
      </c>
      <c r="K454" s="40">
        <f t="shared" si="93"/>
        <v>1480.44</v>
      </c>
      <c r="L454" s="179">
        <f t="shared" si="85"/>
        <v>1601.0900000000001</v>
      </c>
      <c r="M454" s="54">
        <f t="shared" si="86"/>
        <v>24.171000000000003</v>
      </c>
      <c r="N454" s="54">
        <f t="shared" si="87"/>
        <v>102.5115</v>
      </c>
      <c r="O454" s="54">
        <f t="shared" si="88"/>
        <v>1554.4620000000002</v>
      </c>
      <c r="P454" s="54">
        <f t="shared" si="89"/>
        <v>1681.1445000000003</v>
      </c>
    </row>
    <row r="455" spans="2:16" ht="15" customHeight="1" x14ac:dyDescent="0.3">
      <c r="B455" s="164">
        <v>235</v>
      </c>
      <c r="C455" s="165">
        <v>1</v>
      </c>
      <c r="D455" s="165">
        <f t="shared" si="82"/>
        <v>1.05</v>
      </c>
      <c r="E455" s="54">
        <f t="shared" ref="E455:E495" si="94">+IF($B455&gt;2,2,$B455)*$D455</f>
        <v>2.1</v>
      </c>
      <c r="F455" s="54">
        <f t="shared" si="90"/>
        <v>13.65</v>
      </c>
      <c r="G455" s="54">
        <f t="shared" si="91"/>
        <v>231</v>
      </c>
      <c r="H455" s="54">
        <f t="shared" si="83"/>
        <v>246.75</v>
      </c>
      <c r="I455" s="40">
        <f t="shared" si="84"/>
        <v>23.020000000000003</v>
      </c>
      <c r="J455" s="40">
        <f t="shared" si="92"/>
        <v>97.63</v>
      </c>
      <c r="K455" s="40">
        <f t="shared" si="93"/>
        <v>1487.2</v>
      </c>
      <c r="L455" s="179">
        <f t="shared" si="85"/>
        <v>1607.8500000000001</v>
      </c>
      <c r="M455" s="54">
        <f t="shared" si="86"/>
        <v>24.171000000000003</v>
      </c>
      <c r="N455" s="54">
        <f t="shared" si="87"/>
        <v>102.5115</v>
      </c>
      <c r="O455" s="54">
        <f t="shared" si="88"/>
        <v>1561.5600000000002</v>
      </c>
      <c r="P455" s="54">
        <f t="shared" si="89"/>
        <v>1688.2425000000003</v>
      </c>
    </row>
    <row r="456" spans="2:16" ht="15" customHeight="1" x14ac:dyDescent="0.3">
      <c r="B456" s="164">
        <v>241</v>
      </c>
      <c r="C456" s="165">
        <v>3</v>
      </c>
      <c r="D456" s="165">
        <f t="shared" ref="D456:D495" si="95">+C456*(1+$D$10)</f>
        <v>3.1500000000000004</v>
      </c>
      <c r="E456" s="54">
        <f t="shared" si="94"/>
        <v>6.3000000000000007</v>
      </c>
      <c r="F456" s="54">
        <f t="shared" si="90"/>
        <v>40.950000000000003</v>
      </c>
      <c r="G456" s="54">
        <f t="shared" si="91"/>
        <v>711.90000000000009</v>
      </c>
      <c r="H456" s="54">
        <f t="shared" ref="H456:H495" si="96">+SUM(E456:G456)</f>
        <v>759.15000000000009</v>
      </c>
      <c r="I456" s="40">
        <f t="shared" ref="I456:I495" si="97">+$I$258</f>
        <v>23.020000000000003</v>
      </c>
      <c r="J456" s="40">
        <f t="shared" si="92"/>
        <v>97.63</v>
      </c>
      <c r="K456" s="40">
        <f t="shared" si="93"/>
        <v>1527.76</v>
      </c>
      <c r="L456" s="179">
        <f t="shared" ref="L456:L495" si="98">+SUM(I456:K456)</f>
        <v>1648.41</v>
      </c>
      <c r="M456" s="54">
        <f t="shared" ref="M456:M495" si="99">+I456*$D456</f>
        <v>72.513000000000019</v>
      </c>
      <c r="N456" s="54">
        <f t="shared" ref="N456:N495" si="100">+J456*$D456</f>
        <v>307.53450000000004</v>
      </c>
      <c r="O456" s="54">
        <f t="shared" ref="O456:O495" si="101">+K456*$D456</f>
        <v>4812.4440000000004</v>
      </c>
      <c r="P456" s="54">
        <f t="shared" ref="P456:P495" si="102">+SUM(M456:O456)</f>
        <v>5192.4915000000001</v>
      </c>
    </row>
    <row r="457" spans="2:16" ht="15" customHeight="1" x14ac:dyDescent="0.3">
      <c r="B457" s="164">
        <v>243</v>
      </c>
      <c r="C457" s="165">
        <v>1</v>
      </c>
      <c r="D457" s="165">
        <f t="shared" si="95"/>
        <v>1.05</v>
      </c>
      <c r="E457" s="54">
        <f t="shared" si="94"/>
        <v>2.1</v>
      </c>
      <c r="F457" s="54">
        <f t="shared" si="90"/>
        <v>13.65</v>
      </c>
      <c r="G457" s="54">
        <f t="shared" si="91"/>
        <v>239.4</v>
      </c>
      <c r="H457" s="54">
        <f t="shared" si="96"/>
        <v>255.15</v>
      </c>
      <c r="I457" s="40">
        <f t="shared" si="97"/>
        <v>23.020000000000003</v>
      </c>
      <c r="J457" s="40">
        <f t="shared" si="92"/>
        <v>97.63</v>
      </c>
      <c r="K457" s="40">
        <f t="shared" si="93"/>
        <v>1541.28</v>
      </c>
      <c r="L457" s="179">
        <f t="shared" si="98"/>
        <v>1661.93</v>
      </c>
      <c r="M457" s="54">
        <f t="shared" si="99"/>
        <v>24.171000000000003</v>
      </c>
      <c r="N457" s="54">
        <f t="shared" si="100"/>
        <v>102.5115</v>
      </c>
      <c r="O457" s="54">
        <f t="shared" si="101"/>
        <v>1618.3440000000001</v>
      </c>
      <c r="P457" s="54">
        <f t="shared" si="102"/>
        <v>1745.0264999999999</v>
      </c>
    </row>
    <row r="458" spans="2:16" ht="15" customHeight="1" x14ac:dyDescent="0.3">
      <c r="B458" s="164">
        <v>250</v>
      </c>
      <c r="C458" s="165">
        <v>1</v>
      </c>
      <c r="D458" s="165">
        <f t="shared" si="95"/>
        <v>1.05</v>
      </c>
      <c r="E458" s="54">
        <f t="shared" si="94"/>
        <v>2.1</v>
      </c>
      <c r="F458" s="54">
        <f t="shared" ref="F458:F495" si="103">+IF($B458&gt;15,13,$B458-2)*$D458</f>
        <v>13.65</v>
      </c>
      <c r="G458" s="54">
        <f t="shared" ref="G458:G495" si="104">+IF($B458&gt;15,$B458-15,0)*$D458</f>
        <v>246.75</v>
      </c>
      <c r="H458" s="54">
        <f t="shared" si="96"/>
        <v>262.5</v>
      </c>
      <c r="I458" s="40">
        <f t="shared" si="97"/>
        <v>23.020000000000003</v>
      </c>
      <c r="J458" s="40">
        <f t="shared" si="92"/>
        <v>97.63</v>
      </c>
      <c r="K458" s="40">
        <f t="shared" si="93"/>
        <v>1588.6</v>
      </c>
      <c r="L458" s="179">
        <f t="shared" si="98"/>
        <v>1709.25</v>
      </c>
      <c r="M458" s="54">
        <f t="shared" si="99"/>
        <v>24.171000000000003</v>
      </c>
      <c r="N458" s="54">
        <f t="shared" si="100"/>
        <v>102.5115</v>
      </c>
      <c r="O458" s="54">
        <f t="shared" si="101"/>
        <v>1668.03</v>
      </c>
      <c r="P458" s="54">
        <f t="shared" si="102"/>
        <v>1794.7125000000001</v>
      </c>
    </row>
    <row r="459" spans="2:16" ht="15" customHeight="1" x14ac:dyDescent="0.3">
      <c r="B459" s="164">
        <v>255</v>
      </c>
      <c r="C459" s="165">
        <v>1</v>
      </c>
      <c r="D459" s="165">
        <f t="shared" si="95"/>
        <v>1.05</v>
      </c>
      <c r="E459" s="54">
        <f t="shared" si="94"/>
        <v>2.1</v>
      </c>
      <c r="F459" s="54">
        <f t="shared" si="103"/>
        <v>13.65</v>
      </c>
      <c r="G459" s="54">
        <f t="shared" si="104"/>
        <v>252</v>
      </c>
      <c r="H459" s="54">
        <f t="shared" si="96"/>
        <v>267.75</v>
      </c>
      <c r="I459" s="40">
        <f t="shared" si="97"/>
        <v>23.020000000000003</v>
      </c>
      <c r="J459" s="40">
        <f t="shared" ref="J459:J495" si="105">+IF($B459&gt;15,13,$B459-2)*$J$258</f>
        <v>97.63</v>
      </c>
      <c r="K459" s="40">
        <f t="shared" ref="K459:K495" si="106">+IF($B459&gt;15,$B459-15,0)*$K$258</f>
        <v>1622.3999999999999</v>
      </c>
      <c r="L459" s="179">
        <f t="shared" si="98"/>
        <v>1743.05</v>
      </c>
      <c r="M459" s="54">
        <f t="shared" si="99"/>
        <v>24.171000000000003</v>
      </c>
      <c r="N459" s="54">
        <f t="shared" si="100"/>
        <v>102.5115</v>
      </c>
      <c r="O459" s="54">
        <f t="shared" si="101"/>
        <v>1703.52</v>
      </c>
      <c r="P459" s="54">
        <f t="shared" si="102"/>
        <v>1830.2024999999999</v>
      </c>
    </row>
    <row r="460" spans="2:16" ht="15" customHeight="1" x14ac:dyDescent="0.3">
      <c r="B460" s="164">
        <v>257</v>
      </c>
      <c r="C460" s="165">
        <v>1</v>
      </c>
      <c r="D460" s="165">
        <f t="shared" si="95"/>
        <v>1.05</v>
      </c>
      <c r="E460" s="54">
        <f t="shared" si="94"/>
        <v>2.1</v>
      </c>
      <c r="F460" s="54">
        <f t="shared" si="103"/>
        <v>13.65</v>
      </c>
      <c r="G460" s="54">
        <f t="shared" si="104"/>
        <v>254.10000000000002</v>
      </c>
      <c r="H460" s="54">
        <f t="shared" si="96"/>
        <v>269.85000000000002</v>
      </c>
      <c r="I460" s="40">
        <f t="shared" si="97"/>
        <v>23.020000000000003</v>
      </c>
      <c r="J460" s="40">
        <f t="shared" si="105"/>
        <v>97.63</v>
      </c>
      <c r="K460" s="40">
        <f t="shared" si="106"/>
        <v>1635.9199999999998</v>
      </c>
      <c r="L460" s="179">
        <f t="shared" si="98"/>
        <v>1756.57</v>
      </c>
      <c r="M460" s="54">
        <f t="shared" si="99"/>
        <v>24.171000000000003</v>
      </c>
      <c r="N460" s="54">
        <f t="shared" si="100"/>
        <v>102.5115</v>
      </c>
      <c r="O460" s="54">
        <f t="shared" si="101"/>
        <v>1717.7159999999999</v>
      </c>
      <c r="P460" s="54">
        <f t="shared" si="102"/>
        <v>1844.3984999999998</v>
      </c>
    </row>
    <row r="461" spans="2:16" ht="15" customHeight="1" x14ac:dyDescent="0.3">
      <c r="B461" s="164">
        <v>266</v>
      </c>
      <c r="C461" s="165">
        <v>2</v>
      </c>
      <c r="D461" s="165">
        <f t="shared" si="95"/>
        <v>2.1</v>
      </c>
      <c r="E461" s="54">
        <f t="shared" si="94"/>
        <v>4.2</v>
      </c>
      <c r="F461" s="54">
        <f t="shared" si="103"/>
        <v>27.3</v>
      </c>
      <c r="G461" s="54">
        <f t="shared" si="104"/>
        <v>527.1</v>
      </c>
      <c r="H461" s="54">
        <f t="shared" si="96"/>
        <v>558.6</v>
      </c>
      <c r="I461" s="40">
        <f t="shared" si="97"/>
        <v>23.020000000000003</v>
      </c>
      <c r="J461" s="40">
        <f t="shared" si="105"/>
        <v>97.63</v>
      </c>
      <c r="K461" s="40">
        <f t="shared" si="106"/>
        <v>1696.76</v>
      </c>
      <c r="L461" s="179">
        <f t="shared" si="98"/>
        <v>1817.41</v>
      </c>
      <c r="M461" s="54">
        <f t="shared" si="99"/>
        <v>48.342000000000006</v>
      </c>
      <c r="N461" s="54">
        <f t="shared" si="100"/>
        <v>205.023</v>
      </c>
      <c r="O461" s="54">
        <f t="shared" si="101"/>
        <v>3563.1959999999999</v>
      </c>
      <c r="P461" s="54">
        <f t="shared" si="102"/>
        <v>3816.5609999999997</v>
      </c>
    </row>
    <row r="462" spans="2:16" ht="15" customHeight="1" x14ac:dyDescent="0.3">
      <c r="B462" s="164">
        <v>278</v>
      </c>
      <c r="C462" s="165">
        <v>1</v>
      </c>
      <c r="D462" s="165">
        <f t="shared" si="95"/>
        <v>1.05</v>
      </c>
      <c r="E462" s="54">
        <f t="shared" si="94"/>
        <v>2.1</v>
      </c>
      <c r="F462" s="54">
        <f t="shared" si="103"/>
        <v>13.65</v>
      </c>
      <c r="G462" s="54">
        <f t="shared" si="104"/>
        <v>276.15000000000003</v>
      </c>
      <c r="H462" s="54">
        <f t="shared" si="96"/>
        <v>291.90000000000003</v>
      </c>
      <c r="I462" s="40">
        <f t="shared" si="97"/>
        <v>23.020000000000003</v>
      </c>
      <c r="J462" s="40">
        <f t="shared" si="105"/>
        <v>97.63</v>
      </c>
      <c r="K462" s="40">
        <f t="shared" si="106"/>
        <v>1777.8799999999999</v>
      </c>
      <c r="L462" s="179">
        <f t="shared" si="98"/>
        <v>1898.53</v>
      </c>
      <c r="M462" s="54">
        <f t="shared" si="99"/>
        <v>24.171000000000003</v>
      </c>
      <c r="N462" s="54">
        <f t="shared" si="100"/>
        <v>102.5115</v>
      </c>
      <c r="O462" s="54">
        <f t="shared" si="101"/>
        <v>1866.7739999999999</v>
      </c>
      <c r="P462" s="54">
        <f t="shared" si="102"/>
        <v>1993.4564999999998</v>
      </c>
    </row>
    <row r="463" spans="2:16" ht="15" customHeight="1" x14ac:dyDescent="0.3">
      <c r="B463" s="164">
        <v>279</v>
      </c>
      <c r="C463" s="165">
        <v>1</v>
      </c>
      <c r="D463" s="165">
        <f t="shared" si="95"/>
        <v>1.05</v>
      </c>
      <c r="E463" s="54">
        <f t="shared" si="94"/>
        <v>2.1</v>
      </c>
      <c r="F463" s="54">
        <f t="shared" si="103"/>
        <v>13.65</v>
      </c>
      <c r="G463" s="54">
        <f t="shared" si="104"/>
        <v>277.2</v>
      </c>
      <c r="H463" s="54">
        <f t="shared" si="96"/>
        <v>292.95</v>
      </c>
      <c r="I463" s="40">
        <f t="shared" si="97"/>
        <v>23.020000000000003</v>
      </c>
      <c r="J463" s="40">
        <f t="shared" si="105"/>
        <v>97.63</v>
      </c>
      <c r="K463" s="40">
        <f t="shared" si="106"/>
        <v>1784.6399999999999</v>
      </c>
      <c r="L463" s="179">
        <f t="shared" si="98"/>
        <v>1905.29</v>
      </c>
      <c r="M463" s="54">
        <f t="shared" si="99"/>
        <v>24.171000000000003</v>
      </c>
      <c r="N463" s="54">
        <f t="shared" si="100"/>
        <v>102.5115</v>
      </c>
      <c r="O463" s="54">
        <f t="shared" si="101"/>
        <v>1873.8719999999998</v>
      </c>
      <c r="P463" s="54">
        <f t="shared" si="102"/>
        <v>2000.5544999999997</v>
      </c>
    </row>
    <row r="464" spans="2:16" ht="15" customHeight="1" x14ac:dyDescent="0.3">
      <c r="B464" s="164">
        <v>280</v>
      </c>
      <c r="C464" s="165">
        <v>1</v>
      </c>
      <c r="D464" s="165">
        <f t="shared" si="95"/>
        <v>1.05</v>
      </c>
      <c r="E464" s="54">
        <f t="shared" si="94"/>
        <v>2.1</v>
      </c>
      <c r="F464" s="54">
        <f t="shared" si="103"/>
        <v>13.65</v>
      </c>
      <c r="G464" s="54">
        <f t="shared" si="104"/>
        <v>278.25</v>
      </c>
      <c r="H464" s="54">
        <f t="shared" si="96"/>
        <v>294</v>
      </c>
      <c r="I464" s="40">
        <f t="shared" si="97"/>
        <v>23.020000000000003</v>
      </c>
      <c r="J464" s="40">
        <f t="shared" si="105"/>
        <v>97.63</v>
      </c>
      <c r="K464" s="40">
        <f t="shared" si="106"/>
        <v>1791.3999999999999</v>
      </c>
      <c r="L464" s="179">
        <f t="shared" si="98"/>
        <v>1912.05</v>
      </c>
      <c r="M464" s="54">
        <f t="shared" si="99"/>
        <v>24.171000000000003</v>
      </c>
      <c r="N464" s="54">
        <f t="shared" si="100"/>
        <v>102.5115</v>
      </c>
      <c r="O464" s="54">
        <f t="shared" si="101"/>
        <v>1880.97</v>
      </c>
      <c r="P464" s="54">
        <f t="shared" si="102"/>
        <v>2007.6525000000001</v>
      </c>
    </row>
    <row r="465" spans="2:16" ht="15" customHeight="1" x14ac:dyDescent="0.3">
      <c r="B465" s="164">
        <v>281</v>
      </c>
      <c r="C465" s="165">
        <v>1</v>
      </c>
      <c r="D465" s="165">
        <f t="shared" si="95"/>
        <v>1.05</v>
      </c>
      <c r="E465" s="54">
        <f t="shared" si="94"/>
        <v>2.1</v>
      </c>
      <c r="F465" s="54">
        <f t="shared" si="103"/>
        <v>13.65</v>
      </c>
      <c r="G465" s="54">
        <f t="shared" si="104"/>
        <v>279.3</v>
      </c>
      <c r="H465" s="54">
        <f t="shared" si="96"/>
        <v>295.05</v>
      </c>
      <c r="I465" s="40">
        <f t="shared" si="97"/>
        <v>23.020000000000003</v>
      </c>
      <c r="J465" s="40">
        <f t="shared" si="105"/>
        <v>97.63</v>
      </c>
      <c r="K465" s="40">
        <f t="shared" si="106"/>
        <v>1798.1599999999999</v>
      </c>
      <c r="L465" s="179">
        <f t="shared" si="98"/>
        <v>1918.81</v>
      </c>
      <c r="M465" s="54">
        <f t="shared" si="99"/>
        <v>24.171000000000003</v>
      </c>
      <c r="N465" s="54">
        <f t="shared" si="100"/>
        <v>102.5115</v>
      </c>
      <c r="O465" s="54">
        <f t="shared" si="101"/>
        <v>1888.068</v>
      </c>
      <c r="P465" s="54">
        <f t="shared" si="102"/>
        <v>2014.7505000000001</v>
      </c>
    </row>
    <row r="466" spans="2:16" ht="15" customHeight="1" x14ac:dyDescent="0.3">
      <c r="B466" s="164">
        <v>282</v>
      </c>
      <c r="C466" s="165">
        <v>1</v>
      </c>
      <c r="D466" s="165">
        <f t="shared" si="95"/>
        <v>1.05</v>
      </c>
      <c r="E466" s="54">
        <f t="shared" si="94"/>
        <v>2.1</v>
      </c>
      <c r="F466" s="54">
        <f t="shared" si="103"/>
        <v>13.65</v>
      </c>
      <c r="G466" s="54">
        <f t="shared" si="104"/>
        <v>280.35000000000002</v>
      </c>
      <c r="H466" s="54">
        <f t="shared" si="96"/>
        <v>296.10000000000002</v>
      </c>
      <c r="I466" s="40">
        <f t="shared" si="97"/>
        <v>23.020000000000003</v>
      </c>
      <c r="J466" s="40">
        <f t="shared" si="105"/>
        <v>97.63</v>
      </c>
      <c r="K466" s="40">
        <f t="shared" si="106"/>
        <v>1804.9199999999998</v>
      </c>
      <c r="L466" s="179">
        <f t="shared" si="98"/>
        <v>1925.57</v>
      </c>
      <c r="M466" s="54">
        <f t="shared" si="99"/>
        <v>24.171000000000003</v>
      </c>
      <c r="N466" s="54">
        <f t="shared" si="100"/>
        <v>102.5115</v>
      </c>
      <c r="O466" s="54">
        <f t="shared" si="101"/>
        <v>1895.1659999999999</v>
      </c>
      <c r="P466" s="54">
        <f t="shared" si="102"/>
        <v>2021.8485000000001</v>
      </c>
    </row>
    <row r="467" spans="2:16" ht="15" customHeight="1" x14ac:dyDescent="0.3">
      <c r="B467" s="164">
        <v>289</v>
      </c>
      <c r="C467" s="165">
        <v>1</v>
      </c>
      <c r="D467" s="165">
        <f t="shared" si="95"/>
        <v>1.05</v>
      </c>
      <c r="E467" s="54">
        <f t="shared" si="94"/>
        <v>2.1</v>
      </c>
      <c r="F467" s="54">
        <f t="shared" si="103"/>
        <v>13.65</v>
      </c>
      <c r="G467" s="54">
        <f t="shared" si="104"/>
        <v>287.7</v>
      </c>
      <c r="H467" s="54">
        <f t="shared" si="96"/>
        <v>303.45</v>
      </c>
      <c r="I467" s="40">
        <f t="shared" si="97"/>
        <v>23.020000000000003</v>
      </c>
      <c r="J467" s="40">
        <f t="shared" si="105"/>
        <v>97.63</v>
      </c>
      <c r="K467" s="40">
        <f t="shared" si="106"/>
        <v>1852.24</v>
      </c>
      <c r="L467" s="179">
        <f t="shared" si="98"/>
        <v>1972.89</v>
      </c>
      <c r="M467" s="54">
        <f t="shared" si="99"/>
        <v>24.171000000000003</v>
      </c>
      <c r="N467" s="54">
        <f t="shared" si="100"/>
        <v>102.5115</v>
      </c>
      <c r="O467" s="54">
        <f t="shared" si="101"/>
        <v>1944.8520000000001</v>
      </c>
      <c r="P467" s="54">
        <f t="shared" si="102"/>
        <v>2071.5345000000002</v>
      </c>
    </row>
    <row r="468" spans="2:16" ht="15" customHeight="1" x14ac:dyDescent="0.3">
      <c r="B468" s="164">
        <v>298</v>
      </c>
      <c r="C468" s="165">
        <v>1</v>
      </c>
      <c r="D468" s="165">
        <f t="shared" si="95"/>
        <v>1.05</v>
      </c>
      <c r="E468" s="54">
        <f t="shared" si="94"/>
        <v>2.1</v>
      </c>
      <c r="F468" s="54">
        <f t="shared" si="103"/>
        <v>13.65</v>
      </c>
      <c r="G468" s="54">
        <f t="shared" si="104"/>
        <v>297.15000000000003</v>
      </c>
      <c r="H468" s="54">
        <f t="shared" si="96"/>
        <v>312.90000000000003</v>
      </c>
      <c r="I468" s="40">
        <f t="shared" si="97"/>
        <v>23.020000000000003</v>
      </c>
      <c r="J468" s="40">
        <f t="shared" si="105"/>
        <v>97.63</v>
      </c>
      <c r="K468" s="40">
        <f t="shared" si="106"/>
        <v>1913.08</v>
      </c>
      <c r="L468" s="179">
        <f t="shared" si="98"/>
        <v>2033.73</v>
      </c>
      <c r="M468" s="54">
        <f t="shared" si="99"/>
        <v>24.171000000000003</v>
      </c>
      <c r="N468" s="54">
        <f t="shared" si="100"/>
        <v>102.5115</v>
      </c>
      <c r="O468" s="54">
        <f t="shared" si="101"/>
        <v>2008.7339999999999</v>
      </c>
      <c r="P468" s="54">
        <f t="shared" si="102"/>
        <v>2135.4164999999998</v>
      </c>
    </row>
    <row r="469" spans="2:16" ht="15" customHeight="1" x14ac:dyDescent="0.3">
      <c r="B469" s="164">
        <v>302</v>
      </c>
      <c r="C469" s="165">
        <v>1</v>
      </c>
      <c r="D469" s="165">
        <f t="shared" si="95"/>
        <v>1.05</v>
      </c>
      <c r="E469" s="54">
        <f t="shared" si="94"/>
        <v>2.1</v>
      </c>
      <c r="F469" s="54">
        <f t="shared" si="103"/>
        <v>13.65</v>
      </c>
      <c r="G469" s="54">
        <f t="shared" si="104"/>
        <v>301.35000000000002</v>
      </c>
      <c r="H469" s="54">
        <f t="shared" si="96"/>
        <v>317.10000000000002</v>
      </c>
      <c r="I469" s="40">
        <f t="shared" si="97"/>
        <v>23.020000000000003</v>
      </c>
      <c r="J469" s="40">
        <f t="shared" si="105"/>
        <v>97.63</v>
      </c>
      <c r="K469" s="40">
        <f t="shared" si="106"/>
        <v>1940.12</v>
      </c>
      <c r="L469" s="179">
        <f t="shared" si="98"/>
        <v>2060.77</v>
      </c>
      <c r="M469" s="54">
        <f t="shared" si="99"/>
        <v>24.171000000000003</v>
      </c>
      <c r="N469" s="54">
        <f t="shared" si="100"/>
        <v>102.5115</v>
      </c>
      <c r="O469" s="54">
        <f t="shared" si="101"/>
        <v>2037.126</v>
      </c>
      <c r="P469" s="54">
        <f t="shared" si="102"/>
        <v>2163.8085000000001</v>
      </c>
    </row>
    <row r="470" spans="2:16" ht="15" customHeight="1" x14ac:dyDescent="0.3">
      <c r="B470" s="164">
        <v>307</v>
      </c>
      <c r="C470" s="165">
        <v>1</v>
      </c>
      <c r="D470" s="165">
        <f t="shared" si="95"/>
        <v>1.05</v>
      </c>
      <c r="E470" s="54">
        <f t="shared" si="94"/>
        <v>2.1</v>
      </c>
      <c r="F470" s="54">
        <f t="shared" si="103"/>
        <v>13.65</v>
      </c>
      <c r="G470" s="54">
        <f t="shared" si="104"/>
        <v>306.60000000000002</v>
      </c>
      <c r="H470" s="54">
        <f t="shared" si="96"/>
        <v>322.35000000000002</v>
      </c>
      <c r="I470" s="40">
        <f t="shared" si="97"/>
        <v>23.020000000000003</v>
      </c>
      <c r="J470" s="40">
        <f t="shared" si="105"/>
        <v>97.63</v>
      </c>
      <c r="K470" s="40">
        <f t="shared" si="106"/>
        <v>1973.9199999999998</v>
      </c>
      <c r="L470" s="179">
        <f t="shared" si="98"/>
        <v>2094.5699999999997</v>
      </c>
      <c r="M470" s="54">
        <f t="shared" si="99"/>
        <v>24.171000000000003</v>
      </c>
      <c r="N470" s="54">
        <f t="shared" si="100"/>
        <v>102.5115</v>
      </c>
      <c r="O470" s="54">
        <f t="shared" si="101"/>
        <v>2072.616</v>
      </c>
      <c r="P470" s="54">
        <f t="shared" si="102"/>
        <v>2199.2984999999999</v>
      </c>
    </row>
    <row r="471" spans="2:16" ht="15" customHeight="1" x14ac:dyDescent="0.3">
      <c r="B471" s="164">
        <v>310</v>
      </c>
      <c r="C471" s="165">
        <v>1</v>
      </c>
      <c r="D471" s="165">
        <f t="shared" si="95"/>
        <v>1.05</v>
      </c>
      <c r="E471" s="54">
        <f t="shared" si="94"/>
        <v>2.1</v>
      </c>
      <c r="F471" s="54">
        <f t="shared" si="103"/>
        <v>13.65</v>
      </c>
      <c r="G471" s="54">
        <f t="shared" si="104"/>
        <v>309.75</v>
      </c>
      <c r="H471" s="54">
        <f t="shared" si="96"/>
        <v>325.5</v>
      </c>
      <c r="I471" s="40">
        <f t="shared" si="97"/>
        <v>23.020000000000003</v>
      </c>
      <c r="J471" s="40">
        <f t="shared" si="105"/>
        <v>97.63</v>
      </c>
      <c r="K471" s="40">
        <f t="shared" si="106"/>
        <v>1994.2</v>
      </c>
      <c r="L471" s="179">
        <f t="shared" si="98"/>
        <v>2114.85</v>
      </c>
      <c r="M471" s="54">
        <f t="shared" si="99"/>
        <v>24.171000000000003</v>
      </c>
      <c r="N471" s="54">
        <f t="shared" si="100"/>
        <v>102.5115</v>
      </c>
      <c r="O471" s="54">
        <f t="shared" si="101"/>
        <v>2093.9100000000003</v>
      </c>
      <c r="P471" s="54">
        <f t="shared" si="102"/>
        <v>2220.5925000000002</v>
      </c>
    </row>
    <row r="472" spans="2:16" ht="15" customHeight="1" x14ac:dyDescent="0.3">
      <c r="B472" s="164">
        <v>315</v>
      </c>
      <c r="C472" s="165">
        <v>1</v>
      </c>
      <c r="D472" s="165">
        <f t="shared" si="95"/>
        <v>1.05</v>
      </c>
      <c r="E472" s="54">
        <f t="shared" si="94"/>
        <v>2.1</v>
      </c>
      <c r="F472" s="54">
        <f t="shared" si="103"/>
        <v>13.65</v>
      </c>
      <c r="G472" s="54">
        <f t="shared" si="104"/>
        <v>315</v>
      </c>
      <c r="H472" s="54">
        <f t="shared" si="96"/>
        <v>330.75</v>
      </c>
      <c r="I472" s="40">
        <f t="shared" si="97"/>
        <v>23.020000000000003</v>
      </c>
      <c r="J472" s="40">
        <f t="shared" si="105"/>
        <v>97.63</v>
      </c>
      <c r="K472" s="40">
        <f t="shared" si="106"/>
        <v>2028</v>
      </c>
      <c r="L472" s="179">
        <f t="shared" si="98"/>
        <v>2148.65</v>
      </c>
      <c r="M472" s="54">
        <f t="shared" si="99"/>
        <v>24.171000000000003</v>
      </c>
      <c r="N472" s="54">
        <f t="shared" si="100"/>
        <v>102.5115</v>
      </c>
      <c r="O472" s="54">
        <f t="shared" si="101"/>
        <v>2129.4</v>
      </c>
      <c r="P472" s="54">
        <f t="shared" si="102"/>
        <v>2256.0825</v>
      </c>
    </row>
    <row r="473" spans="2:16" ht="15" customHeight="1" x14ac:dyDescent="0.3">
      <c r="B473" s="164">
        <v>318</v>
      </c>
      <c r="C473" s="165">
        <v>1</v>
      </c>
      <c r="D473" s="165">
        <f t="shared" si="95"/>
        <v>1.05</v>
      </c>
      <c r="E473" s="54">
        <f t="shared" si="94"/>
        <v>2.1</v>
      </c>
      <c r="F473" s="54">
        <f t="shared" si="103"/>
        <v>13.65</v>
      </c>
      <c r="G473" s="54">
        <f t="shared" si="104"/>
        <v>318.15000000000003</v>
      </c>
      <c r="H473" s="54">
        <f t="shared" si="96"/>
        <v>333.90000000000003</v>
      </c>
      <c r="I473" s="40">
        <f t="shared" si="97"/>
        <v>23.020000000000003</v>
      </c>
      <c r="J473" s="40">
        <f t="shared" si="105"/>
        <v>97.63</v>
      </c>
      <c r="K473" s="40">
        <f t="shared" si="106"/>
        <v>2048.2799999999997</v>
      </c>
      <c r="L473" s="179">
        <f t="shared" si="98"/>
        <v>2168.9299999999998</v>
      </c>
      <c r="M473" s="54">
        <f t="shared" si="99"/>
        <v>24.171000000000003</v>
      </c>
      <c r="N473" s="54">
        <f t="shared" si="100"/>
        <v>102.5115</v>
      </c>
      <c r="O473" s="54">
        <f t="shared" si="101"/>
        <v>2150.694</v>
      </c>
      <c r="P473" s="54">
        <f t="shared" si="102"/>
        <v>2277.3764999999999</v>
      </c>
    </row>
    <row r="474" spans="2:16" ht="15" customHeight="1" x14ac:dyDescent="0.3">
      <c r="B474" s="164">
        <v>326</v>
      </c>
      <c r="C474" s="165">
        <v>1</v>
      </c>
      <c r="D474" s="165">
        <f t="shared" si="95"/>
        <v>1.05</v>
      </c>
      <c r="E474" s="54">
        <f t="shared" si="94"/>
        <v>2.1</v>
      </c>
      <c r="F474" s="54">
        <f t="shared" si="103"/>
        <v>13.65</v>
      </c>
      <c r="G474" s="54">
        <f t="shared" si="104"/>
        <v>326.55</v>
      </c>
      <c r="H474" s="54">
        <f t="shared" si="96"/>
        <v>342.3</v>
      </c>
      <c r="I474" s="40">
        <f t="shared" si="97"/>
        <v>23.020000000000003</v>
      </c>
      <c r="J474" s="40">
        <f t="shared" si="105"/>
        <v>97.63</v>
      </c>
      <c r="K474" s="40">
        <f t="shared" si="106"/>
        <v>2102.36</v>
      </c>
      <c r="L474" s="179">
        <f t="shared" si="98"/>
        <v>2223.0100000000002</v>
      </c>
      <c r="M474" s="54">
        <f t="shared" si="99"/>
        <v>24.171000000000003</v>
      </c>
      <c r="N474" s="54">
        <f t="shared" si="100"/>
        <v>102.5115</v>
      </c>
      <c r="O474" s="54">
        <f t="shared" si="101"/>
        <v>2207.4780000000001</v>
      </c>
      <c r="P474" s="54">
        <f t="shared" si="102"/>
        <v>2334.1605</v>
      </c>
    </row>
    <row r="475" spans="2:16" ht="15" customHeight="1" x14ac:dyDescent="0.3">
      <c r="B475" s="164">
        <v>334</v>
      </c>
      <c r="C475" s="165">
        <v>1</v>
      </c>
      <c r="D475" s="165">
        <f t="shared" si="95"/>
        <v>1.05</v>
      </c>
      <c r="E475" s="54">
        <f t="shared" si="94"/>
        <v>2.1</v>
      </c>
      <c r="F475" s="54">
        <f t="shared" si="103"/>
        <v>13.65</v>
      </c>
      <c r="G475" s="54">
        <f t="shared" si="104"/>
        <v>334.95</v>
      </c>
      <c r="H475" s="54">
        <f t="shared" si="96"/>
        <v>350.7</v>
      </c>
      <c r="I475" s="40">
        <f t="shared" si="97"/>
        <v>23.020000000000003</v>
      </c>
      <c r="J475" s="40">
        <f t="shared" si="105"/>
        <v>97.63</v>
      </c>
      <c r="K475" s="40">
        <f t="shared" si="106"/>
        <v>2156.44</v>
      </c>
      <c r="L475" s="179">
        <f t="shared" si="98"/>
        <v>2277.09</v>
      </c>
      <c r="M475" s="54">
        <f t="shared" si="99"/>
        <v>24.171000000000003</v>
      </c>
      <c r="N475" s="54">
        <f t="shared" si="100"/>
        <v>102.5115</v>
      </c>
      <c r="O475" s="54">
        <f t="shared" si="101"/>
        <v>2264.2620000000002</v>
      </c>
      <c r="P475" s="54">
        <f t="shared" si="102"/>
        <v>2390.9445000000001</v>
      </c>
    </row>
    <row r="476" spans="2:16" ht="15" customHeight="1" x14ac:dyDescent="0.3">
      <c r="B476" s="164">
        <v>337</v>
      </c>
      <c r="C476" s="165">
        <v>1</v>
      </c>
      <c r="D476" s="165">
        <f t="shared" si="95"/>
        <v>1.05</v>
      </c>
      <c r="E476" s="54">
        <f t="shared" si="94"/>
        <v>2.1</v>
      </c>
      <c r="F476" s="54">
        <f t="shared" si="103"/>
        <v>13.65</v>
      </c>
      <c r="G476" s="54">
        <f t="shared" si="104"/>
        <v>338.1</v>
      </c>
      <c r="H476" s="54">
        <f t="shared" si="96"/>
        <v>353.85</v>
      </c>
      <c r="I476" s="40">
        <f t="shared" si="97"/>
        <v>23.020000000000003</v>
      </c>
      <c r="J476" s="40">
        <f t="shared" si="105"/>
        <v>97.63</v>
      </c>
      <c r="K476" s="40">
        <f t="shared" si="106"/>
        <v>2176.7199999999998</v>
      </c>
      <c r="L476" s="179">
        <f t="shared" si="98"/>
        <v>2297.37</v>
      </c>
      <c r="M476" s="54">
        <f t="shared" si="99"/>
        <v>24.171000000000003</v>
      </c>
      <c r="N476" s="54">
        <f t="shared" si="100"/>
        <v>102.5115</v>
      </c>
      <c r="O476" s="54">
        <f t="shared" si="101"/>
        <v>2285.556</v>
      </c>
      <c r="P476" s="54">
        <f t="shared" si="102"/>
        <v>2412.2384999999999</v>
      </c>
    </row>
    <row r="477" spans="2:16" ht="15" customHeight="1" x14ac:dyDescent="0.3">
      <c r="B477" s="164">
        <v>338</v>
      </c>
      <c r="C477" s="165">
        <v>1</v>
      </c>
      <c r="D477" s="165">
        <f t="shared" si="95"/>
        <v>1.05</v>
      </c>
      <c r="E477" s="54">
        <f t="shared" si="94"/>
        <v>2.1</v>
      </c>
      <c r="F477" s="54">
        <f t="shared" si="103"/>
        <v>13.65</v>
      </c>
      <c r="G477" s="54">
        <f t="shared" si="104"/>
        <v>339.15000000000003</v>
      </c>
      <c r="H477" s="54">
        <f t="shared" si="96"/>
        <v>354.90000000000003</v>
      </c>
      <c r="I477" s="40">
        <f t="shared" si="97"/>
        <v>23.020000000000003</v>
      </c>
      <c r="J477" s="40">
        <f t="shared" si="105"/>
        <v>97.63</v>
      </c>
      <c r="K477" s="40">
        <f t="shared" si="106"/>
        <v>2183.48</v>
      </c>
      <c r="L477" s="179">
        <f t="shared" si="98"/>
        <v>2304.13</v>
      </c>
      <c r="M477" s="54">
        <f t="shared" si="99"/>
        <v>24.171000000000003</v>
      </c>
      <c r="N477" s="54">
        <f t="shared" si="100"/>
        <v>102.5115</v>
      </c>
      <c r="O477" s="54">
        <f t="shared" si="101"/>
        <v>2292.654</v>
      </c>
      <c r="P477" s="54">
        <f t="shared" si="102"/>
        <v>2419.3364999999999</v>
      </c>
    </row>
    <row r="478" spans="2:16" ht="15" customHeight="1" x14ac:dyDescent="0.3">
      <c r="B478" s="164">
        <v>341</v>
      </c>
      <c r="C478" s="165">
        <v>1</v>
      </c>
      <c r="D478" s="165">
        <f t="shared" si="95"/>
        <v>1.05</v>
      </c>
      <c r="E478" s="54">
        <f t="shared" si="94"/>
        <v>2.1</v>
      </c>
      <c r="F478" s="54">
        <f t="shared" si="103"/>
        <v>13.65</v>
      </c>
      <c r="G478" s="54">
        <f t="shared" si="104"/>
        <v>342.3</v>
      </c>
      <c r="H478" s="54">
        <f t="shared" si="96"/>
        <v>358.05</v>
      </c>
      <c r="I478" s="40">
        <f t="shared" si="97"/>
        <v>23.020000000000003</v>
      </c>
      <c r="J478" s="40">
        <f t="shared" si="105"/>
        <v>97.63</v>
      </c>
      <c r="K478" s="40">
        <f t="shared" si="106"/>
        <v>2203.7599999999998</v>
      </c>
      <c r="L478" s="179">
        <f t="shared" si="98"/>
        <v>2324.41</v>
      </c>
      <c r="M478" s="54">
        <f t="shared" si="99"/>
        <v>24.171000000000003</v>
      </c>
      <c r="N478" s="54">
        <f t="shared" si="100"/>
        <v>102.5115</v>
      </c>
      <c r="O478" s="54">
        <f t="shared" si="101"/>
        <v>2313.9479999999999</v>
      </c>
      <c r="P478" s="54">
        <f t="shared" si="102"/>
        <v>2440.6304999999998</v>
      </c>
    </row>
    <row r="479" spans="2:16" ht="15" customHeight="1" x14ac:dyDescent="0.3">
      <c r="B479" s="164">
        <v>342</v>
      </c>
      <c r="C479" s="165">
        <v>1</v>
      </c>
      <c r="D479" s="165">
        <f t="shared" si="95"/>
        <v>1.05</v>
      </c>
      <c r="E479" s="54">
        <f t="shared" si="94"/>
        <v>2.1</v>
      </c>
      <c r="F479" s="54">
        <f t="shared" si="103"/>
        <v>13.65</v>
      </c>
      <c r="G479" s="54">
        <f t="shared" si="104"/>
        <v>343.35</v>
      </c>
      <c r="H479" s="54">
        <f t="shared" si="96"/>
        <v>359.1</v>
      </c>
      <c r="I479" s="40">
        <f t="shared" si="97"/>
        <v>23.020000000000003</v>
      </c>
      <c r="J479" s="40">
        <f t="shared" si="105"/>
        <v>97.63</v>
      </c>
      <c r="K479" s="40">
        <f t="shared" si="106"/>
        <v>2210.52</v>
      </c>
      <c r="L479" s="179">
        <f t="shared" si="98"/>
        <v>2331.17</v>
      </c>
      <c r="M479" s="54">
        <f t="shared" si="99"/>
        <v>24.171000000000003</v>
      </c>
      <c r="N479" s="54">
        <f t="shared" si="100"/>
        <v>102.5115</v>
      </c>
      <c r="O479" s="54">
        <f t="shared" si="101"/>
        <v>2321.0460000000003</v>
      </c>
      <c r="P479" s="54">
        <f t="shared" si="102"/>
        <v>2447.7285000000002</v>
      </c>
    </row>
    <row r="480" spans="2:16" ht="15" customHeight="1" x14ac:dyDescent="0.3">
      <c r="B480" s="164">
        <v>345</v>
      </c>
      <c r="C480" s="165">
        <v>1</v>
      </c>
      <c r="D480" s="165">
        <f t="shared" si="95"/>
        <v>1.05</v>
      </c>
      <c r="E480" s="54">
        <f t="shared" si="94"/>
        <v>2.1</v>
      </c>
      <c r="F480" s="54">
        <f t="shared" si="103"/>
        <v>13.65</v>
      </c>
      <c r="G480" s="54">
        <f t="shared" si="104"/>
        <v>346.5</v>
      </c>
      <c r="H480" s="54">
        <f t="shared" si="96"/>
        <v>362.25</v>
      </c>
      <c r="I480" s="40">
        <f t="shared" si="97"/>
        <v>23.020000000000003</v>
      </c>
      <c r="J480" s="40">
        <f t="shared" si="105"/>
        <v>97.63</v>
      </c>
      <c r="K480" s="40">
        <f t="shared" si="106"/>
        <v>2230.7999999999997</v>
      </c>
      <c r="L480" s="179">
        <f t="shared" si="98"/>
        <v>2351.4499999999998</v>
      </c>
      <c r="M480" s="54">
        <f t="shared" si="99"/>
        <v>24.171000000000003</v>
      </c>
      <c r="N480" s="54">
        <f t="shared" si="100"/>
        <v>102.5115</v>
      </c>
      <c r="O480" s="54">
        <f t="shared" si="101"/>
        <v>2342.3399999999997</v>
      </c>
      <c r="P480" s="54">
        <f t="shared" si="102"/>
        <v>2469.0224999999996</v>
      </c>
    </row>
    <row r="481" spans="2:16" ht="15" customHeight="1" x14ac:dyDescent="0.3">
      <c r="B481" s="164">
        <v>349</v>
      </c>
      <c r="C481" s="165">
        <v>1</v>
      </c>
      <c r="D481" s="165">
        <f t="shared" si="95"/>
        <v>1.05</v>
      </c>
      <c r="E481" s="54">
        <f t="shared" si="94"/>
        <v>2.1</v>
      </c>
      <c r="F481" s="54">
        <f t="shared" si="103"/>
        <v>13.65</v>
      </c>
      <c r="G481" s="54">
        <f t="shared" si="104"/>
        <v>350.7</v>
      </c>
      <c r="H481" s="54">
        <f t="shared" si="96"/>
        <v>366.45</v>
      </c>
      <c r="I481" s="40">
        <f t="shared" si="97"/>
        <v>23.020000000000003</v>
      </c>
      <c r="J481" s="40">
        <f t="shared" si="105"/>
        <v>97.63</v>
      </c>
      <c r="K481" s="40">
        <f t="shared" si="106"/>
        <v>2257.84</v>
      </c>
      <c r="L481" s="179">
        <f t="shared" si="98"/>
        <v>2378.4900000000002</v>
      </c>
      <c r="M481" s="54">
        <f t="shared" si="99"/>
        <v>24.171000000000003</v>
      </c>
      <c r="N481" s="54">
        <f t="shared" si="100"/>
        <v>102.5115</v>
      </c>
      <c r="O481" s="54">
        <f t="shared" si="101"/>
        <v>2370.7320000000004</v>
      </c>
      <c r="P481" s="54">
        <f t="shared" si="102"/>
        <v>2497.4145000000003</v>
      </c>
    </row>
    <row r="482" spans="2:16" ht="15" customHeight="1" x14ac:dyDescent="0.3">
      <c r="B482" s="164">
        <v>353</v>
      </c>
      <c r="C482" s="165">
        <v>1</v>
      </c>
      <c r="D482" s="165">
        <f t="shared" si="95"/>
        <v>1.05</v>
      </c>
      <c r="E482" s="54">
        <f t="shared" si="94"/>
        <v>2.1</v>
      </c>
      <c r="F482" s="54">
        <f t="shared" si="103"/>
        <v>13.65</v>
      </c>
      <c r="G482" s="54">
        <f t="shared" si="104"/>
        <v>354.90000000000003</v>
      </c>
      <c r="H482" s="54">
        <f t="shared" si="96"/>
        <v>370.65000000000003</v>
      </c>
      <c r="I482" s="40">
        <f t="shared" si="97"/>
        <v>23.020000000000003</v>
      </c>
      <c r="J482" s="40">
        <f t="shared" si="105"/>
        <v>97.63</v>
      </c>
      <c r="K482" s="40">
        <f t="shared" si="106"/>
        <v>2284.88</v>
      </c>
      <c r="L482" s="179">
        <f t="shared" si="98"/>
        <v>2405.5300000000002</v>
      </c>
      <c r="M482" s="54">
        <f t="shared" si="99"/>
        <v>24.171000000000003</v>
      </c>
      <c r="N482" s="54">
        <f t="shared" si="100"/>
        <v>102.5115</v>
      </c>
      <c r="O482" s="54">
        <f t="shared" si="101"/>
        <v>2399.1240000000003</v>
      </c>
      <c r="P482" s="54">
        <f t="shared" si="102"/>
        <v>2525.8065000000001</v>
      </c>
    </row>
    <row r="483" spans="2:16" ht="15" customHeight="1" x14ac:dyDescent="0.3">
      <c r="B483" s="164">
        <v>354</v>
      </c>
      <c r="C483" s="165">
        <v>1</v>
      </c>
      <c r="D483" s="165">
        <f t="shared" si="95"/>
        <v>1.05</v>
      </c>
      <c r="E483" s="54">
        <f t="shared" si="94"/>
        <v>2.1</v>
      </c>
      <c r="F483" s="54">
        <f t="shared" si="103"/>
        <v>13.65</v>
      </c>
      <c r="G483" s="54">
        <f t="shared" si="104"/>
        <v>355.95</v>
      </c>
      <c r="H483" s="54">
        <f t="shared" si="96"/>
        <v>371.7</v>
      </c>
      <c r="I483" s="40">
        <f t="shared" si="97"/>
        <v>23.020000000000003</v>
      </c>
      <c r="J483" s="40">
        <f t="shared" si="105"/>
        <v>97.63</v>
      </c>
      <c r="K483" s="40">
        <f t="shared" si="106"/>
        <v>2291.64</v>
      </c>
      <c r="L483" s="179">
        <f t="shared" si="98"/>
        <v>2412.29</v>
      </c>
      <c r="M483" s="54">
        <f t="shared" si="99"/>
        <v>24.171000000000003</v>
      </c>
      <c r="N483" s="54">
        <f t="shared" si="100"/>
        <v>102.5115</v>
      </c>
      <c r="O483" s="54">
        <f t="shared" si="101"/>
        <v>2406.2219999999998</v>
      </c>
      <c r="P483" s="54">
        <f t="shared" si="102"/>
        <v>2532.9044999999996</v>
      </c>
    </row>
    <row r="484" spans="2:16" ht="15" customHeight="1" x14ac:dyDescent="0.3">
      <c r="B484" s="164">
        <v>395</v>
      </c>
      <c r="C484" s="165">
        <v>1</v>
      </c>
      <c r="D484" s="165">
        <f t="shared" si="95"/>
        <v>1.05</v>
      </c>
      <c r="E484" s="54">
        <f t="shared" si="94"/>
        <v>2.1</v>
      </c>
      <c r="F484" s="54">
        <f t="shared" si="103"/>
        <v>13.65</v>
      </c>
      <c r="G484" s="54">
        <f t="shared" si="104"/>
        <v>399</v>
      </c>
      <c r="H484" s="54">
        <f t="shared" si="96"/>
        <v>414.75</v>
      </c>
      <c r="I484" s="40">
        <f t="shared" si="97"/>
        <v>23.020000000000003</v>
      </c>
      <c r="J484" s="40">
        <f t="shared" si="105"/>
        <v>97.63</v>
      </c>
      <c r="K484" s="40">
        <f t="shared" si="106"/>
        <v>2568.7999999999997</v>
      </c>
      <c r="L484" s="179">
        <f t="shared" si="98"/>
        <v>2689.45</v>
      </c>
      <c r="M484" s="54">
        <f t="shared" si="99"/>
        <v>24.171000000000003</v>
      </c>
      <c r="N484" s="54">
        <f t="shared" si="100"/>
        <v>102.5115</v>
      </c>
      <c r="O484" s="54">
        <f t="shared" si="101"/>
        <v>2697.24</v>
      </c>
      <c r="P484" s="54">
        <f t="shared" si="102"/>
        <v>2823.9224999999997</v>
      </c>
    </row>
    <row r="485" spans="2:16" ht="15" customHeight="1" x14ac:dyDescent="0.3">
      <c r="B485" s="164">
        <v>404</v>
      </c>
      <c r="C485" s="165">
        <v>1</v>
      </c>
      <c r="D485" s="165">
        <f t="shared" si="95"/>
        <v>1.05</v>
      </c>
      <c r="E485" s="54">
        <f t="shared" si="94"/>
        <v>2.1</v>
      </c>
      <c r="F485" s="54">
        <f t="shared" si="103"/>
        <v>13.65</v>
      </c>
      <c r="G485" s="54">
        <f t="shared" si="104"/>
        <v>408.45000000000005</v>
      </c>
      <c r="H485" s="54">
        <f t="shared" si="96"/>
        <v>424.20000000000005</v>
      </c>
      <c r="I485" s="40">
        <f t="shared" si="97"/>
        <v>23.020000000000003</v>
      </c>
      <c r="J485" s="40">
        <f t="shared" si="105"/>
        <v>97.63</v>
      </c>
      <c r="K485" s="40">
        <f t="shared" si="106"/>
        <v>2629.64</v>
      </c>
      <c r="L485" s="179">
        <f t="shared" si="98"/>
        <v>2750.29</v>
      </c>
      <c r="M485" s="54">
        <f t="shared" si="99"/>
        <v>24.171000000000003</v>
      </c>
      <c r="N485" s="54">
        <f t="shared" si="100"/>
        <v>102.5115</v>
      </c>
      <c r="O485" s="54">
        <f t="shared" si="101"/>
        <v>2761.1219999999998</v>
      </c>
      <c r="P485" s="54">
        <f t="shared" si="102"/>
        <v>2887.8044999999997</v>
      </c>
    </row>
    <row r="486" spans="2:16" ht="15" customHeight="1" x14ac:dyDescent="0.3">
      <c r="B486" s="164">
        <v>416</v>
      </c>
      <c r="C486" s="165">
        <v>1</v>
      </c>
      <c r="D486" s="165">
        <f t="shared" si="95"/>
        <v>1.05</v>
      </c>
      <c r="E486" s="54">
        <f t="shared" si="94"/>
        <v>2.1</v>
      </c>
      <c r="F486" s="54">
        <f t="shared" si="103"/>
        <v>13.65</v>
      </c>
      <c r="G486" s="54">
        <f t="shared" si="104"/>
        <v>421.05</v>
      </c>
      <c r="H486" s="54">
        <f t="shared" si="96"/>
        <v>436.8</v>
      </c>
      <c r="I486" s="40">
        <f t="shared" si="97"/>
        <v>23.020000000000003</v>
      </c>
      <c r="J486" s="40">
        <f t="shared" si="105"/>
        <v>97.63</v>
      </c>
      <c r="K486" s="40">
        <f t="shared" si="106"/>
        <v>2710.7599999999998</v>
      </c>
      <c r="L486" s="179">
        <f t="shared" si="98"/>
        <v>2831.41</v>
      </c>
      <c r="M486" s="54">
        <f t="shared" si="99"/>
        <v>24.171000000000003</v>
      </c>
      <c r="N486" s="54">
        <f t="shared" si="100"/>
        <v>102.5115</v>
      </c>
      <c r="O486" s="54">
        <f t="shared" si="101"/>
        <v>2846.2979999999998</v>
      </c>
      <c r="P486" s="54">
        <f t="shared" si="102"/>
        <v>2972.9804999999997</v>
      </c>
    </row>
    <row r="487" spans="2:16" ht="15" customHeight="1" x14ac:dyDescent="0.3">
      <c r="B487" s="164">
        <v>420</v>
      </c>
      <c r="C487" s="165">
        <v>1</v>
      </c>
      <c r="D487" s="165">
        <f t="shared" si="95"/>
        <v>1.05</v>
      </c>
      <c r="E487" s="54">
        <f t="shared" si="94"/>
        <v>2.1</v>
      </c>
      <c r="F487" s="54">
        <f t="shared" si="103"/>
        <v>13.65</v>
      </c>
      <c r="G487" s="54">
        <f t="shared" si="104"/>
        <v>425.25</v>
      </c>
      <c r="H487" s="54">
        <f t="shared" si="96"/>
        <v>441</v>
      </c>
      <c r="I487" s="40">
        <f t="shared" si="97"/>
        <v>23.020000000000003</v>
      </c>
      <c r="J487" s="40">
        <f t="shared" si="105"/>
        <v>97.63</v>
      </c>
      <c r="K487" s="40">
        <f t="shared" si="106"/>
        <v>2737.7999999999997</v>
      </c>
      <c r="L487" s="179">
        <f t="shared" si="98"/>
        <v>2858.45</v>
      </c>
      <c r="M487" s="54">
        <f t="shared" si="99"/>
        <v>24.171000000000003</v>
      </c>
      <c r="N487" s="54">
        <f t="shared" si="100"/>
        <v>102.5115</v>
      </c>
      <c r="O487" s="54">
        <f t="shared" si="101"/>
        <v>2874.69</v>
      </c>
      <c r="P487" s="54">
        <f t="shared" si="102"/>
        <v>3001.3724999999999</v>
      </c>
    </row>
    <row r="488" spans="2:16" ht="15" customHeight="1" x14ac:dyDescent="0.3">
      <c r="B488" s="164">
        <v>424</v>
      </c>
      <c r="C488" s="165">
        <v>1</v>
      </c>
      <c r="D488" s="165">
        <f t="shared" si="95"/>
        <v>1.05</v>
      </c>
      <c r="E488" s="54">
        <f t="shared" si="94"/>
        <v>2.1</v>
      </c>
      <c r="F488" s="54">
        <f t="shared" si="103"/>
        <v>13.65</v>
      </c>
      <c r="G488" s="54">
        <f t="shared" si="104"/>
        <v>429.45000000000005</v>
      </c>
      <c r="H488" s="54">
        <f t="shared" si="96"/>
        <v>445.20000000000005</v>
      </c>
      <c r="I488" s="40">
        <f t="shared" si="97"/>
        <v>23.020000000000003</v>
      </c>
      <c r="J488" s="40">
        <f t="shared" si="105"/>
        <v>97.63</v>
      </c>
      <c r="K488" s="40">
        <f t="shared" si="106"/>
        <v>2764.8399999999997</v>
      </c>
      <c r="L488" s="179">
        <f t="shared" si="98"/>
        <v>2885.49</v>
      </c>
      <c r="M488" s="54">
        <f t="shared" si="99"/>
        <v>24.171000000000003</v>
      </c>
      <c r="N488" s="54">
        <f t="shared" si="100"/>
        <v>102.5115</v>
      </c>
      <c r="O488" s="54">
        <f t="shared" si="101"/>
        <v>2903.0819999999999</v>
      </c>
      <c r="P488" s="54">
        <f t="shared" si="102"/>
        <v>3029.7644999999998</v>
      </c>
    </row>
    <row r="489" spans="2:16" ht="15" customHeight="1" x14ac:dyDescent="0.3">
      <c r="B489" s="164">
        <v>436</v>
      </c>
      <c r="C489" s="165">
        <v>1</v>
      </c>
      <c r="D489" s="165">
        <f t="shared" si="95"/>
        <v>1.05</v>
      </c>
      <c r="E489" s="54">
        <f t="shared" si="94"/>
        <v>2.1</v>
      </c>
      <c r="F489" s="54">
        <f t="shared" si="103"/>
        <v>13.65</v>
      </c>
      <c r="G489" s="54">
        <f t="shared" si="104"/>
        <v>442.05</v>
      </c>
      <c r="H489" s="54">
        <f t="shared" si="96"/>
        <v>457.8</v>
      </c>
      <c r="I489" s="40">
        <f t="shared" si="97"/>
        <v>23.020000000000003</v>
      </c>
      <c r="J489" s="40">
        <f t="shared" si="105"/>
        <v>97.63</v>
      </c>
      <c r="K489" s="40">
        <f t="shared" si="106"/>
        <v>2845.96</v>
      </c>
      <c r="L489" s="179">
        <f t="shared" si="98"/>
        <v>2966.61</v>
      </c>
      <c r="M489" s="54">
        <f t="shared" si="99"/>
        <v>24.171000000000003</v>
      </c>
      <c r="N489" s="54">
        <f t="shared" si="100"/>
        <v>102.5115</v>
      </c>
      <c r="O489" s="54">
        <f t="shared" si="101"/>
        <v>2988.2580000000003</v>
      </c>
      <c r="P489" s="54">
        <f t="shared" si="102"/>
        <v>3114.9405000000002</v>
      </c>
    </row>
    <row r="490" spans="2:16" ht="15" customHeight="1" x14ac:dyDescent="0.3">
      <c r="B490" s="164">
        <v>481</v>
      </c>
      <c r="C490" s="165">
        <v>2</v>
      </c>
      <c r="D490" s="165">
        <f t="shared" si="95"/>
        <v>2.1</v>
      </c>
      <c r="E490" s="54">
        <f t="shared" si="94"/>
        <v>4.2</v>
      </c>
      <c r="F490" s="54">
        <f t="shared" si="103"/>
        <v>27.3</v>
      </c>
      <c r="G490" s="54">
        <f t="shared" si="104"/>
        <v>978.6</v>
      </c>
      <c r="H490" s="54">
        <f t="shared" si="96"/>
        <v>1010.1</v>
      </c>
      <c r="I490" s="40">
        <f t="shared" si="97"/>
        <v>23.020000000000003</v>
      </c>
      <c r="J490" s="40">
        <f t="shared" si="105"/>
        <v>97.63</v>
      </c>
      <c r="K490" s="40">
        <f t="shared" si="106"/>
        <v>3150.16</v>
      </c>
      <c r="L490" s="179">
        <f t="shared" si="98"/>
        <v>3270.81</v>
      </c>
      <c r="M490" s="54">
        <f t="shared" si="99"/>
        <v>48.342000000000006</v>
      </c>
      <c r="N490" s="54">
        <f t="shared" si="100"/>
        <v>205.023</v>
      </c>
      <c r="O490" s="54">
        <f t="shared" si="101"/>
        <v>6615.3360000000002</v>
      </c>
      <c r="P490" s="54">
        <f t="shared" si="102"/>
        <v>6868.701</v>
      </c>
    </row>
    <row r="491" spans="2:16" ht="15" customHeight="1" x14ac:dyDescent="0.3">
      <c r="B491" s="164">
        <v>499</v>
      </c>
      <c r="C491" s="165">
        <v>1</v>
      </c>
      <c r="D491" s="165">
        <f t="shared" si="95"/>
        <v>1.05</v>
      </c>
      <c r="E491" s="54">
        <f t="shared" si="94"/>
        <v>2.1</v>
      </c>
      <c r="F491" s="54">
        <f t="shared" si="103"/>
        <v>13.65</v>
      </c>
      <c r="G491" s="54">
        <f t="shared" si="104"/>
        <v>508.20000000000005</v>
      </c>
      <c r="H491" s="54">
        <f t="shared" si="96"/>
        <v>523.95000000000005</v>
      </c>
      <c r="I491" s="40">
        <f t="shared" si="97"/>
        <v>23.020000000000003</v>
      </c>
      <c r="J491" s="40">
        <f t="shared" si="105"/>
        <v>97.63</v>
      </c>
      <c r="K491" s="40">
        <f t="shared" si="106"/>
        <v>3271.8399999999997</v>
      </c>
      <c r="L491" s="179">
        <f t="shared" si="98"/>
        <v>3392.49</v>
      </c>
      <c r="M491" s="54">
        <f t="shared" si="99"/>
        <v>24.171000000000003</v>
      </c>
      <c r="N491" s="54">
        <f t="shared" si="100"/>
        <v>102.5115</v>
      </c>
      <c r="O491" s="54">
        <f t="shared" si="101"/>
        <v>3435.4319999999998</v>
      </c>
      <c r="P491" s="54">
        <f t="shared" si="102"/>
        <v>3562.1144999999997</v>
      </c>
    </row>
    <row r="492" spans="2:16" ht="15" customHeight="1" x14ac:dyDescent="0.3">
      <c r="B492" s="164">
        <v>525</v>
      </c>
      <c r="C492" s="165">
        <v>1</v>
      </c>
      <c r="D492" s="165">
        <f t="shared" si="95"/>
        <v>1.05</v>
      </c>
      <c r="E492" s="54">
        <f t="shared" si="94"/>
        <v>2.1</v>
      </c>
      <c r="F492" s="54">
        <f t="shared" si="103"/>
        <v>13.65</v>
      </c>
      <c r="G492" s="54">
        <f t="shared" si="104"/>
        <v>535.5</v>
      </c>
      <c r="H492" s="54">
        <f t="shared" si="96"/>
        <v>551.25</v>
      </c>
      <c r="I492" s="40">
        <f t="shared" si="97"/>
        <v>23.020000000000003</v>
      </c>
      <c r="J492" s="40">
        <f t="shared" si="105"/>
        <v>97.63</v>
      </c>
      <c r="K492" s="40">
        <f t="shared" si="106"/>
        <v>3447.6</v>
      </c>
      <c r="L492" s="179">
        <f t="shared" si="98"/>
        <v>3568.25</v>
      </c>
      <c r="M492" s="54">
        <f t="shared" si="99"/>
        <v>24.171000000000003</v>
      </c>
      <c r="N492" s="54">
        <f t="shared" si="100"/>
        <v>102.5115</v>
      </c>
      <c r="O492" s="54">
        <f t="shared" si="101"/>
        <v>3619.98</v>
      </c>
      <c r="P492" s="54">
        <f t="shared" si="102"/>
        <v>3746.6624999999999</v>
      </c>
    </row>
    <row r="493" spans="2:16" ht="15" customHeight="1" x14ac:dyDescent="0.3">
      <c r="B493" s="164">
        <v>552</v>
      </c>
      <c r="C493" s="165">
        <v>1</v>
      </c>
      <c r="D493" s="165">
        <f t="shared" si="95"/>
        <v>1.05</v>
      </c>
      <c r="E493" s="54">
        <f t="shared" si="94"/>
        <v>2.1</v>
      </c>
      <c r="F493" s="54">
        <f t="shared" si="103"/>
        <v>13.65</v>
      </c>
      <c r="G493" s="54">
        <f t="shared" si="104"/>
        <v>563.85</v>
      </c>
      <c r="H493" s="54">
        <f t="shared" si="96"/>
        <v>579.6</v>
      </c>
      <c r="I493" s="40">
        <f t="shared" si="97"/>
        <v>23.020000000000003</v>
      </c>
      <c r="J493" s="40">
        <f t="shared" si="105"/>
        <v>97.63</v>
      </c>
      <c r="K493" s="40">
        <f t="shared" si="106"/>
        <v>3630.12</v>
      </c>
      <c r="L493" s="179">
        <f t="shared" si="98"/>
        <v>3750.77</v>
      </c>
      <c r="M493" s="54">
        <f t="shared" si="99"/>
        <v>24.171000000000003</v>
      </c>
      <c r="N493" s="54">
        <f t="shared" si="100"/>
        <v>102.5115</v>
      </c>
      <c r="O493" s="54">
        <f t="shared" si="101"/>
        <v>3811.6260000000002</v>
      </c>
      <c r="P493" s="54">
        <f t="shared" si="102"/>
        <v>3938.3085000000001</v>
      </c>
    </row>
    <row r="494" spans="2:16" ht="15" customHeight="1" x14ac:dyDescent="0.3">
      <c r="B494" s="164">
        <v>569</v>
      </c>
      <c r="C494" s="165">
        <v>1</v>
      </c>
      <c r="D494" s="165">
        <f t="shared" si="95"/>
        <v>1.05</v>
      </c>
      <c r="E494" s="54">
        <f t="shared" si="94"/>
        <v>2.1</v>
      </c>
      <c r="F494" s="54">
        <f t="shared" si="103"/>
        <v>13.65</v>
      </c>
      <c r="G494" s="54">
        <f t="shared" si="104"/>
        <v>581.70000000000005</v>
      </c>
      <c r="H494" s="54">
        <f t="shared" si="96"/>
        <v>597.45000000000005</v>
      </c>
      <c r="I494" s="40">
        <f t="shared" si="97"/>
        <v>23.020000000000003</v>
      </c>
      <c r="J494" s="40">
        <f t="shared" si="105"/>
        <v>97.63</v>
      </c>
      <c r="K494" s="40">
        <f t="shared" si="106"/>
        <v>3745.04</v>
      </c>
      <c r="L494" s="179">
        <f t="shared" si="98"/>
        <v>3865.69</v>
      </c>
      <c r="M494" s="54">
        <f t="shared" si="99"/>
        <v>24.171000000000003</v>
      </c>
      <c r="N494" s="54">
        <f t="shared" si="100"/>
        <v>102.5115</v>
      </c>
      <c r="O494" s="54">
        <f t="shared" si="101"/>
        <v>3932.2919999999999</v>
      </c>
      <c r="P494" s="54">
        <f t="shared" si="102"/>
        <v>4058.9744999999998</v>
      </c>
    </row>
    <row r="495" spans="2:16" ht="15" customHeight="1" x14ac:dyDescent="0.3">
      <c r="B495" s="164">
        <v>1085</v>
      </c>
      <c r="C495" s="165">
        <v>1</v>
      </c>
      <c r="D495" s="165">
        <f t="shared" si="95"/>
        <v>1.05</v>
      </c>
      <c r="E495" s="54">
        <f t="shared" si="94"/>
        <v>2.1</v>
      </c>
      <c r="F495" s="54">
        <f t="shared" si="103"/>
        <v>13.65</v>
      </c>
      <c r="G495" s="54">
        <f t="shared" si="104"/>
        <v>1123.5</v>
      </c>
      <c r="H495" s="54">
        <f t="shared" si="96"/>
        <v>1139.25</v>
      </c>
      <c r="I495" s="40">
        <f t="shared" si="97"/>
        <v>23.020000000000003</v>
      </c>
      <c r="J495" s="40">
        <f t="shared" si="105"/>
        <v>97.63</v>
      </c>
      <c r="K495" s="40">
        <f t="shared" si="106"/>
        <v>7233.2</v>
      </c>
      <c r="L495" s="179">
        <f t="shared" si="98"/>
        <v>7353.8499999999995</v>
      </c>
      <c r="M495" s="54">
        <f t="shared" si="99"/>
        <v>24.171000000000003</v>
      </c>
      <c r="N495" s="54">
        <f t="shared" si="100"/>
        <v>102.5115</v>
      </c>
      <c r="O495" s="54">
        <f t="shared" si="101"/>
        <v>7594.8600000000006</v>
      </c>
      <c r="P495" s="54">
        <f t="shared" si="102"/>
        <v>7721.5425000000005</v>
      </c>
    </row>
    <row r="496" spans="2:16" ht="15" customHeight="1" x14ac:dyDescent="0.3">
      <c r="C496" s="176">
        <f t="shared" ref="C496" si="107">+SUM(C263:C495)</f>
        <v>104214</v>
      </c>
      <c r="D496" s="176">
        <f t="shared" ref="D496" si="108">+SUM(D263:D495)</f>
        <v>109424.7000000002</v>
      </c>
      <c r="E496" s="176">
        <f>+SUM(E263:E495)</f>
        <v>178824.45000000036</v>
      </c>
      <c r="F496" s="176">
        <f t="shared" ref="F496:G496" si="109">+SUM(F263:F495)</f>
        <v>175519.04999999964</v>
      </c>
      <c r="G496" s="176">
        <f t="shared" si="109"/>
        <v>78630.300000000017</v>
      </c>
      <c r="H496" s="176">
        <f>+SUM(H263:H495)</f>
        <v>432973.79999999993</v>
      </c>
      <c r="M496" s="177">
        <f t="shared" ref="M496:P496" si="110">+SUM(M263:M495)</f>
        <v>2518956.5940000052</v>
      </c>
      <c r="N496" s="177">
        <f t="shared" si="110"/>
        <v>1318148.0655000056</v>
      </c>
      <c r="O496" s="177">
        <f t="shared" si="110"/>
        <v>531540.82799999986</v>
      </c>
      <c r="P496" s="177">
        <f t="shared" si="110"/>
        <v>4368645.4874999998</v>
      </c>
    </row>
    <row r="500" spans="2:8" ht="15" customHeight="1" x14ac:dyDescent="0.3">
      <c r="B500" s="35" t="s">
        <v>1044</v>
      </c>
      <c r="C500" s="35"/>
    </row>
    <row r="501" spans="2:8" ht="15" customHeight="1" x14ac:dyDescent="0.3">
      <c r="B501" s="36" t="s">
        <v>1777</v>
      </c>
    </row>
    <row r="502" spans="2:8" ht="15" customHeight="1" x14ac:dyDescent="0.3">
      <c r="B502" s="121"/>
      <c r="C502" s="121"/>
    </row>
    <row r="503" spans="2:8" ht="15" customHeight="1" x14ac:dyDescent="0.3">
      <c r="B503" s="121"/>
      <c r="C503" s="121"/>
    </row>
    <row r="504" spans="2:8" ht="15" customHeight="1" x14ac:dyDescent="0.3">
      <c r="B504" s="121"/>
      <c r="C504" s="121"/>
    </row>
    <row r="508" spans="2:8" ht="15" customHeight="1" x14ac:dyDescent="0.3">
      <c r="C508" s="81" t="s">
        <v>1775</v>
      </c>
      <c r="D508" s="178">
        <v>0.05</v>
      </c>
    </row>
    <row r="509" spans="2:8" ht="15" customHeight="1" x14ac:dyDescent="0.3">
      <c r="B509" s="92" t="s">
        <v>201</v>
      </c>
      <c r="C509" s="92"/>
      <c r="D509" s="92" t="s">
        <v>1774</v>
      </c>
      <c r="E509" s="44" t="s">
        <v>1778</v>
      </c>
      <c r="F509" s="44" t="s">
        <v>1693</v>
      </c>
    </row>
    <row r="510" spans="2:8" ht="15" customHeight="1" x14ac:dyDescent="0.3">
      <c r="B510" s="92" t="s">
        <v>1761</v>
      </c>
      <c r="C510" s="92" t="s">
        <v>37</v>
      </c>
      <c r="D510" s="92" t="s">
        <v>37</v>
      </c>
      <c r="E510" s="44" t="s">
        <v>1762</v>
      </c>
      <c r="F510" s="44" t="s">
        <v>1762</v>
      </c>
      <c r="G510" s="44" t="s">
        <v>1724</v>
      </c>
      <c r="H510" s="44" t="s">
        <v>1724</v>
      </c>
    </row>
    <row r="511" spans="2:8" ht="15" customHeight="1" x14ac:dyDescent="0.3">
      <c r="B511" s="169" t="s">
        <v>1763</v>
      </c>
      <c r="C511" s="169" t="s">
        <v>1767</v>
      </c>
      <c r="D511" s="169" t="s">
        <v>1767</v>
      </c>
      <c r="E511" s="169" t="s">
        <v>1766</v>
      </c>
      <c r="F511" s="169" t="s">
        <v>1766</v>
      </c>
      <c r="G511" s="169" t="s">
        <v>1766</v>
      </c>
      <c r="H511" s="169" t="s">
        <v>1779</v>
      </c>
    </row>
    <row r="512" spans="2:8" ht="15" customHeight="1" x14ac:dyDescent="0.3">
      <c r="B512" s="164">
        <v>0</v>
      </c>
      <c r="C512" s="165">
        <v>9207</v>
      </c>
      <c r="D512" s="165">
        <f>+C512*(1+$D$10)</f>
        <v>9667.35</v>
      </c>
      <c r="E512" s="179">
        <f>+L14</f>
        <v>19.63</v>
      </c>
      <c r="F512" s="179">
        <f>+L263</f>
        <v>23.020000000000003</v>
      </c>
      <c r="G512" s="179">
        <f>+F512-E512</f>
        <v>3.3900000000000041</v>
      </c>
      <c r="H512" s="43">
        <f>+F512/E512-1</f>
        <v>0.17269485481406033</v>
      </c>
    </row>
    <row r="513" spans="2:8" ht="15" customHeight="1" x14ac:dyDescent="0.3">
      <c r="B513" s="164">
        <v>1</v>
      </c>
      <c r="C513" s="165">
        <v>19705</v>
      </c>
      <c r="D513" s="165">
        <f t="shared" ref="D513:D576" si="111">+C513*(1+$D$10)</f>
        <v>20690.25</v>
      </c>
      <c r="E513" s="179">
        <f t="shared" ref="E513:E576" si="112">+L15</f>
        <v>19.63</v>
      </c>
      <c r="F513" s="179">
        <f t="shared" ref="F513:F576" si="113">+L264</f>
        <v>23.020000000000003</v>
      </c>
      <c r="G513" s="179">
        <f t="shared" ref="G513:G576" si="114">+F513-E513</f>
        <v>3.3900000000000041</v>
      </c>
      <c r="H513" s="43">
        <f t="shared" ref="H513:H576" si="115">+F513/E513-1</f>
        <v>0.17269485481406033</v>
      </c>
    </row>
    <row r="514" spans="2:8" ht="15" customHeight="1" x14ac:dyDescent="0.3">
      <c r="B514" s="166">
        <v>2</v>
      </c>
      <c r="C514" s="167">
        <v>21864</v>
      </c>
      <c r="D514" s="167">
        <f t="shared" si="111"/>
        <v>22957.200000000001</v>
      </c>
      <c r="E514" s="180">
        <f t="shared" si="112"/>
        <v>19.63</v>
      </c>
      <c r="F514" s="180">
        <f t="shared" si="113"/>
        <v>23.020000000000003</v>
      </c>
      <c r="G514" s="180">
        <f t="shared" si="114"/>
        <v>3.3900000000000041</v>
      </c>
      <c r="H514" s="181">
        <f t="shared" si="115"/>
        <v>0.17269485481406033</v>
      </c>
    </row>
    <row r="515" spans="2:8" ht="15" customHeight="1" x14ac:dyDescent="0.3">
      <c r="B515" s="164">
        <v>3</v>
      </c>
      <c r="C515" s="165">
        <v>18733</v>
      </c>
      <c r="D515" s="165">
        <f t="shared" si="111"/>
        <v>19669.650000000001</v>
      </c>
      <c r="E515" s="179">
        <f t="shared" si="112"/>
        <v>26.03</v>
      </c>
      <c r="F515" s="179">
        <f t="shared" si="113"/>
        <v>30.53</v>
      </c>
      <c r="G515" s="179">
        <f t="shared" si="114"/>
        <v>4.5</v>
      </c>
      <c r="H515" s="43">
        <f t="shared" si="115"/>
        <v>0.1728774490971956</v>
      </c>
    </row>
    <row r="516" spans="2:8" ht="15" customHeight="1" x14ac:dyDescent="0.3">
      <c r="B516" s="164">
        <v>4</v>
      </c>
      <c r="C516" s="165">
        <v>12622</v>
      </c>
      <c r="D516" s="165">
        <f t="shared" si="111"/>
        <v>13253.1</v>
      </c>
      <c r="E516" s="179">
        <f t="shared" si="112"/>
        <v>32.43</v>
      </c>
      <c r="F516" s="179">
        <f t="shared" si="113"/>
        <v>38.040000000000006</v>
      </c>
      <c r="G516" s="179">
        <f t="shared" si="114"/>
        <v>5.6100000000000065</v>
      </c>
      <c r="H516" s="43">
        <f t="shared" si="115"/>
        <v>0.17298797409805755</v>
      </c>
    </row>
    <row r="517" spans="2:8" ht="15" customHeight="1" x14ac:dyDescent="0.3">
      <c r="B517" s="164">
        <v>5</v>
      </c>
      <c r="C517" s="165">
        <v>7621</v>
      </c>
      <c r="D517" s="165">
        <f t="shared" si="111"/>
        <v>8002.05</v>
      </c>
      <c r="E517" s="179">
        <f t="shared" si="112"/>
        <v>38.83</v>
      </c>
      <c r="F517" s="179">
        <f t="shared" si="113"/>
        <v>45.550000000000004</v>
      </c>
      <c r="G517" s="179">
        <f t="shared" si="114"/>
        <v>6.720000000000006</v>
      </c>
      <c r="H517" s="43">
        <f t="shared" si="115"/>
        <v>0.17306206541334035</v>
      </c>
    </row>
    <row r="518" spans="2:8" ht="15" customHeight="1" x14ac:dyDescent="0.3">
      <c r="B518" s="164">
        <v>6</v>
      </c>
      <c r="C518" s="165">
        <v>4549</v>
      </c>
      <c r="D518" s="165">
        <f t="shared" si="111"/>
        <v>4776.45</v>
      </c>
      <c r="E518" s="179">
        <f t="shared" si="112"/>
        <v>45.230000000000004</v>
      </c>
      <c r="F518" s="179">
        <f t="shared" si="113"/>
        <v>53.06</v>
      </c>
      <c r="G518" s="179">
        <f t="shared" si="114"/>
        <v>7.8299999999999983</v>
      </c>
      <c r="H518" s="43">
        <f t="shared" si="115"/>
        <v>0.17311518903382694</v>
      </c>
    </row>
    <row r="519" spans="2:8" ht="15" customHeight="1" x14ac:dyDescent="0.3">
      <c r="B519" s="164">
        <v>7</v>
      </c>
      <c r="C519" s="165">
        <v>2650</v>
      </c>
      <c r="D519" s="165">
        <f t="shared" si="111"/>
        <v>2782.5</v>
      </c>
      <c r="E519" s="179">
        <f t="shared" si="112"/>
        <v>51.629999999999995</v>
      </c>
      <c r="F519" s="179">
        <f t="shared" si="113"/>
        <v>60.57</v>
      </c>
      <c r="G519" s="179">
        <f t="shared" si="114"/>
        <v>8.9400000000000048</v>
      </c>
      <c r="H519" s="43">
        <f t="shared" si="115"/>
        <v>0.17315514235909357</v>
      </c>
    </row>
    <row r="520" spans="2:8" ht="15" customHeight="1" x14ac:dyDescent="0.3">
      <c r="B520" s="164">
        <v>8</v>
      </c>
      <c r="C520" s="165">
        <v>1642</v>
      </c>
      <c r="D520" s="165">
        <f t="shared" si="111"/>
        <v>1724.1000000000001</v>
      </c>
      <c r="E520" s="179">
        <f t="shared" si="112"/>
        <v>58.03</v>
      </c>
      <c r="F520" s="179">
        <f t="shared" si="113"/>
        <v>68.080000000000013</v>
      </c>
      <c r="G520" s="179">
        <f t="shared" si="114"/>
        <v>10.050000000000011</v>
      </c>
      <c r="H520" s="43">
        <f t="shared" si="115"/>
        <v>0.17318628295709138</v>
      </c>
    </row>
    <row r="521" spans="2:8" ht="15" customHeight="1" x14ac:dyDescent="0.3">
      <c r="B521" s="164">
        <v>9</v>
      </c>
      <c r="C521" s="165">
        <v>1021</v>
      </c>
      <c r="D521" s="165">
        <f t="shared" si="111"/>
        <v>1072.05</v>
      </c>
      <c r="E521" s="179">
        <f t="shared" si="112"/>
        <v>64.430000000000007</v>
      </c>
      <c r="F521" s="179">
        <f t="shared" si="113"/>
        <v>75.59</v>
      </c>
      <c r="G521" s="179">
        <f t="shared" si="114"/>
        <v>11.159999999999997</v>
      </c>
      <c r="H521" s="43">
        <f t="shared" si="115"/>
        <v>0.17321123700139673</v>
      </c>
    </row>
    <row r="522" spans="2:8" ht="15" customHeight="1" x14ac:dyDescent="0.3">
      <c r="B522" s="164">
        <v>10</v>
      </c>
      <c r="C522" s="165">
        <v>743</v>
      </c>
      <c r="D522" s="165">
        <f t="shared" si="111"/>
        <v>780.15</v>
      </c>
      <c r="E522" s="179">
        <f t="shared" si="112"/>
        <v>70.83</v>
      </c>
      <c r="F522" s="179">
        <f t="shared" si="113"/>
        <v>83.1</v>
      </c>
      <c r="G522" s="179">
        <f t="shared" si="114"/>
        <v>12.269999999999996</v>
      </c>
      <c r="H522" s="43">
        <f t="shared" si="115"/>
        <v>0.17323168149089363</v>
      </c>
    </row>
    <row r="523" spans="2:8" ht="15" customHeight="1" x14ac:dyDescent="0.3">
      <c r="B523" s="164">
        <v>11</v>
      </c>
      <c r="C523" s="165">
        <v>528</v>
      </c>
      <c r="D523" s="165">
        <f t="shared" si="111"/>
        <v>554.4</v>
      </c>
      <c r="E523" s="179">
        <f t="shared" si="112"/>
        <v>77.23</v>
      </c>
      <c r="F523" s="179">
        <f t="shared" si="113"/>
        <v>90.610000000000014</v>
      </c>
      <c r="G523" s="179">
        <f t="shared" si="114"/>
        <v>13.38000000000001</v>
      </c>
      <c r="H523" s="43">
        <f t="shared" si="115"/>
        <v>0.17324873753722669</v>
      </c>
    </row>
    <row r="524" spans="2:8" ht="15" customHeight="1" x14ac:dyDescent="0.3">
      <c r="B524" s="164">
        <v>12</v>
      </c>
      <c r="C524" s="165">
        <v>403</v>
      </c>
      <c r="D524" s="165">
        <f t="shared" si="111"/>
        <v>423.15000000000003</v>
      </c>
      <c r="E524" s="179">
        <f t="shared" si="112"/>
        <v>83.63</v>
      </c>
      <c r="F524" s="179">
        <f t="shared" si="113"/>
        <v>98.12</v>
      </c>
      <c r="G524" s="179">
        <f t="shared" si="114"/>
        <v>14.490000000000009</v>
      </c>
      <c r="H524" s="43">
        <f t="shared" si="115"/>
        <v>0.17326318306827715</v>
      </c>
    </row>
    <row r="525" spans="2:8" ht="15" customHeight="1" x14ac:dyDescent="0.3">
      <c r="B525" s="164">
        <v>13</v>
      </c>
      <c r="C525" s="165">
        <v>317</v>
      </c>
      <c r="D525" s="165">
        <f t="shared" si="111"/>
        <v>332.85</v>
      </c>
      <c r="E525" s="179">
        <f t="shared" si="112"/>
        <v>90.03</v>
      </c>
      <c r="F525" s="179">
        <f t="shared" si="113"/>
        <v>105.63</v>
      </c>
      <c r="G525" s="179">
        <f t="shared" si="114"/>
        <v>15.599999999999994</v>
      </c>
      <c r="H525" s="43">
        <f t="shared" si="115"/>
        <v>0.17327557480839717</v>
      </c>
    </row>
    <row r="526" spans="2:8" ht="15" customHeight="1" x14ac:dyDescent="0.3">
      <c r="B526" s="164">
        <v>14</v>
      </c>
      <c r="C526" s="165">
        <v>254</v>
      </c>
      <c r="D526" s="165">
        <f t="shared" si="111"/>
        <v>266.7</v>
      </c>
      <c r="E526" s="179">
        <f t="shared" si="112"/>
        <v>96.43</v>
      </c>
      <c r="F526" s="179">
        <f t="shared" si="113"/>
        <v>113.14000000000001</v>
      </c>
      <c r="G526" s="179">
        <f t="shared" si="114"/>
        <v>16.710000000000008</v>
      </c>
      <c r="H526" s="43">
        <f t="shared" si="115"/>
        <v>0.17328632168412317</v>
      </c>
    </row>
    <row r="527" spans="2:8" ht="15" customHeight="1" x14ac:dyDescent="0.3">
      <c r="B527" s="166">
        <v>15</v>
      </c>
      <c r="C527" s="167">
        <v>211</v>
      </c>
      <c r="D527" s="167">
        <f t="shared" si="111"/>
        <v>221.55</v>
      </c>
      <c r="E527" s="180">
        <f t="shared" si="112"/>
        <v>102.83</v>
      </c>
      <c r="F527" s="180">
        <f t="shared" si="113"/>
        <v>120.65</v>
      </c>
      <c r="G527" s="180">
        <f t="shared" si="114"/>
        <v>17.820000000000007</v>
      </c>
      <c r="H527" s="181">
        <f t="shared" si="115"/>
        <v>0.17329573081785488</v>
      </c>
    </row>
    <row r="528" spans="2:8" ht="15" customHeight="1" x14ac:dyDescent="0.3">
      <c r="B528" s="164">
        <v>16</v>
      </c>
      <c r="C528" s="165">
        <v>183</v>
      </c>
      <c r="D528" s="165">
        <f t="shared" si="111"/>
        <v>192.15</v>
      </c>
      <c r="E528" s="179">
        <f t="shared" si="112"/>
        <v>108.59</v>
      </c>
      <c r="F528" s="179">
        <f t="shared" si="113"/>
        <v>127.41000000000001</v>
      </c>
      <c r="G528" s="179">
        <f t="shared" si="114"/>
        <v>18.820000000000007</v>
      </c>
      <c r="H528" s="43">
        <f t="shared" si="115"/>
        <v>0.17331245971083908</v>
      </c>
    </row>
    <row r="529" spans="2:8" ht="15" customHeight="1" x14ac:dyDescent="0.3">
      <c r="B529" s="164">
        <v>17</v>
      </c>
      <c r="C529" s="165">
        <v>130</v>
      </c>
      <c r="D529" s="165">
        <f t="shared" si="111"/>
        <v>136.5</v>
      </c>
      <c r="E529" s="179">
        <f t="shared" si="112"/>
        <v>114.35</v>
      </c>
      <c r="F529" s="179">
        <f t="shared" si="113"/>
        <v>134.17000000000002</v>
      </c>
      <c r="G529" s="179">
        <f t="shared" si="114"/>
        <v>19.820000000000022</v>
      </c>
      <c r="H529" s="43">
        <f t="shared" si="115"/>
        <v>0.17332750327940549</v>
      </c>
    </row>
    <row r="530" spans="2:8" ht="15" customHeight="1" x14ac:dyDescent="0.3">
      <c r="B530" s="164">
        <v>18</v>
      </c>
      <c r="C530" s="165">
        <v>123</v>
      </c>
      <c r="D530" s="165">
        <f t="shared" si="111"/>
        <v>129.15</v>
      </c>
      <c r="E530" s="179">
        <f t="shared" si="112"/>
        <v>120.11</v>
      </c>
      <c r="F530" s="179">
        <f t="shared" si="113"/>
        <v>140.93</v>
      </c>
      <c r="G530" s="179">
        <f t="shared" si="114"/>
        <v>20.820000000000007</v>
      </c>
      <c r="H530" s="43">
        <f t="shared" si="115"/>
        <v>0.17334110398801106</v>
      </c>
    </row>
    <row r="531" spans="2:8" ht="15" customHeight="1" x14ac:dyDescent="0.3">
      <c r="B531" s="164">
        <v>19</v>
      </c>
      <c r="C531" s="165">
        <v>78</v>
      </c>
      <c r="D531" s="165">
        <f t="shared" si="111"/>
        <v>81.900000000000006</v>
      </c>
      <c r="E531" s="179">
        <f t="shared" si="112"/>
        <v>125.87</v>
      </c>
      <c r="F531" s="179">
        <f t="shared" si="113"/>
        <v>147.69</v>
      </c>
      <c r="G531" s="179">
        <f t="shared" si="114"/>
        <v>21.819999999999993</v>
      </c>
      <c r="H531" s="43">
        <f t="shared" si="115"/>
        <v>0.17335345991896389</v>
      </c>
    </row>
    <row r="532" spans="2:8" ht="15" customHeight="1" x14ac:dyDescent="0.3">
      <c r="B532" s="164">
        <v>20</v>
      </c>
      <c r="C532" s="165">
        <v>107</v>
      </c>
      <c r="D532" s="165">
        <f t="shared" si="111"/>
        <v>112.35000000000001</v>
      </c>
      <c r="E532" s="179">
        <f t="shared" si="112"/>
        <v>131.63</v>
      </c>
      <c r="F532" s="179">
        <f t="shared" si="113"/>
        <v>154.44999999999999</v>
      </c>
      <c r="G532" s="179">
        <f t="shared" si="114"/>
        <v>22.819999999999993</v>
      </c>
      <c r="H532" s="43">
        <f t="shared" si="115"/>
        <v>0.17336473448302048</v>
      </c>
    </row>
    <row r="533" spans="2:8" ht="15" customHeight="1" x14ac:dyDescent="0.3">
      <c r="B533" s="164">
        <v>21</v>
      </c>
      <c r="C533" s="165">
        <v>84</v>
      </c>
      <c r="D533" s="165">
        <f t="shared" si="111"/>
        <v>88.2</v>
      </c>
      <c r="E533" s="179">
        <f t="shared" si="112"/>
        <v>137.38999999999999</v>
      </c>
      <c r="F533" s="179">
        <f t="shared" si="113"/>
        <v>161.21</v>
      </c>
      <c r="G533" s="179">
        <f t="shared" si="114"/>
        <v>23.820000000000022</v>
      </c>
      <c r="H533" s="43">
        <f t="shared" si="115"/>
        <v>0.1733750636873137</v>
      </c>
    </row>
    <row r="534" spans="2:8" ht="15" customHeight="1" x14ac:dyDescent="0.3">
      <c r="B534" s="164">
        <v>22</v>
      </c>
      <c r="C534" s="165">
        <v>69</v>
      </c>
      <c r="D534" s="165">
        <f t="shared" si="111"/>
        <v>72.45</v>
      </c>
      <c r="E534" s="179">
        <f t="shared" si="112"/>
        <v>143.15</v>
      </c>
      <c r="F534" s="179">
        <f t="shared" si="113"/>
        <v>167.97</v>
      </c>
      <c r="G534" s="179">
        <f t="shared" si="114"/>
        <v>24.819999999999993</v>
      </c>
      <c r="H534" s="43">
        <f t="shared" si="115"/>
        <v>0.17338456164862026</v>
      </c>
    </row>
    <row r="535" spans="2:8" ht="15" customHeight="1" x14ac:dyDescent="0.3">
      <c r="B535" s="164">
        <v>23</v>
      </c>
      <c r="C535" s="165">
        <v>84</v>
      </c>
      <c r="D535" s="165">
        <f t="shared" si="111"/>
        <v>88.2</v>
      </c>
      <c r="E535" s="179">
        <f t="shared" si="112"/>
        <v>148.91</v>
      </c>
      <c r="F535" s="179">
        <f t="shared" si="113"/>
        <v>174.73000000000002</v>
      </c>
      <c r="G535" s="179">
        <f t="shared" si="114"/>
        <v>25.820000000000022</v>
      </c>
      <c r="H535" s="43">
        <f t="shared" si="115"/>
        <v>0.17339332482707692</v>
      </c>
    </row>
    <row r="536" spans="2:8" ht="15" customHeight="1" x14ac:dyDescent="0.3">
      <c r="B536" s="164">
        <v>24</v>
      </c>
      <c r="C536" s="165">
        <v>65</v>
      </c>
      <c r="D536" s="165">
        <f t="shared" si="111"/>
        <v>68.25</v>
      </c>
      <c r="E536" s="179">
        <f t="shared" si="112"/>
        <v>154.66999999999999</v>
      </c>
      <c r="F536" s="179">
        <f t="shared" si="113"/>
        <v>181.49</v>
      </c>
      <c r="G536" s="179">
        <f t="shared" si="114"/>
        <v>26.820000000000022</v>
      </c>
      <c r="H536" s="43">
        <f t="shared" si="115"/>
        <v>0.17340143531389418</v>
      </c>
    </row>
    <row r="537" spans="2:8" ht="15" customHeight="1" x14ac:dyDescent="0.3">
      <c r="B537" s="164">
        <v>25</v>
      </c>
      <c r="C537" s="165">
        <v>50</v>
      </c>
      <c r="D537" s="165">
        <f t="shared" si="111"/>
        <v>52.5</v>
      </c>
      <c r="E537" s="179">
        <f t="shared" si="112"/>
        <v>160.43</v>
      </c>
      <c r="F537" s="179">
        <f t="shared" si="113"/>
        <v>188.25</v>
      </c>
      <c r="G537" s="179">
        <f t="shared" si="114"/>
        <v>27.819999999999993</v>
      </c>
      <c r="H537" s="43">
        <f t="shared" si="115"/>
        <v>0.17340896341083334</v>
      </c>
    </row>
    <row r="538" spans="2:8" ht="15" customHeight="1" x14ac:dyDescent="0.3">
      <c r="B538" s="164">
        <v>26</v>
      </c>
      <c r="C538" s="165">
        <v>45</v>
      </c>
      <c r="D538" s="165">
        <f t="shared" si="111"/>
        <v>47.25</v>
      </c>
      <c r="E538" s="179">
        <f t="shared" si="112"/>
        <v>166.19</v>
      </c>
      <c r="F538" s="179">
        <f t="shared" si="113"/>
        <v>195.01</v>
      </c>
      <c r="G538" s="179">
        <f t="shared" si="114"/>
        <v>28.819999999999993</v>
      </c>
      <c r="H538" s="43">
        <f t="shared" si="115"/>
        <v>0.17341596967326556</v>
      </c>
    </row>
    <row r="539" spans="2:8" ht="15" customHeight="1" x14ac:dyDescent="0.3">
      <c r="B539" s="164">
        <v>27</v>
      </c>
      <c r="C539" s="165">
        <v>49</v>
      </c>
      <c r="D539" s="165">
        <f t="shared" si="111"/>
        <v>51.45</v>
      </c>
      <c r="E539" s="179">
        <f t="shared" si="112"/>
        <v>171.95</v>
      </c>
      <c r="F539" s="179">
        <f t="shared" si="113"/>
        <v>201.77</v>
      </c>
      <c r="G539" s="179">
        <f t="shared" si="114"/>
        <v>29.820000000000022</v>
      </c>
      <c r="H539" s="43">
        <f t="shared" si="115"/>
        <v>0.17342250654259983</v>
      </c>
    </row>
    <row r="540" spans="2:8" ht="15" customHeight="1" x14ac:dyDescent="0.3">
      <c r="B540" s="164">
        <v>28</v>
      </c>
      <c r="C540" s="165">
        <v>44</v>
      </c>
      <c r="D540" s="165">
        <f t="shared" si="111"/>
        <v>46.2</v>
      </c>
      <c r="E540" s="179">
        <f t="shared" si="112"/>
        <v>177.70999999999998</v>
      </c>
      <c r="F540" s="179">
        <f t="shared" si="113"/>
        <v>208.53</v>
      </c>
      <c r="G540" s="179">
        <f t="shared" si="114"/>
        <v>30.820000000000022</v>
      </c>
      <c r="H540" s="43">
        <f t="shared" si="115"/>
        <v>0.17342861966124601</v>
      </c>
    </row>
    <row r="541" spans="2:8" ht="15" customHeight="1" x14ac:dyDescent="0.3">
      <c r="B541" s="164">
        <v>29</v>
      </c>
      <c r="C541" s="165">
        <v>34</v>
      </c>
      <c r="D541" s="165">
        <f t="shared" si="111"/>
        <v>35.700000000000003</v>
      </c>
      <c r="E541" s="179">
        <f t="shared" si="112"/>
        <v>183.47</v>
      </c>
      <c r="F541" s="179">
        <f t="shared" si="113"/>
        <v>215.29000000000002</v>
      </c>
      <c r="G541" s="179">
        <f t="shared" si="114"/>
        <v>31.820000000000022</v>
      </c>
      <c r="H541" s="43">
        <f t="shared" si="115"/>
        <v>0.1734343489398813</v>
      </c>
    </row>
    <row r="542" spans="2:8" ht="15" customHeight="1" x14ac:dyDescent="0.3">
      <c r="B542" s="164">
        <v>30</v>
      </c>
      <c r="C542" s="165">
        <v>35</v>
      </c>
      <c r="D542" s="165">
        <f t="shared" si="111"/>
        <v>36.75</v>
      </c>
      <c r="E542" s="179">
        <f t="shared" si="112"/>
        <v>189.23</v>
      </c>
      <c r="F542" s="179">
        <f t="shared" si="113"/>
        <v>222.05</v>
      </c>
      <c r="G542" s="179">
        <f t="shared" si="114"/>
        <v>32.820000000000022</v>
      </c>
      <c r="H542" s="43">
        <f t="shared" si="115"/>
        <v>0.17343972942979446</v>
      </c>
    </row>
    <row r="543" spans="2:8" ht="15" customHeight="1" x14ac:dyDescent="0.3">
      <c r="B543" s="164">
        <v>31</v>
      </c>
      <c r="C543" s="165">
        <v>27</v>
      </c>
      <c r="D543" s="165">
        <f t="shared" si="111"/>
        <v>28.35</v>
      </c>
      <c r="E543" s="179">
        <f t="shared" si="112"/>
        <v>194.99</v>
      </c>
      <c r="F543" s="179">
        <f t="shared" si="113"/>
        <v>228.81</v>
      </c>
      <c r="G543" s="179">
        <f t="shared" si="114"/>
        <v>33.819999999999993</v>
      </c>
      <c r="H543" s="43">
        <f t="shared" si="115"/>
        <v>0.17344479204061747</v>
      </c>
    </row>
    <row r="544" spans="2:8" ht="15" customHeight="1" x14ac:dyDescent="0.3">
      <c r="B544" s="164">
        <v>32</v>
      </c>
      <c r="C544" s="165">
        <v>30</v>
      </c>
      <c r="D544" s="165">
        <f t="shared" si="111"/>
        <v>31.5</v>
      </c>
      <c r="E544" s="179">
        <f t="shared" si="112"/>
        <v>200.75</v>
      </c>
      <c r="F544" s="179">
        <f t="shared" si="113"/>
        <v>235.57</v>
      </c>
      <c r="G544" s="179">
        <f t="shared" si="114"/>
        <v>34.819999999999993</v>
      </c>
      <c r="H544" s="43">
        <f t="shared" si="115"/>
        <v>0.17344956413449553</v>
      </c>
    </row>
    <row r="545" spans="2:8" ht="15" customHeight="1" x14ac:dyDescent="0.3">
      <c r="B545" s="164">
        <v>33</v>
      </c>
      <c r="C545" s="165">
        <v>28</v>
      </c>
      <c r="D545" s="165">
        <f t="shared" si="111"/>
        <v>29.400000000000002</v>
      </c>
      <c r="E545" s="179">
        <f t="shared" si="112"/>
        <v>206.51</v>
      </c>
      <c r="F545" s="179">
        <f t="shared" si="113"/>
        <v>242.32999999999998</v>
      </c>
      <c r="G545" s="179">
        <f t="shared" si="114"/>
        <v>35.819999999999993</v>
      </c>
      <c r="H545" s="43">
        <f t="shared" si="115"/>
        <v>0.17345407002082225</v>
      </c>
    </row>
    <row r="546" spans="2:8" ht="15" customHeight="1" x14ac:dyDescent="0.3">
      <c r="B546" s="164">
        <v>34</v>
      </c>
      <c r="C546" s="165">
        <v>25</v>
      </c>
      <c r="D546" s="165">
        <f t="shared" si="111"/>
        <v>26.25</v>
      </c>
      <c r="E546" s="179">
        <f t="shared" si="112"/>
        <v>212.26999999999998</v>
      </c>
      <c r="F546" s="179">
        <f t="shared" si="113"/>
        <v>249.09</v>
      </c>
      <c r="G546" s="179">
        <f t="shared" si="114"/>
        <v>36.820000000000022</v>
      </c>
      <c r="H546" s="43">
        <f t="shared" si="115"/>
        <v>0.17345833137042455</v>
      </c>
    </row>
    <row r="547" spans="2:8" ht="15" customHeight="1" x14ac:dyDescent="0.3">
      <c r="B547" s="164">
        <v>35</v>
      </c>
      <c r="C547" s="165">
        <v>31</v>
      </c>
      <c r="D547" s="165">
        <f t="shared" si="111"/>
        <v>32.550000000000004</v>
      </c>
      <c r="E547" s="179">
        <f t="shared" si="112"/>
        <v>218.02999999999997</v>
      </c>
      <c r="F547" s="179">
        <f t="shared" si="113"/>
        <v>255.85</v>
      </c>
      <c r="G547" s="179">
        <f t="shared" si="114"/>
        <v>37.820000000000022</v>
      </c>
      <c r="H547" s="43">
        <f t="shared" si="115"/>
        <v>0.17346236756409672</v>
      </c>
    </row>
    <row r="548" spans="2:8" ht="15" customHeight="1" x14ac:dyDescent="0.3">
      <c r="B548" s="164">
        <v>36</v>
      </c>
      <c r="C548" s="165">
        <v>15</v>
      </c>
      <c r="D548" s="165">
        <f t="shared" si="111"/>
        <v>15.75</v>
      </c>
      <c r="E548" s="179">
        <f t="shared" si="112"/>
        <v>223.79</v>
      </c>
      <c r="F548" s="179">
        <f t="shared" si="113"/>
        <v>262.61</v>
      </c>
      <c r="G548" s="179">
        <f t="shared" si="114"/>
        <v>38.820000000000022</v>
      </c>
      <c r="H548" s="43">
        <f t="shared" si="115"/>
        <v>0.17346619598730961</v>
      </c>
    </row>
    <row r="549" spans="2:8" ht="15" customHeight="1" x14ac:dyDescent="0.3">
      <c r="B549" s="164">
        <v>37</v>
      </c>
      <c r="C549" s="165">
        <v>20</v>
      </c>
      <c r="D549" s="165">
        <f t="shared" si="111"/>
        <v>21</v>
      </c>
      <c r="E549" s="179">
        <f t="shared" si="112"/>
        <v>229.55</v>
      </c>
      <c r="F549" s="179">
        <f t="shared" si="113"/>
        <v>269.37</v>
      </c>
      <c r="G549" s="179">
        <f t="shared" si="114"/>
        <v>39.819999999999993</v>
      </c>
      <c r="H549" s="43">
        <f t="shared" si="115"/>
        <v>0.1734698322805488</v>
      </c>
    </row>
    <row r="550" spans="2:8" ht="15" customHeight="1" x14ac:dyDescent="0.3">
      <c r="B550" s="164">
        <v>38</v>
      </c>
      <c r="C550" s="165">
        <v>19</v>
      </c>
      <c r="D550" s="165">
        <f t="shared" si="111"/>
        <v>19.95</v>
      </c>
      <c r="E550" s="179">
        <f t="shared" si="112"/>
        <v>235.31</v>
      </c>
      <c r="F550" s="179">
        <f t="shared" si="113"/>
        <v>276.13</v>
      </c>
      <c r="G550" s="179">
        <f t="shared" si="114"/>
        <v>40.819999999999993</v>
      </c>
      <c r="H550" s="43">
        <f t="shared" si="115"/>
        <v>0.17347329055288774</v>
      </c>
    </row>
    <row r="551" spans="2:8" ht="15" customHeight="1" x14ac:dyDescent="0.3">
      <c r="B551" s="164">
        <v>39</v>
      </c>
      <c r="C551" s="165">
        <v>31</v>
      </c>
      <c r="D551" s="165">
        <f t="shared" si="111"/>
        <v>32.550000000000004</v>
      </c>
      <c r="E551" s="179">
        <f t="shared" si="112"/>
        <v>241.07</v>
      </c>
      <c r="F551" s="179">
        <f t="shared" si="113"/>
        <v>282.89</v>
      </c>
      <c r="G551" s="179">
        <f t="shared" si="114"/>
        <v>41.819999999999993</v>
      </c>
      <c r="H551" s="43">
        <f t="shared" si="115"/>
        <v>0.17347658356493967</v>
      </c>
    </row>
    <row r="552" spans="2:8" ht="15" customHeight="1" x14ac:dyDescent="0.3">
      <c r="B552" s="164">
        <v>40</v>
      </c>
      <c r="C552" s="165">
        <v>26</v>
      </c>
      <c r="D552" s="165">
        <f t="shared" si="111"/>
        <v>27.3</v>
      </c>
      <c r="E552" s="179">
        <f t="shared" si="112"/>
        <v>246.82999999999998</v>
      </c>
      <c r="F552" s="179">
        <f t="shared" si="113"/>
        <v>289.64999999999998</v>
      </c>
      <c r="G552" s="179">
        <f t="shared" si="114"/>
        <v>42.819999999999993</v>
      </c>
      <c r="H552" s="43">
        <f t="shared" si="115"/>
        <v>0.17347972288619706</v>
      </c>
    </row>
    <row r="553" spans="2:8" ht="15" customHeight="1" x14ac:dyDescent="0.3">
      <c r="B553" s="164">
        <v>41</v>
      </c>
      <c r="C553" s="165">
        <v>23</v>
      </c>
      <c r="D553" s="165">
        <f t="shared" si="111"/>
        <v>24.150000000000002</v>
      </c>
      <c r="E553" s="179">
        <f t="shared" si="112"/>
        <v>252.58999999999997</v>
      </c>
      <c r="F553" s="179">
        <f t="shared" si="113"/>
        <v>296.40999999999997</v>
      </c>
      <c r="G553" s="179">
        <f t="shared" si="114"/>
        <v>43.819999999999993</v>
      </c>
      <c r="H553" s="43">
        <f t="shared" si="115"/>
        <v>0.17348271903084056</v>
      </c>
    </row>
    <row r="554" spans="2:8" ht="15" customHeight="1" x14ac:dyDescent="0.3">
      <c r="B554" s="164">
        <v>42</v>
      </c>
      <c r="C554" s="165">
        <v>10</v>
      </c>
      <c r="D554" s="165">
        <f t="shared" si="111"/>
        <v>10.5</v>
      </c>
      <c r="E554" s="179">
        <f t="shared" si="112"/>
        <v>258.34999999999997</v>
      </c>
      <c r="F554" s="179">
        <f t="shared" si="113"/>
        <v>303.16999999999996</v>
      </c>
      <c r="G554" s="179">
        <f t="shared" si="114"/>
        <v>44.819999999999993</v>
      </c>
      <c r="H554" s="43">
        <f t="shared" si="115"/>
        <v>0.17348558157538219</v>
      </c>
    </row>
    <row r="555" spans="2:8" ht="15" customHeight="1" x14ac:dyDescent="0.3">
      <c r="B555" s="164">
        <v>43</v>
      </c>
      <c r="C555" s="165">
        <v>16</v>
      </c>
      <c r="D555" s="165">
        <f t="shared" si="111"/>
        <v>16.8</v>
      </c>
      <c r="E555" s="179">
        <f t="shared" si="112"/>
        <v>264.11</v>
      </c>
      <c r="F555" s="179">
        <f t="shared" si="113"/>
        <v>309.93</v>
      </c>
      <c r="G555" s="179">
        <f t="shared" si="114"/>
        <v>45.819999999999993</v>
      </c>
      <c r="H555" s="43">
        <f t="shared" si="115"/>
        <v>0.17348831926091401</v>
      </c>
    </row>
    <row r="556" spans="2:8" ht="15" customHeight="1" x14ac:dyDescent="0.3">
      <c r="B556" s="164">
        <v>44</v>
      </c>
      <c r="C556" s="165">
        <v>19</v>
      </c>
      <c r="D556" s="165">
        <f t="shared" si="111"/>
        <v>19.95</v>
      </c>
      <c r="E556" s="179">
        <f t="shared" si="112"/>
        <v>269.87</v>
      </c>
      <c r="F556" s="179">
        <f t="shared" si="113"/>
        <v>316.69</v>
      </c>
      <c r="G556" s="179">
        <f t="shared" si="114"/>
        <v>46.819999999999993</v>
      </c>
      <c r="H556" s="43">
        <f t="shared" si="115"/>
        <v>0.17349094008226174</v>
      </c>
    </row>
    <row r="557" spans="2:8" ht="15" customHeight="1" x14ac:dyDescent="0.3">
      <c r="B557" s="164">
        <v>45</v>
      </c>
      <c r="C557" s="165">
        <v>16</v>
      </c>
      <c r="D557" s="165">
        <f t="shared" si="111"/>
        <v>16.8</v>
      </c>
      <c r="E557" s="179">
        <f t="shared" si="112"/>
        <v>275.63</v>
      </c>
      <c r="F557" s="179">
        <f t="shared" si="113"/>
        <v>323.45</v>
      </c>
      <c r="G557" s="179">
        <f t="shared" si="114"/>
        <v>47.819999999999993</v>
      </c>
      <c r="H557" s="43">
        <f t="shared" si="115"/>
        <v>0.17349345136596162</v>
      </c>
    </row>
    <row r="558" spans="2:8" ht="15" customHeight="1" x14ac:dyDescent="0.3">
      <c r="B558" s="164">
        <v>46</v>
      </c>
      <c r="C558" s="165">
        <v>18</v>
      </c>
      <c r="D558" s="165">
        <f t="shared" si="111"/>
        <v>18.900000000000002</v>
      </c>
      <c r="E558" s="179">
        <f t="shared" si="112"/>
        <v>281.39</v>
      </c>
      <c r="F558" s="179">
        <f t="shared" si="113"/>
        <v>330.21000000000004</v>
      </c>
      <c r="G558" s="179">
        <f t="shared" si="114"/>
        <v>48.82000000000005</v>
      </c>
      <c r="H558" s="43">
        <f t="shared" si="115"/>
        <v>0.17349585983865823</v>
      </c>
    </row>
    <row r="559" spans="2:8" ht="15" customHeight="1" x14ac:dyDescent="0.3">
      <c r="B559" s="164">
        <v>47</v>
      </c>
      <c r="C559" s="165">
        <v>9</v>
      </c>
      <c r="D559" s="165">
        <f t="shared" si="111"/>
        <v>9.4500000000000011</v>
      </c>
      <c r="E559" s="179">
        <f t="shared" si="112"/>
        <v>287.14999999999998</v>
      </c>
      <c r="F559" s="179">
        <f t="shared" si="113"/>
        <v>336.97</v>
      </c>
      <c r="G559" s="179">
        <f t="shared" si="114"/>
        <v>49.82000000000005</v>
      </c>
      <c r="H559" s="43">
        <f t="shared" si="115"/>
        <v>0.17349817168727166</v>
      </c>
    </row>
    <row r="560" spans="2:8" ht="15" customHeight="1" x14ac:dyDescent="0.3">
      <c r="B560" s="164">
        <v>48</v>
      </c>
      <c r="C560" s="165">
        <v>12</v>
      </c>
      <c r="D560" s="165">
        <f t="shared" si="111"/>
        <v>12.600000000000001</v>
      </c>
      <c r="E560" s="179">
        <f t="shared" si="112"/>
        <v>292.90999999999997</v>
      </c>
      <c r="F560" s="179">
        <f t="shared" si="113"/>
        <v>343.73</v>
      </c>
      <c r="G560" s="179">
        <f t="shared" si="114"/>
        <v>50.82000000000005</v>
      </c>
      <c r="H560" s="43">
        <f t="shared" si="115"/>
        <v>0.17350039261206529</v>
      </c>
    </row>
    <row r="561" spans="2:8" ht="15" customHeight="1" x14ac:dyDescent="0.3">
      <c r="B561" s="164">
        <v>49</v>
      </c>
      <c r="C561" s="165">
        <v>7</v>
      </c>
      <c r="D561" s="165">
        <f t="shared" si="111"/>
        <v>7.3500000000000005</v>
      </c>
      <c r="E561" s="179">
        <f t="shared" si="112"/>
        <v>298.67</v>
      </c>
      <c r="F561" s="179">
        <f t="shared" si="113"/>
        <v>350.49</v>
      </c>
      <c r="G561" s="179">
        <f t="shared" si="114"/>
        <v>51.819999999999993</v>
      </c>
      <c r="H561" s="43">
        <f t="shared" si="115"/>
        <v>0.1735025278735729</v>
      </c>
    </row>
    <row r="562" spans="2:8" ht="15" customHeight="1" x14ac:dyDescent="0.3">
      <c r="B562" s="164">
        <v>50</v>
      </c>
      <c r="C562" s="165">
        <v>12</v>
      </c>
      <c r="D562" s="165">
        <f t="shared" si="111"/>
        <v>12.600000000000001</v>
      </c>
      <c r="E562" s="179">
        <f t="shared" si="112"/>
        <v>304.43</v>
      </c>
      <c r="F562" s="179">
        <f t="shared" si="113"/>
        <v>357.25</v>
      </c>
      <c r="G562" s="179">
        <f t="shared" si="114"/>
        <v>52.819999999999993</v>
      </c>
      <c r="H562" s="43">
        <f t="shared" si="115"/>
        <v>0.1735045823341983</v>
      </c>
    </row>
    <row r="563" spans="2:8" ht="15" customHeight="1" x14ac:dyDescent="0.3">
      <c r="B563" s="164">
        <v>51</v>
      </c>
      <c r="C563" s="165">
        <v>14</v>
      </c>
      <c r="D563" s="165">
        <f t="shared" si="111"/>
        <v>14.700000000000001</v>
      </c>
      <c r="E563" s="179">
        <f t="shared" si="112"/>
        <v>310.19</v>
      </c>
      <c r="F563" s="179">
        <f t="shared" si="113"/>
        <v>364.01</v>
      </c>
      <c r="G563" s="179">
        <f t="shared" si="114"/>
        <v>53.819999999999993</v>
      </c>
      <c r="H563" s="43">
        <f t="shared" si="115"/>
        <v>0.17350656049518043</v>
      </c>
    </row>
    <row r="564" spans="2:8" ht="15" customHeight="1" x14ac:dyDescent="0.3">
      <c r="B564" s="164">
        <v>52</v>
      </c>
      <c r="C564" s="165">
        <v>11</v>
      </c>
      <c r="D564" s="165">
        <f t="shared" si="111"/>
        <v>11.55</v>
      </c>
      <c r="E564" s="179">
        <f t="shared" si="112"/>
        <v>315.95</v>
      </c>
      <c r="F564" s="179">
        <f t="shared" si="113"/>
        <v>370.77</v>
      </c>
      <c r="G564" s="179">
        <f t="shared" si="114"/>
        <v>54.819999999999993</v>
      </c>
      <c r="H564" s="43">
        <f t="shared" si="115"/>
        <v>0.17350846652951413</v>
      </c>
    </row>
    <row r="565" spans="2:8" ht="15" customHeight="1" x14ac:dyDescent="0.3">
      <c r="B565" s="164">
        <v>53</v>
      </c>
      <c r="C565" s="165">
        <v>12</v>
      </c>
      <c r="D565" s="165">
        <f t="shared" si="111"/>
        <v>12.600000000000001</v>
      </c>
      <c r="E565" s="179">
        <f t="shared" si="112"/>
        <v>321.70999999999998</v>
      </c>
      <c r="F565" s="179">
        <f t="shared" si="113"/>
        <v>377.53</v>
      </c>
      <c r="G565" s="179">
        <f t="shared" si="114"/>
        <v>55.819999999999993</v>
      </c>
      <c r="H565" s="43">
        <f t="shared" si="115"/>
        <v>0.17351030431133618</v>
      </c>
    </row>
    <row r="566" spans="2:8" ht="15" customHeight="1" x14ac:dyDescent="0.3">
      <c r="B566" s="164">
        <v>54</v>
      </c>
      <c r="C566" s="165">
        <v>10</v>
      </c>
      <c r="D566" s="165">
        <f t="shared" si="111"/>
        <v>10.5</v>
      </c>
      <c r="E566" s="179">
        <f t="shared" si="112"/>
        <v>327.46999999999997</v>
      </c>
      <c r="F566" s="179">
        <f t="shared" si="113"/>
        <v>384.28999999999996</v>
      </c>
      <c r="G566" s="179">
        <f t="shared" si="114"/>
        <v>56.819999999999993</v>
      </c>
      <c r="H566" s="43">
        <f t="shared" si="115"/>
        <v>0.17351207744220853</v>
      </c>
    </row>
    <row r="567" spans="2:8" ht="15" customHeight="1" x14ac:dyDescent="0.3">
      <c r="B567" s="164">
        <v>55</v>
      </c>
      <c r="C567" s="165">
        <v>10</v>
      </c>
      <c r="D567" s="165">
        <f t="shared" si="111"/>
        <v>10.5</v>
      </c>
      <c r="E567" s="179">
        <f t="shared" si="112"/>
        <v>333.22999999999996</v>
      </c>
      <c r="F567" s="179">
        <f t="shared" si="113"/>
        <v>391.04999999999995</v>
      </c>
      <c r="G567" s="179">
        <f t="shared" si="114"/>
        <v>57.819999999999993</v>
      </c>
      <c r="H567" s="43">
        <f t="shared" si="115"/>
        <v>0.1735137892746752</v>
      </c>
    </row>
    <row r="568" spans="2:8" ht="15" customHeight="1" x14ac:dyDescent="0.3">
      <c r="B568" s="164">
        <v>56</v>
      </c>
      <c r="C568" s="165">
        <v>11</v>
      </c>
      <c r="D568" s="165">
        <f t="shared" si="111"/>
        <v>11.55</v>
      </c>
      <c r="E568" s="179">
        <f t="shared" si="112"/>
        <v>338.99</v>
      </c>
      <c r="F568" s="179">
        <f t="shared" si="113"/>
        <v>397.80999999999995</v>
      </c>
      <c r="G568" s="179">
        <f t="shared" si="114"/>
        <v>58.819999999999936</v>
      </c>
      <c r="H568" s="43">
        <f t="shared" si="115"/>
        <v>0.17351544293341958</v>
      </c>
    </row>
    <row r="569" spans="2:8" ht="15" customHeight="1" x14ac:dyDescent="0.3">
      <c r="B569" s="164">
        <v>57</v>
      </c>
      <c r="C569" s="165">
        <v>6</v>
      </c>
      <c r="D569" s="165">
        <f t="shared" si="111"/>
        <v>6.3000000000000007</v>
      </c>
      <c r="E569" s="179">
        <f t="shared" si="112"/>
        <v>344.75</v>
      </c>
      <c r="F569" s="179">
        <f t="shared" si="113"/>
        <v>404.57000000000005</v>
      </c>
      <c r="G569" s="179">
        <f t="shared" si="114"/>
        <v>59.82000000000005</v>
      </c>
      <c r="H569" s="43">
        <f t="shared" si="115"/>
        <v>0.17351704133430035</v>
      </c>
    </row>
    <row r="570" spans="2:8" ht="15" customHeight="1" x14ac:dyDescent="0.3">
      <c r="B570" s="164">
        <v>58</v>
      </c>
      <c r="C570" s="165">
        <v>14</v>
      </c>
      <c r="D570" s="165">
        <f t="shared" si="111"/>
        <v>14.700000000000001</v>
      </c>
      <c r="E570" s="179">
        <f t="shared" si="112"/>
        <v>350.51</v>
      </c>
      <c r="F570" s="179">
        <f t="shared" si="113"/>
        <v>411.33000000000004</v>
      </c>
      <c r="G570" s="179">
        <f t="shared" si="114"/>
        <v>60.82000000000005</v>
      </c>
      <c r="H570" s="43">
        <f t="shared" si="115"/>
        <v>0.17351858720150659</v>
      </c>
    </row>
    <row r="571" spans="2:8" ht="15" customHeight="1" x14ac:dyDescent="0.3">
      <c r="B571" s="164">
        <v>59</v>
      </c>
      <c r="C571" s="165">
        <v>9</v>
      </c>
      <c r="D571" s="165">
        <f t="shared" si="111"/>
        <v>9.4500000000000011</v>
      </c>
      <c r="E571" s="179">
        <f t="shared" si="112"/>
        <v>356.27</v>
      </c>
      <c r="F571" s="179">
        <f t="shared" si="113"/>
        <v>418.09000000000003</v>
      </c>
      <c r="G571" s="179">
        <f t="shared" si="114"/>
        <v>61.82000000000005</v>
      </c>
      <c r="H571" s="43">
        <f t="shared" si="115"/>
        <v>0.17352008308305522</v>
      </c>
    </row>
    <row r="572" spans="2:8" ht="15" customHeight="1" x14ac:dyDescent="0.3">
      <c r="B572" s="164">
        <v>60</v>
      </c>
      <c r="C572" s="165">
        <v>19</v>
      </c>
      <c r="D572" s="165">
        <f t="shared" si="111"/>
        <v>19.95</v>
      </c>
      <c r="E572" s="179">
        <f t="shared" si="112"/>
        <v>362.03</v>
      </c>
      <c r="F572" s="179">
        <f t="shared" si="113"/>
        <v>424.85</v>
      </c>
      <c r="G572" s="179">
        <f t="shared" si="114"/>
        <v>62.82000000000005</v>
      </c>
      <c r="H572" s="43">
        <f t="shared" si="115"/>
        <v>0.17352153136480419</v>
      </c>
    </row>
    <row r="573" spans="2:8" ht="15" customHeight="1" x14ac:dyDescent="0.3">
      <c r="B573" s="164">
        <v>61</v>
      </c>
      <c r="C573" s="165">
        <v>8</v>
      </c>
      <c r="D573" s="165">
        <f t="shared" si="111"/>
        <v>8.4</v>
      </c>
      <c r="E573" s="179">
        <f t="shared" si="112"/>
        <v>367.78999999999996</v>
      </c>
      <c r="F573" s="179">
        <f t="shared" si="113"/>
        <v>431.61</v>
      </c>
      <c r="G573" s="179">
        <f t="shared" si="114"/>
        <v>63.82000000000005</v>
      </c>
      <c r="H573" s="43">
        <f t="shared" si="115"/>
        <v>0.1735229342831508</v>
      </c>
    </row>
    <row r="574" spans="2:8" ht="15" customHeight="1" x14ac:dyDescent="0.3">
      <c r="B574" s="164">
        <v>62</v>
      </c>
      <c r="C574" s="165">
        <v>4</v>
      </c>
      <c r="D574" s="165">
        <f t="shared" si="111"/>
        <v>4.2</v>
      </c>
      <c r="E574" s="179">
        <f t="shared" si="112"/>
        <v>373.54999999999995</v>
      </c>
      <c r="F574" s="179">
        <f t="shared" si="113"/>
        <v>438.37</v>
      </c>
      <c r="G574" s="179">
        <f t="shared" si="114"/>
        <v>64.82000000000005</v>
      </c>
      <c r="H574" s="43">
        <f t="shared" si="115"/>
        <v>0.17352429393655489</v>
      </c>
    </row>
    <row r="575" spans="2:8" ht="15" customHeight="1" x14ac:dyDescent="0.3">
      <c r="B575" s="164">
        <v>63</v>
      </c>
      <c r="C575" s="165">
        <v>13</v>
      </c>
      <c r="D575" s="165">
        <f t="shared" si="111"/>
        <v>13.65</v>
      </c>
      <c r="E575" s="179">
        <f t="shared" si="112"/>
        <v>379.31</v>
      </c>
      <c r="F575" s="179">
        <f t="shared" si="113"/>
        <v>445.13</v>
      </c>
      <c r="G575" s="179">
        <f t="shared" si="114"/>
        <v>65.819999999999993</v>
      </c>
      <c r="H575" s="43">
        <f t="shared" si="115"/>
        <v>0.17352561229601116</v>
      </c>
    </row>
    <row r="576" spans="2:8" ht="15" customHeight="1" x14ac:dyDescent="0.3">
      <c r="B576" s="164">
        <v>64</v>
      </c>
      <c r="C576" s="165">
        <v>9</v>
      </c>
      <c r="D576" s="165">
        <f t="shared" si="111"/>
        <v>9.4500000000000011</v>
      </c>
      <c r="E576" s="179">
        <f t="shared" si="112"/>
        <v>385.07</v>
      </c>
      <c r="F576" s="179">
        <f t="shared" si="113"/>
        <v>451.89</v>
      </c>
      <c r="G576" s="179">
        <f t="shared" si="114"/>
        <v>66.819999999999993</v>
      </c>
      <c r="H576" s="43">
        <f t="shared" si="115"/>
        <v>0.17352689121458442</v>
      </c>
    </row>
    <row r="577" spans="2:8" ht="15" customHeight="1" x14ac:dyDescent="0.3">
      <c r="B577" s="164">
        <v>65</v>
      </c>
      <c r="C577" s="165">
        <v>8</v>
      </c>
      <c r="D577" s="165">
        <f t="shared" ref="D577:D640" si="116">+C577*(1+$D$10)</f>
        <v>8.4</v>
      </c>
      <c r="E577" s="179">
        <f t="shared" ref="E577:E640" si="117">+L79</f>
        <v>390.83</v>
      </c>
      <c r="F577" s="179">
        <f t="shared" ref="F577:F640" si="118">+L328</f>
        <v>458.65</v>
      </c>
      <c r="G577" s="179">
        <f t="shared" ref="G577:G640" si="119">+F577-E577</f>
        <v>67.819999999999993</v>
      </c>
      <c r="H577" s="43">
        <f t="shared" ref="H577:H640" si="120">+F577/E577-1</f>
        <v>0.17352813243609755</v>
      </c>
    </row>
    <row r="578" spans="2:8" ht="15" customHeight="1" x14ac:dyDescent="0.3">
      <c r="B578" s="164">
        <v>66</v>
      </c>
      <c r="C578" s="165">
        <v>9</v>
      </c>
      <c r="D578" s="165">
        <f t="shared" si="116"/>
        <v>9.4500000000000011</v>
      </c>
      <c r="E578" s="179">
        <f t="shared" si="117"/>
        <v>396.59</v>
      </c>
      <c r="F578" s="179">
        <f t="shared" si="118"/>
        <v>465.40999999999997</v>
      </c>
      <c r="G578" s="179">
        <f t="shared" si="119"/>
        <v>68.819999999999993</v>
      </c>
      <c r="H578" s="43">
        <f t="shared" si="120"/>
        <v>0.17352933760306621</v>
      </c>
    </row>
    <row r="579" spans="2:8" ht="15" customHeight="1" x14ac:dyDescent="0.3">
      <c r="B579" s="164">
        <v>67</v>
      </c>
      <c r="C579" s="165">
        <v>5</v>
      </c>
      <c r="D579" s="165">
        <f t="shared" si="116"/>
        <v>5.25</v>
      </c>
      <c r="E579" s="179">
        <f t="shared" si="117"/>
        <v>402.34999999999997</v>
      </c>
      <c r="F579" s="179">
        <f t="shared" si="118"/>
        <v>472.16999999999996</v>
      </c>
      <c r="G579" s="179">
        <f t="shared" si="119"/>
        <v>69.819999999999993</v>
      </c>
      <c r="H579" s="43">
        <f t="shared" si="120"/>
        <v>0.17353050826394933</v>
      </c>
    </row>
    <row r="580" spans="2:8" ht="15" customHeight="1" x14ac:dyDescent="0.3">
      <c r="B580" s="164">
        <v>68</v>
      </c>
      <c r="C580" s="165">
        <v>9</v>
      </c>
      <c r="D580" s="165">
        <f t="shared" si="116"/>
        <v>9.4500000000000011</v>
      </c>
      <c r="E580" s="179">
        <f t="shared" si="117"/>
        <v>408.10999999999996</v>
      </c>
      <c r="F580" s="179">
        <f t="shared" si="118"/>
        <v>478.92999999999995</v>
      </c>
      <c r="G580" s="179">
        <f t="shared" si="119"/>
        <v>70.819999999999993</v>
      </c>
      <c r="H580" s="43">
        <f t="shared" si="120"/>
        <v>0.17353164587978731</v>
      </c>
    </row>
    <row r="581" spans="2:8" ht="15" customHeight="1" x14ac:dyDescent="0.3">
      <c r="B581" s="164">
        <v>69</v>
      </c>
      <c r="C581" s="165">
        <v>6</v>
      </c>
      <c r="D581" s="165">
        <f t="shared" si="116"/>
        <v>6.3000000000000007</v>
      </c>
      <c r="E581" s="179">
        <f t="shared" si="117"/>
        <v>413.86999999999995</v>
      </c>
      <c r="F581" s="179">
        <f t="shared" si="118"/>
        <v>485.68999999999994</v>
      </c>
      <c r="G581" s="179">
        <f t="shared" si="119"/>
        <v>71.819999999999993</v>
      </c>
      <c r="H581" s="43">
        <f t="shared" si="120"/>
        <v>0.17353275183028494</v>
      </c>
    </row>
    <row r="582" spans="2:8" ht="15" customHeight="1" x14ac:dyDescent="0.3">
      <c r="B582" s="164">
        <v>70</v>
      </c>
      <c r="C582" s="165">
        <v>7</v>
      </c>
      <c r="D582" s="165">
        <f t="shared" si="116"/>
        <v>7.3500000000000005</v>
      </c>
      <c r="E582" s="179">
        <f t="shared" si="117"/>
        <v>419.63</v>
      </c>
      <c r="F582" s="179">
        <f t="shared" si="118"/>
        <v>492.45000000000005</v>
      </c>
      <c r="G582" s="179">
        <f t="shared" si="119"/>
        <v>72.82000000000005</v>
      </c>
      <c r="H582" s="43">
        <f t="shared" si="120"/>
        <v>0.17353382741939338</v>
      </c>
    </row>
    <row r="583" spans="2:8" ht="15" customHeight="1" x14ac:dyDescent="0.3">
      <c r="B583" s="164">
        <v>71</v>
      </c>
      <c r="C583" s="165">
        <v>5</v>
      </c>
      <c r="D583" s="165">
        <f t="shared" si="116"/>
        <v>5.25</v>
      </c>
      <c r="E583" s="179">
        <f t="shared" si="117"/>
        <v>425.39</v>
      </c>
      <c r="F583" s="179">
        <f t="shared" si="118"/>
        <v>499.21000000000004</v>
      </c>
      <c r="G583" s="179">
        <f t="shared" si="119"/>
        <v>73.82000000000005</v>
      </c>
      <c r="H583" s="43">
        <f t="shared" si="120"/>
        <v>0.1735348738804392</v>
      </c>
    </row>
    <row r="584" spans="2:8" ht="15" customHeight="1" x14ac:dyDescent="0.3">
      <c r="B584" s="164">
        <v>72</v>
      </c>
      <c r="C584" s="165">
        <v>7</v>
      </c>
      <c r="D584" s="165">
        <f t="shared" si="116"/>
        <v>7.3500000000000005</v>
      </c>
      <c r="E584" s="179">
        <f t="shared" si="117"/>
        <v>431.15</v>
      </c>
      <c r="F584" s="179">
        <f t="shared" si="118"/>
        <v>505.97</v>
      </c>
      <c r="G584" s="179">
        <f t="shared" si="119"/>
        <v>74.82000000000005</v>
      </c>
      <c r="H584" s="43">
        <f t="shared" si="120"/>
        <v>0.1735358923808421</v>
      </c>
    </row>
    <row r="585" spans="2:8" ht="15" customHeight="1" x14ac:dyDescent="0.3">
      <c r="B585" s="164">
        <v>73</v>
      </c>
      <c r="C585" s="165">
        <v>9</v>
      </c>
      <c r="D585" s="165">
        <f t="shared" si="116"/>
        <v>9.4500000000000011</v>
      </c>
      <c r="E585" s="179">
        <f t="shared" si="117"/>
        <v>436.90999999999997</v>
      </c>
      <c r="F585" s="179">
        <f t="shared" si="118"/>
        <v>512.73</v>
      </c>
      <c r="G585" s="179">
        <f t="shared" si="119"/>
        <v>75.82000000000005</v>
      </c>
      <c r="H585" s="43">
        <f t="shared" si="120"/>
        <v>0.17353688402645862</v>
      </c>
    </row>
    <row r="586" spans="2:8" ht="15" customHeight="1" x14ac:dyDescent="0.3">
      <c r="B586" s="164">
        <v>74</v>
      </c>
      <c r="C586" s="165">
        <v>4</v>
      </c>
      <c r="D586" s="165">
        <f t="shared" si="116"/>
        <v>4.2</v>
      </c>
      <c r="E586" s="179">
        <f t="shared" si="117"/>
        <v>442.66999999999996</v>
      </c>
      <c r="F586" s="179">
        <f t="shared" si="118"/>
        <v>519.49</v>
      </c>
      <c r="G586" s="179">
        <f t="shared" si="119"/>
        <v>76.82000000000005</v>
      </c>
      <c r="H586" s="43">
        <f t="shared" si="120"/>
        <v>0.1735378498655884</v>
      </c>
    </row>
    <row r="587" spans="2:8" ht="15" customHeight="1" x14ac:dyDescent="0.3">
      <c r="B587" s="164">
        <v>75</v>
      </c>
      <c r="C587" s="165">
        <v>4</v>
      </c>
      <c r="D587" s="165">
        <f t="shared" si="116"/>
        <v>4.2</v>
      </c>
      <c r="E587" s="179">
        <f t="shared" si="117"/>
        <v>448.42999999999995</v>
      </c>
      <c r="F587" s="179">
        <f t="shared" si="118"/>
        <v>526.25</v>
      </c>
      <c r="G587" s="179">
        <f t="shared" si="119"/>
        <v>77.82000000000005</v>
      </c>
      <c r="H587" s="43">
        <f t="shared" si="120"/>
        <v>0.17353879089267021</v>
      </c>
    </row>
    <row r="588" spans="2:8" ht="15" customHeight="1" x14ac:dyDescent="0.3">
      <c r="B588" s="164">
        <v>76</v>
      </c>
      <c r="C588" s="165">
        <v>6</v>
      </c>
      <c r="D588" s="165">
        <f t="shared" si="116"/>
        <v>6.3000000000000007</v>
      </c>
      <c r="E588" s="179">
        <f t="shared" si="117"/>
        <v>454.19</v>
      </c>
      <c r="F588" s="179">
        <f t="shared" si="118"/>
        <v>533.01</v>
      </c>
      <c r="G588" s="179">
        <f t="shared" si="119"/>
        <v>78.819999999999993</v>
      </c>
      <c r="H588" s="43">
        <f t="shared" si="120"/>
        <v>0.1735397080516965</v>
      </c>
    </row>
    <row r="589" spans="2:8" ht="15" customHeight="1" x14ac:dyDescent="0.3">
      <c r="B589" s="164">
        <v>77</v>
      </c>
      <c r="C589" s="165">
        <v>5</v>
      </c>
      <c r="D589" s="165">
        <f t="shared" si="116"/>
        <v>5.25</v>
      </c>
      <c r="E589" s="179">
        <f t="shared" si="117"/>
        <v>459.95</v>
      </c>
      <c r="F589" s="179">
        <f t="shared" si="118"/>
        <v>539.77</v>
      </c>
      <c r="G589" s="179">
        <f t="shared" si="119"/>
        <v>79.819999999999993</v>
      </c>
      <c r="H589" s="43">
        <f t="shared" si="120"/>
        <v>0.17354060223937373</v>
      </c>
    </row>
    <row r="590" spans="2:8" ht="15" customHeight="1" x14ac:dyDescent="0.3">
      <c r="B590" s="164">
        <v>78</v>
      </c>
      <c r="C590" s="165">
        <v>3</v>
      </c>
      <c r="D590" s="165">
        <f t="shared" si="116"/>
        <v>3.1500000000000004</v>
      </c>
      <c r="E590" s="179">
        <f t="shared" si="117"/>
        <v>465.71</v>
      </c>
      <c r="F590" s="179">
        <f t="shared" si="118"/>
        <v>546.53</v>
      </c>
      <c r="G590" s="179">
        <f t="shared" si="119"/>
        <v>80.819999999999993</v>
      </c>
      <c r="H590" s="43">
        <f t="shared" si="120"/>
        <v>0.17354147430804567</v>
      </c>
    </row>
    <row r="591" spans="2:8" ht="15" customHeight="1" x14ac:dyDescent="0.3">
      <c r="B591" s="164">
        <v>79</v>
      </c>
      <c r="C591" s="165">
        <v>4</v>
      </c>
      <c r="D591" s="165">
        <f t="shared" si="116"/>
        <v>4.2</v>
      </c>
      <c r="E591" s="179">
        <f t="shared" si="117"/>
        <v>471.46999999999997</v>
      </c>
      <c r="F591" s="179">
        <f t="shared" si="118"/>
        <v>553.29</v>
      </c>
      <c r="G591" s="179">
        <f t="shared" si="119"/>
        <v>81.819999999999993</v>
      </c>
      <c r="H591" s="43">
        <f t="shared" si="120"/>
        <v>0.17354232506840317</v>
      </c>
    </row>
    <row r="592" spans="2:8" ht="15" customHeight="1" x14ac:dyDescent="0.3">
      <c r="B592" s="164">
        <v>80</v>
      </c>
      <c r="C592" s="165">
        <v>3</v>
      </c>
      <c r="D592" s="165">
        <f t="shared" si="116"/>
        <v>3.1500000000000004</v>
      </c>
      <c r="E592" s="179">
        <f t="shared" si="117"/>
        <v>477.22999999999996</v>
      </c>
      <c r="F592" s="179">
        <f t="shared" si="118"/>
        <v>560.04999999999995</v>
      </c>
      <c r="G592" s="179">
        <f t="shared" si="119"/>
        <v>82.82</v>
      </c>
      <c r="H592" s="43">
        <f t="shared" si="120"/>
        <v>0.17354315529199749</v>
      </c>
    </row>
    <row r="593" spans="2:8" ht="15" customHeight="1" x14ac:dyDescent="0.3">
      <c r="B593" s="164">
        <v>81</v>
      </c>
      <c r="C593" s="165">
        <v>3</v>
      </c>
      <c r="D593" s="165">
        <f t="shared" si="116"/>
        <v>3.1500000000000004</v>
      </c>
      <c r="E593" s="179">
        <f t="shared" si="117"/>
        <v>482.98999999999995</v>
      </c>
      <c r="F593" s="179">
        <f t="shared" si="118"/>
        <v>566.80999999999995</v>
      </c>
      <c r="G593" s="179">
        <f t="shared" si="119"/>
        <v>83.82</v>
      </c>
      <c r="H593" s="43">
        <f t="shared" si="120"/>
        <v>0.17354396571357578</v>
      </c>
    </row>
    <row r="594" spans="2:8" ht="15" customHeight="1" x14ac:dyDescent="0.3">
      <c r="B594" s="164">
        <v>82</v>
      </c>
      <c r="C594" s="165">
        <v>7</v>
      </c>
      <c r="D594" s="165">
        <f t="shared" si="116"/>
        <v>7.3500000000000005</v>
      </c>
      <c r="E594" s="179">
        <f t="shared" si="117"/>
        <v>488.74999999999994</v>
      </c>
      <c r="F594" s="179">
        <f t="shared" si="118"/>
        <v>573.56999999999994</v>
      </c>
      <c r="G594" s="179">
        <f t="shared" si="119"/>
        <v>84.82</v>
      </c>
      <c r="H594" s="43">
        <f t="shared" si="120"/>
        <v>0.17354475703324801</v>
      </c>
    </row>
    <row r="595" spans="2:8" ht="15" customHeight="1" x14ac:dyDescent="0.3">
      <c r="B595" s="164">
        <v>83</v>
      </c>
      <c r="C595" s="165">
        <v>5</v>
      </c>
      <c r="D595" s="165">
        <f t="shared" si="116"/>
        <v>5.25</v>
      </c>
      <c r="E595" s="179">
        <f t="shared" si="117"/>
        <v>494.51</v>
      </c>
      <c r="F595" s="179">
        <f t="shared" si="118"/>
        <v>580.33000000000004</v>
      </c>
      <c r="G595" s="179">
        <f t="shared" si="119"/>
        <v>85.82000000000005</v>
      </c>
      <c r="H595" s="43">
        <f t="shared" si="120"/>
        <v>0.17354552991850536</v>
      </c>
    </row>
    <row r="596" spans="2:8" ht="15" customHeight="1" x14ac:dyDescent="0.3">
      <c r="B596" s="164">
        <v>84</v>
      </c>
      <c r="C596" s="165">
        <v>7</v>
      </c>
      <c r="D596" s="165">
        <f t="shared" si="116"/>
        <v>7.3500000000000005</v>
      </c>
      <c r="E596" s="179">
        <f t="shared" si="117"/>
        <v>500.27</v>
      </c>
      <c r="F596" s="179">
        <f t="shared" si="118"/>
        <v>587.09</v>
      </c>
      <c r="G596" s="179">
        <f t="shared" si="119"/>
        <v>86.82000000000005</v>
      </c>
      <c r="H596" s="43">
        <f t="shared" si="120"/>
        <v>0.17354628500609692</v>
      </c>
    </row>
    <row r="597" spans="2:8" ht="15" customHeight="1" x14ac:dyDescent="0.3">
      <c r="B597" s="164">
        <v>85</v>
      </c>
      <c r="C597" s="165">
        <v>1</v>
      </c>
      <c r="D597" s="165">
        <f t="shared" si="116"/>
        <v>1.05</v>
      </c>
      <c r="E597" s="179">
        <f t="shared" si="117"/>
        <v>506.03</v>
      </c>
      <c r="F597" s="179">
        <f t="shared" si="118"/>
        <v>593.85</v>
      </c>
      <c r="G597" s="179">
        <f t="shared" si="119"/>
        <v>87.82000000000005</v>
      </c>
      <c r="H597" s="43">
        <f t="shared" si="120"/>
        <v>0.17354702290378055</v>
      </c>
    </row>
    <row r="598" spans="2:8" ht="15" customHeight="1" x14ac:dyDescent="0.3">
      <c r="B598" s="164">
        <v>86</v>
      </c>
      <c r="C598" s="165">
        <v>5</v>
      </c>
      <c r="D598" s="165">
        <f t="shared" si="116"/>
        <v>5.25</v>
      </c>
      <c r="E598" s="179">
        <f t="shared" si="117"/>
        <v>511.78999999999996</v>
      </c>
      <c r="F598" s="179">
        <f t="shared" si="118"/>
        <v>600.61</v>
      </c>
      <c r="G598" s="179">
        <f t="shared" si="119"/>
        <v>88.82000000000005</v>
      </c>
      <c r="H598" s="43">
        <f t="shared" si="120"/>
        <v>0.17354774419195373</v>
      </c>
    </row>
    <row r="599" spans="2:8" ht="15" customHeight="1" x14ac:dyDescent="0.3">
      <c r="B599" s="164">
        <v>87</v>
      </c>
      <c r="C599" s="165">
        <v>6</v>
      </c>
      <c r="D599" s="165">
        <f t="shared" si="116"/>
        <v>6.3000000000000007</v>
      </c>
      <c r="E599" s="179">
        <f t="shared" si="117"/>
        <v>517.54999999999995</v>
      </c>
      <c r="F599" s="179">
        <f t="shared" si="118"/>
        <v>607.37</v>
      </c>
      <c r="G599" s="179">
        <f t="shared" si="119"/>
        <v>89.82000000000005</v>
      </c>
      <c r="H599" s="43">
        <f t="shared" si="120"/>
        <v>0.17354844942517644</v>
      </c>
    </row>
    <row r="600" spans="2:8" ht="15" customHeight="1" x14ac:dyDescent="0.3">
      <c r="B600" s="164">
        <v>89</v>
      </c>
      <c r="C600" s="165">
        <v>3</v>
      </c>
      <c r="D600" s="165">
        <f t="shared" si="116"/>
        <v>3.1500000000000004</v>
      </c>
      <c r="E600" s="179">
        <f t="shared" si="117"/>
        <v>529.07000000000005</v>
      </c>
      <c r="F600" s="179">
        <f t="shared" si="118"/>
        <v>620.89</v>
      </c>
      <c r="G600" s="179">
        <f t="shared" si="119"/>
        <v>91.819999999999936</v>
      </c>
      <c r="H600" s="43">
        <f t="shared" si="120"/>
        <v>0.17354981382425749</v>
      </c>
    </row>
    <row r="601" spans="2:8" ht="15" customHeight="1" x14ac:dyDescent="0.3">
      <c r="B601" s="164">
        <v>90</v>
      </c>
      <c r="C601" s="165">
        <v>4</v>
      </c>
      <c r="D601" s="165">
        <f t="shared" si="116"/>
        <v>4.2</v>
      </c>
      <c r="E601" s="179">
        <f t="shared" si="117"/>
        <v>534.83000000000004</v>
      </c>
      <c r="F601" s="179">
        <f t="shared" si="118"/>
        <v>627.65</v>
      </c>
      <c r="G601" s="179">
        <f t="shared" si="119"/>
        <v>92.819999999999936</v>
      </c>
      <c r="H601" s="43">
        <f t="shared" si="120"/>
        <v>0.17355047398238677</v>
      </c>
    </row>
    <row r="602" spans="2:8" ht="15" customHeight="1" x14ac:dyDescent="0.3">
      <c r="B602" s="164">
        <v>91</v>
      </c>
      <c r="C602" s="165">
        <v>5</v>
      </c>
      <c r="D602" s="165">
        <f t="shared" si="116"/>
        <v>5.25</v>
      </c>
      <c r="E602" s="179">
        <f t="shared" si="117"/>
        <v>540.59</v>
      </c>
      <c r="F602" s="179">
        <f t="shared" si="118"/>
        <v>634.41</v>
      </c>
      <c r="G602" s="179">
        <f t="shared" si="119"/>
        <v>93.819999999999936</v>
      </c>
      <c r="H602" s="43">
        <f t="shared" si="120"/>
        <v>0.17355112007251328</v>
      </c>
    </row>
    <row r="603" spans="2:8" ht="15" customHeight="1" x14ac:dyDescent="0.3">
      <c r="B603" s="164">
        <v>92</v>
      </c>
      <c r="C603" s="165">
        <v>6</v>
      </c>
      <c r="D603" s="165">
        <f t="shared" si="116"/>
        <v>6.3000000000000007</v>
      </c>
      <c r="E603" s="179">
        <f t="shared" si="117"/>
        <v>546.35</v>
      </c>
      <c r="F603" s="179">
        <f t="shared" si="118"/>
        <v>641.16999999999996</v>
      </c>
      <c r="G603" s="179">
        <f t="shared" si="119"/>
        <v>94.819999999999936</v>
      </c>
      <c r="H603" s="43">
        <f t="shared" si="120"/>
        <v>0.17355175253958066</v>
      </c>
    </row>
    <row r="604" spans="2:8" ht="15" customHeight="1" x14ac:dyDescent="0.3">
      <c r="B604" s="164">
        <v>93</v>
      </c>
      <c r="C604" s="165">
        <v>4</v>
      </c>
      <c r="D604" s="165">
        <f t="shared" si="116"/>
        <v>4.2</v>
      </c>
      <c r="E604" s="179">
        <f t="shared" si="117"/>
        <v>552.11</v>
      </c>
      <c r="F604" s="179">
        <f t="shared" si="118"/>
        <v>647.92999999999995</v>
      </c>
      <c r="G604" s="179">
        <f t="shared" si="119"/>
        <v>95.819999999999936</v>
      </c>
      <c r="H604" s="43">
        <f t="shared" si="120"/>
        <v>0.17355237180996519</v>
      </c>
    </row>
    <row r="605" spans="2:8" ht="15" customHeight="1" x14ac:dyDescent="0.3">
      <c r="B605" s="164">
        <v>94</v>
      </c>
      <c r="C605" s="165">
        <v>7</v>
      </c>
      <c r="D605" s="165">
        <f t="shared" si="116"/>
        <v>7.3500000000000005</v>
      </c>
      <c r="E605" s="179">
        <f t="shared" si="117"/>
        <v>557.87</v>
      </c>
      <c r="F605" s="179">
        <f t="shared" si="118"/>
        <v>654.68999999999994</v>
      </c>
      <c r="G605" s="179">
        <f t="shared" si="119"/>
        <v>96.819999999999936</v>
      </c>
      <c r="H605" s="43">
        <f t="shared" si="120"/>
        <v>0.17355297829243366</v>
      </c>
    </row>
    <row r="606" spans="2:8" ht="15" customHeight="1" x14ac:dyDescent="0.3">
      <c r="B606" s="164">
        <v>95</v>
      </c>
      <c r="C606" s="165">
        <v>3</v>
      </c>
      <c r="D606" s="165">
        <f t="shared" si="116"/>
        <v>3.1500000000000004</v>
      </c>
      <c r="E606" s="179">
        <f t="shared" si="117"/>
        <v>563.63</v>
      </c>
      <c r="F606" s="179">
        <f t="shared" si="118"/>
        <v>661.44999999999993</v>
      </c>
      <c r="G606" s="179">
        <f t="shared" si="119"/>
        <v>97.819999999999936</v>
      </c>
      <c r="H606" s="43">
        <f t="shared" si="120"/>
        <v>0.1735535723790429</v>
      </c>
    </row>
    <row r="607" spans="2:8" ht="15" customHeight="1" x14ac:dyDescent="0.3">
      <c r="B607" s="164">
        <v>96</v>
      </c>
      <c r="C607" s="165">
        <v>4</v>
      </c>
      <c r="D607" s="165">
        <f t="shared" si="116"/>
        <v>4.2</v>
      </c>
      <c r="E607" s="179">
        <f t="shared" si="117"/>
        <v>569.39</v>
      </c>
      <c r="F607" s="179">
        <f t="shared" si="118"/>
        <v>668.20999999999992</v>
      </c>
      <c r="G607" s="179">
        <f t="shared" si="119"/>
        <v>98.819999999999936</v>
      </c>
      <c r="H607" s="43">
        <f t="shared" si="120"/>
        <v>0.17355415444598599</v>
      </c>
    </row>
    <row r="608" spans="2:8" ht="15" customHeight="1" x14ac:dyDescent="0.3">
      <c r="B608" s="164">
        <v>97</v>
      </c>
      <c r="C608" s="165">
        <v>4</v>
      </c>
      <c r="D608" s="165">
        <f t="shared" si="116"/>
        <v>4.2</v>
      </c>
      <c r="E608" s="179">
        <f t="shared" si="117"/>
        <v>575.15</v>
      </c>
      <c r="F608" s="179">
        <f t="shared" si="118"/>
        <v>674.96999999999991</v>
      </c>
      <c r="G608" s="179">
        <f t="shared" si="119"/>
        <v>99.819999999999936</v>
      </c>
      <c r="H608" s="43">
        <f t="shared" si="120"/>
        <v>0.17355472485438561</v>
      </c>
    </row>
    <row r="609" spans="2:8" ht="15" customHeight="1" x14ac:dyDescent="0.3">
      <c r="B609" s="164">
        <v>98</v>
      </c>
      <c r="C609" s="165">
        <v>1</v>
      </c>
      <c r="D609" s="165">
        <f t="shared" si="116"/>
        <v>1.05</v>
      </c>
      <c r="E609" s="179">
        <f t="shared" si="117"/>
        <v>580.91</v>
      </c>
      <c r="F609" s="179">
        <f t="shared" si="118"/>
        <v>681.7299999999999</v>
      </c>
      <c r="G609" s="179">
        <f t="shared" si="119"/>
        <v>100.81999999999994</v>
      </c>
      <c r="H609" s="43">
        <f t="shared" si="120"/>
        <v>0.17355528395104214</v>
      </c>
    </row>
    <row r="610" spans="2:8" ht="15" customHeight="1" x14ac:dyDescent="0.3">
      <c r="B610" s="164">
        <v>99</v>
      </c>
      <c r="C610" s="165">
        <v>8</v>
      </c>
      <c r="D610" s="165">
        <f t="shared" si="116"/>
        <v>8.4</v>
      </c>
      <c r="E610" s="179">
        <f t="shared" si="117"/>
        <v>586.66999999999996</v>
      </c>
      <c r="F610" s="179">
        <f t="shared" si="118"/>
        <v>688.49</v>
      </c>
      <c r="G610" s="179">
        <f t="shared" si="119"/>
        <v>101.82000000000005</v>
      </c>
      <c r="H610" s="43">
        <f t="shared" si="120"/>
        <v>0.17355583206913616</v>
      </c>
    </row>
    <row r="611" spans="2:8" ht="15" customHeight="1" x14ac:dyDescent="0.3">
      <c r="B611" s="164">
        <v>100</v>
      </c>
      <c r="C611" s="165">
        <v>4</v>
      </c>
      <c r="D611" s="165">
        <f t="shared" si="116"/>
        <v>4.2</v>
      </c>
      <c r="E611" s="179">
        <f t="shared" si="117"/>
        <v>592.42999999999995</v>
      </c>
      <c r="F611" s="179">
        <f t="shared" si="118"/>
        <v>695.25</v>
      </c>
      <c r="G611" s="179">
        <f t="shared" si="119"/>
        <v>102.82000000000005</v>
      </c>
      <c r="H611" s="43">
        <f t="shared" si="120"/>
        <v>0.17355636952888953</v>
      </c>
    </row>
    <row r="612" spans="2:8" ht="15" customHeight="1" x14ac:dyDescent="0.3">
      <c r="B612" s="164">
        <v>101</v>
      </c>
      <c r="C612" s="165">
        <v>3</v>
      </c>
      <c r="D612" s="165">
        <f t="shared" si="116"/>
        <v>3.1500000000000004</v>
      </c>
      <c r="E612" s="179">
        <f t="shared" si="117"/>
        <v>598.18999999999994</v>
      </c>
      <c r="F612" s="179">
        <f t="shared" si="118"/>
        <v>702.01</v>
      </c>
      <c r="G612" s="179">
        <f t="shared" si="119"/>
        <v>103.82000000000005</v>
      </c>
      <c r="H612" s="43">
        <f t="shared" si="120"/>
        <v>0.17355689663819196</v>
      </c>
    </row>
    <row r="613" spans="2:8" ht="15" customHeight="1" x14ac:dyDescent="0.3">
      <c r="B613" s="164">
        <v>102</v>
      </c>
      <c r="C613" s="165">
        <v>4</v>
      </c>
      <c r="D613" s="165">
        <f t="shared" si="116"/>
        <v>4.2</v>
      </c>
      <c r="E613" s="179">
        <f t="shared" si="117"/>
        <v>603.95000000000005</v>
      </c>
      <c r="F613" s="179">
        <f t="shared" si="118"/>
        <v>708.77</v>
      </c>
      <c r="G613" s="179">
        <f t="shared" si="119"/>
        <v>104.81999999999994</v>
      </c>
      <c r="H613" s="43">
        <f t="shared" si="120"/>
        <v>0.17355741369318634</v>
      </c>
    </row>
    <row r="614" spans="2:8" ht="15" customHeight="1" x14ac:dyDescent="0.3">
      <c r="B614" s="164">
        <v>103</v>
      </c>
      <c r="C614" s="165">
        <v>5</v>
      </c>
      <c r="D614" s="165">
        <f t="shared" si="116"/>
        <v>5.25</v>
      </c>
      <c r="E614" s="179">
        <f t="shared" si="117"/>
        <v>609.71</v>
      </c>
      <c r="F614" s="179">
        <f t="shared" si="118"/>
        <v>715.53</v>
      </c>
      <c r="G614" s="179">
        <f t="shared" si="119"/>
        <v>105.81999999999994</v>
      </c>
      <c r="H614" s="43">
        <f t="shared" si="120"/>
        <v>0.17355792097882583</v>
      </c>
    </row>
    <row r="615" spans="2:8" ht="15" customHeight="1" x14ac:dyDescent="0.3">
      <c r="B615" s="164">
        <v>104</v>
      </c>
      <c r="C615" s="165">
        <v>1</v>
      </c>
      <c r="D615" s="165">
        <f t="shared" si="116"/>
        <v>1.05</v>
      </c>
      <c r="E615" s="179">
        <f t="shared" si="117"/>
        <v>615.47</v>
      </c>
      <c r="F615" s="179">
        <f t="shared" si="118"/>
        <v>722.29</v>
      </c>
      <c r="G615" s="179">
        <f t="shared" si="119"/>
        <v>106.81999999999994</v>
      </c>
      <c r="H615" s="43">
        <f t="shared" si="120"/>
        <v>0.17355841876939571</v>
      </c>
    </row>
    <row r="616" spans="2:8" ht="15" customHeight="1" x14ac:dyDescent="0.3">
      <c r="B616" s="164">
        <v>105</v>
      </c>
      <c r="C616" s="165">
        <v>2</v>
      </c>
      <c r="D616" s="165">
        <f t="shared" si="116"/>
        <v>2.1</v>
      </c>
      <c r="E616" s="179">
        <f t="shared" si="117"/>
        <v>621.23</v>
      </c>
      <c r="F616" s="179">
        <f t="shared" si="118"/>
        <v>729.05</v>
      </c>
      <c r="G616" s="179">
        <f t="shared" si="119"/>
        <v>107.81999999999994</v>
      </c>
      <c r="H616" s="43">
        <f t="shared" si="120"/>
        <v>0.17355890732900847</v>
      </c>
    </row>
    <row r="617" spans="2:8" ht="15" customHeight="1" x14ac:dyDescent="0.3">
      <c r="B617" s="164">
        <v>106</v>
      </c>
      <c r="C617" s="165">
        <v>3</v>
      </c>
      <c r="D617" s="165">
        <f t="shared" si="116"/>
        <v>3.1500000000000004</v>
      </c>
      <c r="E617" s="179">
        <f t="shared" si="117"/>
        <v>626.99</v>
      </c>
      <c r="F617" s="179">
        <f t="shared" si="118"/>
        <v>735.81</v>
      </c>
      <c r="G617" s="179">
        <f t="shared" si="119"/>
        <v>108.81999999999994</v>
      </c>
      <c r="H617" s="43">
        <f t="shared" si="120"/>
        <v>0.17355938691207196</v>
      </c>
    </row>
    <row r="618" spans="2:8" ht="15" customHeight="1" x14ac:dyDescent="0.3">
      <c r="B618" s="164">
        <v>107</v>
      </c>
      <c r="C618" s="165">
        <v>4</v>
      </c>
      <c r="D618" s="165">
        <f t="shared" si="116"/>
        <v>4.2</v>
      </c>
      <c r="E618" s="179">
        <f t="shared" si="117"/>
        <v>632.75</v>
      </c>
      <c r="F618" s="179">
        <f t="shared" si="118"/>
        <v>742.56999999999994</v>
      </c>
      <c r="G618" s="179">
        <f t="shared" si="119"/>
        <v>109.81999999999994</v>
      </c>
      <c r="H618" s="43">
        <f t="shared" si="120"/>
        <v>0.17355985776372962</v>
      </c>
    </row>
    <row r="619" spans="2:8" ht="15" customHeight="1" x14ac:dyDescent="0.3">
      <c r="B619" s="164">
        <v>108</v>
      </c>
      <c r="C619" s="165">
        <v>3</v>
      </c>
      <c r="D619" s="165">
        <f t="shared" si="116"/>
        <v>3.1500000000000004</v>
      </c>
      <c r="E619" s="179">
        <f t="shared" si="117"/>
        <v>638.51</v>
      </c>
      <c r="F619" s="179">
        <f t="shared" si="118"/>
        <v>749.32999999999993</v>
      </c>
      <c r="G619" s="179">
        <f t="shared" si="119"/>
        <v>110.81999999999994</v>
      </c>
      <c r="H619" s="43">
        <f t="shared" si="120"/>
        <v>0.17356032012028</v>
      </c>
    </row>
    <row r="620" spans="2:8" ht="15" customHeight="1" x14ac:dyDescent="0.3">
      <c r="B620" s="164">
        <v>109</v>
      </c>
      <c r="C620" s="165">
        <v>4</v>
      </c>
      <c r="D620" s="165">
        <f t="shared" si="116"/>
        <v>4.2</v>
      </c>
      <c r="E620" s="179">
        <f t="shared" si="117"/>
        <v>644.27</v>
      </c>
      <c r="F620" s="179">
        <f t="shared" si="118"/>
        <v>756.08999999999992</v>
      </c>
      <c r="G620" s="179">
        <f t="shared" si="119"/>
        <v>111.81999999999994</v>
      </c>
      <c r="H620" s="43">
        <f t="shared" si="120"/>
        <v>0.17356077420957039</v>
      </c>
    </row>
    <row r="621" spans="2:8" ht="15" customHeight="1" x14ac:dyDescent="0.3">
      <c r="B621" s="164">
        <v>110</v>
      </c>
      <c r="C621" s="165">
        <v>6</v>
      </c>
      <c r="D621" s="165">
        <f t="shared" si="116"/>
        <v>6.3000000000000007</v>
      </c>
      <c r="E621" s="179">
        <f t="shared" si="117"/>
        <v>650.03</v>
      </c>
      <c r="F621" s="179">
        <f t="shared" si="118"/>
        <v>762.84999999999991</v>
      </c>
      <c r="G621" s="179">
        <f t="shared" si="119"/>
        <v>112.81999999999994</v>
      </c>
      <c r="H621" s="43">
        <f t="shared" si="120"/>
        <v>0.17356122025137299</v>
      </c>
    </row>
    <row r="622" spans="2:8" ht="15" customHeight="1" x14ac:dyDescent="0.3">
      <c r="B622" s="164">
        <v>111</v>
      </c>
      <c r="C622" s="165">
        <v>3</v>
      </c>
      <c r="D622" s="165">
        <f t="shared" si="116"/>
        <v>3.1500000000000004</v>
      </c>
      <c r="E622" s="179">
        <f t="shared" si="117"/>
        <v>655.79000000000008</v>
      </c>
      <c r="F622" s="179">
        <f t="shared" si="118"/>
        <v>769.61</v>
      </c>
      <c r="G622" s="179">
        <f t="shared" si="119"/>
        <v>113.81999999999994</v>
      </c>
      <c r="H622" s="43">
        <f t="shared" si="120"/>
        <v>0.17356165845773797</v>
      </c>
    </row>
    <row r="623" spans="2:8" ht="15" customHeight="1" x14ac:dyDescent="0.3">
      <c r="B623" s="164">
        <v>112</v>
      </c>
      <c r="C623" s="165">
        <v>2</v>
      </c>
      <c r="D623" s="165">
        <f t="shared" si="116"/>
        <v>2.1</v>
      </c>
      <c r="E623" s="179">
        <f t="shared" si="117"/>
        <v>661.55000000000007</v>
      </c>
      <c r="F623" s="179">
        <f t="shared" si="118"/>
        <v>776.37</v>
      </c>
      <c r="G623" s="179">
        <f t="shared" si="119"/>
        <v>114.81999999999994</v>
      </c>
      <c r="H623" s="43">
        <f t="shared" si="120"/>
        <v>0.1735620890333307</v>
      </c>
    </row>
    <row r="624" spans="2:8" ht="15" customHeight="1" x14ac:dyDescent="0.3">
      <c r="B624" s="164">
        <v>113</v>
      </c>
      <c r="C624" s="165">
        <v>2</v>
      </c>
      <c r="D624" s="165">
        <f t="shared" si="116"/>
        <v>2.1</v>
      </c>
      <c r="E624" s="179">
        <f t="shared" si="117"/>
        <v>667.31000000000006</v>
      </c>
      <c r="F624" s="179">
        <f t="shared" si="118"/>
        <v>783.13</v>
      </c>
      <c r="G624" s="179">
        <f t="shared" si="119"/>
        <v>115.81999999999994</v>
      </c>
      <c r="H624" s="43">
        <f t="shared" si="120"/>
        <v>0.17356251217575025</v>
      </c>
    </row>
    <row r="625" spans="2:8" ht="15" customHeight="1" x14ac:dyDescent="0.3">
      <c r="B625" s="164">
        <v>114</v>
      </c>
      <c r="C625" s="165">
        <v>6</v>
      </c>
      <c r="D625" s="165">
        <f t="shared" si="116"/>
        <v>6.3000000000000007</v>
      </c>
      <c r="E625" s="179">
        <f t="shared" si="117"/>
        <v>673.07</v>
      </c>
      <c r="F625" s="179">
        <f t="shared" si="118"/>
        <v>789.89</v>
      </c>
      <c r="G625" s="179">
        <f t="shared" si="119"/>
        <v>116.81999999999994</v>
      </c>
      <c r="H625" s="43">
        <f t="shared" si="120"/>
        <v>0.17356292807583151</v>
      </c>
    </row>
    <row r="626" spans="2:8" ht="15" customHeight="1" x14ac:dyDescent="0.3">
      <c r="B626" s="164">
        <v>115</v>
      </c>
      <c r="C626" s="165">
        <v>2</v>
      </c>
      <c r="D626" s="165">
        <f t="shared" si="116"/>
        <v>2.1</v>
      </c>
      <c r="E626" s="179">
        <f t="shared" si="117"/>
        <v>678.83</v>
      </c>
      <c r="F626" s="179">
        <f t="shared" si="118"/>
        <v>796.65</v>
      </c>
      <c r="G626" s="179">
        <f t="shared" si="119"/>
        <v>117.81999999999994</v>
      </c>
      <c r="H626" s="43">
        <f t="shared" si="120"/>
        <v>0.17356333691793213</v>
      </c>
    </row>
    <row r="627" spans="2:8" ht="15" customHeight="1" x14ac:dyDescent="0.3">
      <c r="B627" s="164">
        <v>116</v>
      </c>
      <c r="C627" s="165">
        <v>6</v>
      </c>
      <c r="D627" s="165">
        <f t="shared" si="116"/>
        <v>6.3000000000000007</v>
      </c>
      <c r="E627" s="179">
        <f t="shared" si="117"/>
        <v>684.59</v>
      </c>
      <c r="F627" s="179">
        <f t="shared" si="118"/>
        <v>803.41</v>
      </c>
      <c r="G627" s="179">
        <f t="shared" si="119"/>
        <v>118.81999999999994</v>
      </c>
      <c r="H627" s="43">
        <f t="shared" si="120"/>
        <v>0.1735637388802056</v>
      </c>
    </row>
    <row r="628" spans="2:8" ht="15" customHeight="1" x14ac:dyDescent="0.3">
      <c r="B628" s="164">
        <v>117</v>
      </c>
      <c r="C628" s="165">
        <v>3</v>
      </c>
      <c r="D628" s="165">
        <f t="shared" si="116"/>
        <v>3.1500000000000004</v>
      </c>
      <c r="E628" s="179">
        <f t="shared" si="117"/>
        <v>690.35</v>
      </c>
      <c r="F628" s="179">
        <f t="shared" si="118"/>
        <v>810.17</v>
      </c>
      <c r="G628" s="179">
        <f t="shared" si="119"/>
        <v>119.81999999999994</v>
      </c>
      <c r="H628" s="43">
        <f t="shared" si="120"/>
        <v>0.17356413413485905</v>
      </c>
    </row>
    <row r="629" spans="2:8" ht="15" customHeight="1" x14ac:dyDescent="0.3">
      <c r="B629" s="164">
        <v>118</v>
      </c>
      <c r="C629" s="165">
        <v>3</v>
      </c>
      <c r="D629" s="165">
        <f t="shared" si="116"/>
        <v>3.1500000000000004</v>
      </c>
      <c r="E629" s="179">
        <f t="shared" si="117"/>
        <v>696.11</v>
      </c>
      <c r="F629" s="179">
        <f t="shared" si="118"/>
        <v>816.93</v>
      </c>
      <c r="G629" s="179">
        <f t="shared" si="119"/>
        <v>120.81999999999994</v>
      </c>
      <c r="H629" s="43">
        <f t="shared" si="120"/>
        <v>0.1735645228484004</v>
      </c>
    </row>
    <row r="630" spans="2:8" ht="15" customHeight="1" x14ac:dyDescent="0.3">
      <c r="B630" s="164">
        <v>119</v>
      </c>
      <c r="C630" s="165">
        <v>3</v>
      </c>
      <c r="D630" s="165">
        <f t="shared" si="116"/>
        <v>3.1500000000000004</v>
      </c>
      <c r="E630" s="179">
        <f t="shared" si="117"/>
        <v>701.87</v>
      </c>
      <c r="F630" s="179">
        <f t="shared" si="118"/>
        <v>823.68999999999994</v>
      </c>
      <c r="G630" s="179">
        <f t="shared" si="119"/>
        <v>121.81999999999994</v>
      </c>
      <c r="H630" s="43">
        <f t="shared" si="120"/>
        <v>0.17356490518187129</v>
      </c>
    </row>
    <row r="631" spans="2:8" ht="15" customHeight="1" x14ac:dyDescent="0.3">
      <c r="B631" s="164">
        <v>120</v>
      </c>
      <c r="C631" s="165">
        <v>4</v>
      </c>
      <c r="D631" s="165">
        <f t="shared" si="116"/>
        <v>4.2</v>
      </c>
      <c r="E631" s="179">
        <f t="shared" si="117"/>
        <v>707.63</v>
      </c>
      <c r="F631" s="179">
        <f t="shared" si="118"/>
        <v>830.44999999999993</v>
      </c>
      <c r="G631" s="179">
        <f t="shared" si="119"/>
        <v>122.81999999999994</v>
      </c>
      <c r="H631" s="43">
        <f t="shared" si="120"/>
        <v>0.17356528129107018</v>
      </c>
    </row>
    <row r="632" spans="2:8" ht="15" customHeight="1" x14ac:dyDescent="0.3">
      <c r="B632" s="164">
        <v>121</v>
      </c>
      <c r="C632" s="165">
        <v>5</v>
      </c>
      <c r="D632" s="165">
        <f t="shared" si="116"/>
        <v>5.25</v>
      </c>
      <c r="E632" s="179">
        <f t="shared" si="117"/>
        <v>713.39</v>
      </c>
      <c r="F632" s="179">
        <f t="shared" si="118"/>
        <v>837.20999999999992</v>
      </c>
      <c r="G632" s="179">
        <f t="shared" si="119"/>
        <v>123.81999999999994</v>
      </c>
      <c r="H632" s="43">
        <f t="shared" si="120"/>
        <v>0.1735656513267636</v>
      </c>
    </row>
    <row r="633" spans="2:8" ht="15" customHeight="1" x14ac:dyDescent="0.3">
      <c r="B633" s="164">
        <v>122</v>
      </c>
      <c r="C633" s="165">
        <v>3</v>
      </c>
      <c r="D633" s="165">
        <f t="shared" si="116"/>
        <v>3.1500000000000004</v>
      </c>
      <c r="E633" s="179">
        <f t="shared" si="117"/>
        <v>719.15</v>
      </c>
      <c r="F633" s="179">
        <f t="shared" si="118"/>
        <v>843.96999999999991</v>
      </c>
      <c r="G633" s="179">
        <f t="shared" si="119"/>
        <v>124.81999999999994</v>
      </c>
      <c r="H633" s="43">
        <f t="shared" si="120"/>
        <v>0.17356601543488837</v>
      </c>
    </row>
    <row r="634" spans="2:8" ht="15" customHeight="1" x14ac:dyDescent="0.3">
      <c r="B634" s="164">
        <v>123</v>
      </c>
      <c r="C634" s="165">
        <v>1</v>
      </c>
      <c r="D634" s="165">
        <f t="shared" si="116"/>
        <v>1.05</v>
      </c>
      <c r="E634" s="179">
        <f t="shared" si="117"/>
        <v>724.91</v>
      </c>
      <c r="F634" s="179">
        <f t="shared" si="118"/>
        <v>850.7299999999999</v>
      </c>
      <c r="G634" s="179">
        <f t="shared" si="119"/>
        <v>125.81999999999994</v>
      </c>
      <c r="H634" s="43">
        <f t="shared" si="120"/>
        <v>0.17356637375674211</v>
      </c>
    </row>
    <row r="635" spans="2:8" ht="15" customHeight="1" x14ac:dyDescent="0.3">
      <c r="B635" s="164">
        <v>124</v>
      </c>
      <c r="C635" s="165">
        <v>4</v>
      </c>
      <c r="D635" s="165">
        <f t="shared" si="116"/>
        <v>4.2</v>
      </c>
      <c r="E635" s="179">
        <f t="shared" si="117"/>
        <v>730.67000000000007</v>
      </c>
      <c r="F635" s="179">
        <f t="shared" si="118"/>
        <v>857.49</v>
      </c>
      <c r="G635" s="179">
        <f t="shared" si="119"/>
        <v>126.81999999999994</v>
      </c>
      <c r="H635" s="43">
        <f t="shared" si="120"/>
        <v>0.17356672642916759</v>
      </c>
    </row>
    <row r="636" spans="2:8" ht="15" customHeight="1" x14ac:dyDescent="0.3">
      <c r="B636" s="164">
        <v>125</v>
      </c>
      <c r="C636" s="165">
        <v>3</v>
      </c>
      <c r="D636" s="165">
        <f t="shared" si="116"/>
        <v>3.1500000000000004</v>
      </c>
      <c r="E636" s="179">
        <f t="shared" si="117"/>
        <v>736.43000000000006</v>
      </c>
      <c r="F636" s="179">
        <f t="shared" si="118"/>
        <v>864.25</v>
      </c>
      <c r="G636" s="179">
        <f t="shared" si="119"/>
        <v>127.81999999999994</v>
      </c>
      <c r="H636" s="43">
        <f t="shared" si="120"/>
        <v>0.17356707358472612</v>
      </c>
    </row>
    <row r="637" spans="2:8" ht="15" customHeight="1" x14ac:dyDescent="0.3">
      <c r="B637" s="164">
        <v>126</v>
      </c>
      <c r="C637" s="165">
        <v>5</v>
      </c>
      <c r="D637" s="165">
        <f t="shared" si="116"/>
        <v>5.25</v>
      </c>
      <c r="E637" s="179">
        <f t="shared" si="117"/>
        <v>742.19</v>
      </c>
      <c r="F637" s="179">
        <f t="shared" si="118"/>
        <v>871.01</v>
      </c>
      <c r="G637" s="179">
        <f t="shared" si="119"/>
        <v>128.81999999999994</v>
      </c>
      <c r="H637" s="43">
        <f t="shared" si="120"/>
        <v>0.17356741535186404</v>
      </c>
    </row>
    <row r="638" spans="2:8" ht="15" customHeight="1" x14ac:dyDescent="0.3">
      <c r="B638" s="164">
        <v>130</v>
      </c>
      <c r="C638" s="165">
        <v>1</v>
      </c>
      <c r="D638" s="165">
        <f t="shared" si="116"/>
        <v>1.05</v>
      </c>
      <c r="E638" s="179">
        <f t="shared" si="117"/>
        <v>765.23</v>
      </c>
      <c r="F638" s="179">
        <f t="shared" si="118"/>
        <v>898.05</v>
      </c>
      <c r="G638" s="179">
        <f t="shared" si="119"/>
        <v>132.81999999999994</v>
      </c>
      <c r="H638" s="43">
        <f t="shared" si="120"/>
        <v>0.17356873096977377</v>
      </c>
    </row>
    <row r="639" spans="2:8" ht="15" customHeight="1" x14ac:dyDescent="0.3">
      <c r="B639" s="164">
        <v>131</v>
      </c>
      <c r="C639" s="165">
        <v>3</v>
      </c>
      <c r="D639" s="165">
        <f t="shared" si="116"/>
        <v>3.1500000000000004</v>
      </c>
      <c r="E639" s="179">
        <f t="shared" si="117"/>
        <v>770.99</v>
      </c>
      <c r="F639" s="179">
        <f t="shared" si="118"/>
        <v>904.81</v>
      </c>
      <c r="G639" s="179">
        <f t="shared" si="119"/>
        <v>133.81999999999994</v>
      </c>
      <c r="H639" s="43">
        <f t="shared" si="120"/>
        <v>0.17356904758816571</v>
      </c>
    </row>
    <row r="640" spans="2:8" ht="15" customHeight="1" x14ac:dyDescent="0.3">
      <c r="B640" s="164">
        <v>132</v>
      </c>
      <c r="C640" s="165">
        <v>3</v>
      </c>
      <c r="D640" s="165">
        <f t="shared" si="116"/>
        <v>3.1500000000000004</v>
      </c>
      <c r="E640" s="179">
        <f t="shared" si="117"/>
        <v>776.75</v>
      </c>
      <c r="F640" s="179">
        <f t="shared" si="118"/>
        <v>911.56999999999994</v>
      </c>
      <c r="G640" s="179">
        <f t="shared" si="119"/>
        <v>134.81999999999994</v>
      </c>
      <c r="H640" s="43">
        <f t="shared" si="120"/>
        <v>0.17356935951078212</v>
      </c>
    </row>
    <row r="641" spans="2:8" ht="15" customHeight="1" x14ac:dyDescent="0.3">
      <c r="B641" s="164">
        <v>133</v>
      </c>
      <c r="C641" s="165">
        <v>3</v>
      </c>
      <c r="D641" s="165">
        <f t="shared" ref="D641:D704" si="121">+C641*(1+$D$10)</f>
        <v>3.1500000000000004</v>
      </c>
      <c r="E641" s="179">
        <f t="shared" ref="E641:E704" si="122">+L143</f>
        <v>782.51</v>
      </c>
      <c r="F641" s="179">
        <f t="shared" ref="F641:F704" si="123">+L392</f>
        <v>918.32999999999993</v>
      </c>
      <c r="G641" s="179">
        <f t="shared" ref="G641:G704" si="124">+F641-E641</f>
        <v>135.81999999999994</v>
      </c>
      <c r="H641" s="43">
        <f t="shared" ref="H641:H704" si="125">+F641/E641-1</f>
        <v>0.17356966684131825</v>
      </c>
    </row>
    <row r="642" spans="2:8" ht="15" customHeight="1" x14ac:dyDescent="0.3">
      <c r="B642" s="164">
        <v>134</v>
      </c>
      <c r="C642" s="165">
        <v>2</v>
      </c>
      <c r="D642" s="165">
        <f t="shared" si="121"/>
        <v>2.1</v>
      </c>
      <c r="E642" s="179">
        <f t="shared" si="122"/>
        <v>788.27</v>
      </c>
      <c r="F642" s="179">
        <f t="shared" si="123"/>
        <v>925.08999999999992</v>
      </c>
      <c r="G642" s="179">
        <f t="shared" si="124"/>
        <v>136.81999999999994</v>
      </c>
      <c r="H642" s="43">
        <f t="shared" si="125"/>
        <v>0.17356996968043936</v>
      </c>
    </row>
    <row r="643" spans="2:8" ht="15" customHeight="1" x14ac:dyDescent="0.3">
      <c r="B643" s="164">
        <v>135</v>
      </c>
      <c r="C643" s="165">
        <v>1</v>
      </c>
      <c r="D643" s="165">
        <f t="shared" si="121"/>
        <v>1.05</v>
      </c>
      <c r="E643" s="179">
        <f t="shared" si="122"/>
        <v>794.03</v>
      </c>
      <c r="F643" s="179">
        <f t="shared" si="123"/>
        <v>931.84999999999991</v>
      </c>
      <c r="G643" s="179">
        <f t="shared" si="124"/>
        <v>137.81999999999994</v>
      </c>
      <c r="H643" s="43">
        <f t="shared" si="125"/>
        <v>0.17357026812588927</v>
      </c>
    </row>
    <row r="644" spans="2:8" ht="15" customHeight="1" x14ac:dyDescent="0.3">
      <c r="B644" s="164">
        <v>137</v>
      </c>
      <c r="C644" s="165">
        <v>3</v>
      </c>
      <c r="D644" s="165">
        <f t="shared" si="121"/>
        <v>3.1500000000000004</v>
      </c>
      <c r="E644" s="179">
        <f t="shared" si="122"/>
        <v>805.55000000000007</v>
      </c>
      <c r="F644" s="179">
        <f t="shared" si="123"/>
        <v>945.37</v>
      </c>
      <c r="G644" s="179">
        <f t="shared" si="124"/>
        <v>139.81999999999994</v>
      </c>
      <c r="H644" s="43">
        <f t="shared" si="125"/>
        <v>0.17357085221277369</v>
      </c>
    </row>
    <row r="645" spans="2:8" ht="15" customHeight="1" x14ac:dyDescent="0.3">
      <c r="B645" s="164">
        <v>138</v>
      </c>
      <c r="C645" s="165">
        <v>4</v>
      </c>
      <c r="D645" s="165">
        <f t="shared" si="121"/>
        <v>4.2</v>
      </c>
      <c r="E645" s="179">
        <f t="shared" si="122"/>
        <v>811.31000000000006</v>
      </c>
      <c r="F645" s="179">
        <f t="shared" si="123"/>
        <v>952.13</v>
      </c>
      <c r="G645" s="179">
        <f t="shared" si="124"/>
        <v>140.81999999999994</v>
      </c>
      <c r="H645" s="43">
        <f t="shared" si="125"/>
        <v>0.17357113803601565</v>
      </c>
    </row>
    <row r="646" spans="2:8" ht="15" customHeight="1" x14ac:dyDescent="0.3">
      <c r="B646" s="164">
        <v>139</v>
      </c>
      <c r="C646" s="165">
        <v>1</v>
      </c>
      <c r="D646" s="165">
        <f t="shared" si="121"/>
        <v>1.05</v>
      </c>
      <c r="E646" s="179">
        <f t="shared" si="122"/>
        <v>817.07</v>
      </c>
      <c r="F646" s="179">
        <f t="shared" si="123"/>
        <v>958.89</v>
      </c>
      <c r="G646" s="179">
        <f t="shared" si="124"/>
        <v>141.81999999999994</v>
      </c>
      <c r="H646" s="43">
        <f t="shared" si="125"/>
        <v>0.17357141982939028</v>
      </c>
    </row>
    <row r="647" spans="2:8" ht="15" customHeight="1" x14ac:dyDescent="0.3">
      <c r="B647" s="164">
        <v>141</v>
      </c>
      <c r="C647" s="165">
        <v>5</v>
      </c>
      <c r="D647" s="165">
        <f t="shared" si="121"/>
        <v>5.25</v>
      </c>
      <c r="E647" s="179">
        <f t="shared" si="122"/>
        <v>828.59</v>
      </c>
      <c r="F647" s="179">
        <f t="shared" si="123"/>
        <v>972.41</v>
      </c>
      <c r="G647" s="179">
        <f t="shared" si="124"/>
        <v>143.81999999999994</v>
      </c>
      <c r="H647" s="43">
        <f t="shared" si="125"/>
        <v>0.17357197166270399</v>
      </c>
    </row>
    <row r="648" spans="2:8" ht="15" customHeight="1" x14ac:dyDescent="0.3">
      <c r="B648" s="164">
        <v>143</v>
      </c>
      <c r="C648" s="165">
        <v>2</v>
      </c>
      <c r="D648" s="165">
        <f t="shared" si="121"/>
        <v>2.1</v>
      </c>
      <c r="E648" s="179">
        <f t="shared" si="122"/>
        <v>840.11</v>
      </c>
      <c r="F648" s="179">
        <f t="shared" si="123"/>
        <v>985.93</v>
      </c>
      <c r="G648" s="179">
        <f t="shared" si="124"/>
        <v>145.81999999999994</v>
      </c>
      <c r="H648" s="43">
        <f t="shared" si="125"/>
        <v>0.17357250836200011</v>
      </c>
    </row>
    <row r="649" spans="2:8" ht="15" customHeight="1" x14ac:dyDescent="0.3">
      <c r="B649" s="164">
        <v>144</v>
      </c>
      <c r="C649" s="165">
        <v>1</v>
      </c>
      <c r="D649" s="165">
        <f t="shared" si="121"/>
        <v>1.05</v>
      </c>
      <c r="E649" s="179">
        <f t="shared" si="122"/>
        <v>845.87</v>
      </c>
      <c r="F649" s="179">
        <f t="shared" si="123"/>
        <v>992.68999999999994</v>
      </c>
      <c r="G649" s="179">
        <f t="shared" si="124"/>
        <v>146.81999999999994</v>
      </c>
      <c r="H649" s="43">
        <f t="shared" si="125"/>
        <v>0.17357277122962156</v>
      </c>
    </row>
    <row r="650" spans="2:8" ht="15" customHeight="1" x14ac:dyDescent="0.3">
      <c r="B650" s="164">
        <v>146</v>
      </c>
      <c r="C650" s="165">
        <v>2</v>
      </c>
      <c r="D650" s="165">
        <f t="shared" si="121"/>
        <v>2.1</v>
      </c>
      <c r="E650" s="179">
        <f t="shared" si="122"/>
        <v>857.39</v>
      </c>
      <c r="F650" s="179">
        <f t="shared" si="123"/>
        <v>1006.2099999999999</v>
      </c>
      <c r="G650" s="179">
        <f t="shared" si="124"/>
        <v>148.81999999999994</v>
      </c>
      <c r="H650" s="43">
        <f t="shared" si="125"/>
        <v>0.17357328636909686</v>
      </c>
    </row>
    <row r="651" spans="2:8" ht="15" customHeight="1" x14ac:dyDescent="0.3">
      <c r="B651" s="164">
        <v>147</v>
      </c>
      <c r="C651" s="165">
        <v>1</v>
      </c>
      <c r="D651" s="165">
        <f t="shared" si="121"/>
        <v>1.05</v>
      </c>
      <c r="E651" s="179">
        <f t="shared" si="122"/>
        <v>863.15</v>
      </c>
      <c r="F651" s="179">
        <f t="shared" si="123"/>
        <v>1012.9699999999999</v>
      </c>
      <c r="G651" s="179">
        <f t="shared" si="124"/>
        <v>149.81999999999994</v>
      </c>
      <c r="H651" s="43">
        <f t="shared" si="125"/>
        <v>0.17357353878236692</v>
      </c>
    </row>
    <row r="652" spans="2:8" ht="15" customHeight="1" x14ac:dyDescent="0.3">
      <c r="B652" s="164">
        <v>148</v>
      </c>
      <c r="C652" s="165">
        <v>1</v>
      </c>
      <c r="D652" s="165">
        <f t="shared" si="121"/>
        <v>1.05</v>
      </c>
      <c r="E652" s="179">
        <f t="shared" si="122"/>
        <v>868.91</v>
      </c>
      <c r="F652" s="179">
        <f t="shared" si="123"/>
        <v>1019.7299999999999</v>
      </c>
      <c r="G652" s="179">
        <f t="shared" si="124"/>
        <v>150.81999999999994</v>
      </c>
      <c r="H652" s="43">
        <f t="shared" si="125"/>
        <v>0.17357378784914435</v>
      </c>
    </row>
    <row r="653" spans="2:8" ht="15" customHeight="1" x14ac:dyDescent="0.3">
      <c r="B653" s="164">
        <v>149</v>
      </c>
      <c r="C653" s="165">
        <v>2</v>
      </c>
      <c r="D653" s="165">
        <f t="shared" si="121"/>
        <v>2.1</v>
      </c>
      <c r="E653" s="179">
        <f t="shared" si="122"/>
        <v>874.67</v>
      </c>
      <c r="F653" s="179">
        <f t="shared" si="123"/>
        <v>1026.49</v>
      </c>
      <c r="G653" s="179">
        <f t="shared" si="124"/>
        <v>151.82000000000005</v>
      </c>
      <c r="H653" s="43">
        <f t="shared" si="125"/>
        <v>0.17357403363554269</v>
      </c>
    </row>
    <row r="654" spans="2:8" ht="15" customHeight="1" x14ac:dyDescent="0.3">
      <c r="B654" s="164">
        <v>150</v>
      </c>
      <c r="C654" s="165">
        <v>3</v>
      </c>
      <c r="D654" s="165">
        <f t="shared" si="121"/>
        <v>3.1500000000000004</v>
      </c>
      <c r="E654" s="179">
        <f t="shared" si="122"/>
        <v>880.43000000000006</v>
      </c>
      <c r="F654" s="179">
        <f t="shared" si="123"/>
        <v>1033.25</v>
      </c>
      <c r="G654" s="179">
        <f t="shared" si="124"/>
        <v>152.81999999999994</v>
      </c>
      <c r="H654" s="43">
        <f t="shared" si="125"/>
        <v>0.17357427620594468</v>
      </c>
    </row>
    <row r="655" spans="2:8" ht="15" customHeight="1" x14ac:dyDescent="0.3">
      <c r="B655" s="164">
        <v>151</v>
      </c>
      <c r="C655" s="165">
        <v>3</v>
      </c>
      <c r="D655" s="165">
        <f t="shared" si="121"/>
        <v>3.1500000000000004</v>
      </c>
      <c r="E655" s="179">
        <f t="shared" si="122"/>
        <v>886.19</v>
      </c>
      <c r="F655" s="179">
        <f t="shared" si="123"/>
        <v>1040.01</v>
      </c>
      <c r="G655" s="179">
        <f t="shared" si="124"/>
        <v>153.81999999999994</v>
      </c>
      <c r="H655" s="43">
        <f t="shared" si="125"/>
        <v>0.17357451562306037</v>
      </c>
    </row>
    <row r="656" spans="2:8" ht="15" customHeight="1" x14ac:dyDescent="0.3">
      <c r="B656" s="164">
        <v>152</v>
      </c>
      <c r="C656" s="165">
        <v>1</v>
      </c>
      <c r="D656" s="165">
        <f t="shared" si="121"/>
        <v>1.05</v>
      </c>
      <c r="E656" s="179">
        <f t="shared" si="122"/>
        <v>891.95</v>
      </c>
      <c r="F656" s="179">
        <f t="shared" si="123"/>
        <v>1046.77</v>
      </c>
      <c r="G656" s="179">
        <f t="shared" si="124"/>
        <v>154.81999999999994</v>
      </c>
      <c r="H656" s="43">
        <f t="shared" si="125"/>
        <v>0.17357475194797911</v>
      </c>
    </row>
    <row r="657" spans="2:8" ht="15" customHeight="1" x14ac:dyDescent="0.3">
      <c r="B657" s="164">
        <v>154</v>
      </c>
      <c r="C657" s="165">
        <v>1</v>
      </c>
      <c r="D657" s="165">
        <f t="shared" si="121"/>
        <v>1.05</v>
      </c>
      <c r="E657" s="179">
        <f t="shared" si="122"/>
        <v>903.47</v>
      </c>
      <c r="F657" s="179">
        <f t="shared" si="123"/>
        <v>1060.29</v>
      </c>
      <c r="G657" s="179">
        <f t="shared" si="124"/>
        <v>156.81999999999994</v>
      </c>
      <c r="H657" s="43">
        <f t="shared" si="125"/>
        <v>0.17357521555779387</v>
      </c>
    </row>
    <row r="658" spans="2:8" ht="15" customHeight="1" x14ac:dyDescent="0.3">
      <c r="B658" s="164">
        <v>156</v>
      </c>
      <c r="C658" s="165">
        <v>2</v>
      </c>
      <c r="D658" s="165">
        <f t="shared" si="121"/>
        <v>2.1</v>
      </c>
      <c r="E658" s="179">
        <f t="shared" si="122"/>
        <v>914.99</v>
      </c>
      <c r="F658" s="179">
        <f t="shared" si="123"/>
        <v>1073.81</v>
      </c>
      <c r="G658" s="179">
        <f t="shared" si="124"/>
        <v>158.81999999999994</v>
      </c>
      <c r="H658" s="43">
        <f t="shared" si="125"/>
        <v>0.17357566749363373</v>
      </c>
    </row>
    <row r="659" spans="2:8" ht="15" customHeight="1" x14ac:dyDescent="0.3">
      <c r="B659" s="164">
        <v>157</v>
      </c>
      <c r="C659" s="165">
        <v>1</v>
      </c>
      <c r="D659" s="165">
        <f t="shared" si="121"/>
        <v>1.05</v>
      </c>
      <c r="E659" s="179">
        <f t="shared" si="122"/>
        <v>920.75</v>
      </c>
      <c r="F659" s="179">
        <f t="shared" si="123"/>
        <v>1080.57</v>
      </c>
      <c r="G659" s="179">
        <f t="shared" si="124"/>
        <v>159.81999999999994</v>
      </c>
      <c r="H659" s="43">
        <f t="shared" si="125"/>
        <v>0.17357588922074396</v>
      </c>
    </row>
    <row r="660" spans="2:8" ht="15" customHeight="1" x14ac:dyDescent="0.3">
      <c r="B660" s="164">
        <v>158</v>
      </c>
      <c r="C660" s="165">
        <v>1</v>
      </c>
      <c r="D660" s="165">
        <f t="shared" si="121"/>
        <v>1.05</v>
      </c>
      <c r="E660" s="179">
        <f t="shared" si="122"/>
        <v>926.51</v>
      </c>
      <c r="F660" s="179">
        <f t="shared" si="123"/>
        <v>1087.33</v>
      </c>
      <c r="G660" s="179">
        <f t="shared" si="124"/>
        <v>160.81999999999994</v>
      </c>
      <c r="H660" s="43">
        <f t="shared" si="125"/>
        <v>0.17357610819095304</v>
      </c>
    </row>
    <row r="661" spans="2:8" ht="15" customHeight="1" x14ac:dyDescent="0.3">
      <c r="B661" s="164">
        <v>160</v>
      </c>
      <c r="C661" s="165">
        <v>1</v>
      </c>
      <c r="D661" s="165">
        <f t="shared" si="121"/>
        <v>1.05</v>
      </c>
      <c r="E661" s="179">
        <f t="shared" si="122"/>
        <v>938.03</v>
      </c>
      <c r="F661" s="179">
        <f t="shared" si="123"/>
        <v>1100.8499999999999</v>
      </c>
      <c r="G661" s="179">
        <f t="shared" si="124"/>
        <v>162.81999999999994</v>
      </c>
      <c r="H661" s="43">
        <f t="shared" si="125"/>
        <v>0.17357653806381457</v>
      </c>
    </row>
    <row r="662" spans="2:8" ht="15" customHeight="1" x14ac:dyDescent="0.3">
      <c r="B662" s="164">
        <v>161</v>
      </c>
      <c r="C662" s="165">
        <v>1</v>
      </c>
      <c r="D662" s="165">
        <f t="shared" si="121"/>
        <v>1.05</v>
      </c>
      <c r="E662" s="179">
        <f t="shared" si="122"/>
        <v>943.79</v>
      </c>
      <c r="F662" s="179">
        <f t="shared" si="123"/>
        <v>1107.6099999999999</v>
      </c>
      <c r="G662" s="179">
        <f t="shared" si="124"/>
        <v>163.81999999999994</v>
      </c>
      <c r="H662" s="43">
        <f t="shared" si="125"/>
        <v>0.17357674906494025</v>
      </c>
    </row>
    <row r="663" spans="2:8" ht="15" customHeight="1" x14ac:dyDescent="0.3">
      <c r="B663" s="164">
        <v>162</v>
      </c>
      <c r="C663" s="165">
        <v>2</v>
      </c>
      <c r="D663" s="165">
        <f t="shared" si="121"/>
        <v>2.1</v>
      </c>
      <c r="E663" s="179">
        <f t="shared" si="122"/>
        <v>949.55</v>
      </c>
      <c r="F663" s="179">
        <f t="shared" si="123"/>
        <v>1114.3699999999999</v>
      </c>
      <c r="G663" s="179">
        <f t="shared" si="124"/>
        <v>164.81999999999994</v>
      </c>
      <c r="H663" s="43">
        <f t="shared" si="125"/>
        <v>0.17357695750618718</v>
      </c>
    </row>
    <row r="664" spans="2:8" ht="15" customHeight="1" x14ac:dyDescent="0.3">
      <c r="B664" s="164">
        <v>163</v>
      </c>
      <c r="C664" s="165">
        <v>2</v>
      </c>
      <c r="D664" s="165">
        <f t="shared" si="121"/>
        <v>2.1</v>
      </c>
      <c r="E664" s="179">
        <f t="shared" si="122"/>
        <v>955.31000000000006</v>
      </c>
      <c r="F664" s="179">
        <f t="shared" si="123"/>
        <v>1121.1300000000001</v>
      </c>
      <c r="G664" s="179">
        <f t="shared" si="124"/>
        <v>165.82000000000005</v>
      </c>
      <c r="H664" s="43">
        <f t="shared" si="125"/>
        <v>0.17357716343385921</v>
      </c>
    </row>
    <row r="665" spans="2:8" ht="15" customHeight="1" x14ac:dyDescent="0.3">
      <c r="B665" s="164">
        <v>164</v>
      </c>
      <c r="C665" s="165">
        <v>1</v>
      </c>
      <c r="D665" s="165">
        <f t="shared" si="121"/>
        <v>1.05</v>
      </c>
      <c r="E665" s="179">
        <f t="shared" si="122"/>
        <v>961.07</v>
      </c>
      <c r="F665" s="179">
        <f t="shared" si="123"/>
        <v>1127.8900000000001</v>
      </c>
      <c r="G665" s="179">
        <f t="shared" si="124"/>
        <v>166.82000000000005</v>
      </c>
      <c r="H665" s="43">
        <f t="shared" si="125"/>
        <v>0.1735773668931504</v>
      </c>
    </row>
    <row r="666" spans="2:8" ht="15" customHeight="1" x14ac:dyDescent="0.3">
      <c r="B666" s="164">
        <v>165</v>
      </c>
      <c r="C666" s="165">
        <v>1</v>
      </c>
      <c r="D666" s="165">
        <f t="shared" si="121"/>
        <v>1.05</v>
      </c>
      <c r="E666" s="179">
        <f t="shared" si="122"/>
        <v>966.83</v>
      </c>
      <c r="F666" s="179">
        <f t="shared" si="123"/>
        <v>1134.6500000000001</v>
      </c>
      <c r="G666" s="179">
        <f t="shared" si="124"/>
        <v>167.82000000000005</v>
      </c>
      <c r="H666" s="43">
        <f t="shared" si="125"/>
        <v>0.17357756792817769</v>
      </c>
    </row>
    <row r="667" spans="2:8" ht="15" customHeight="1" x14ac:dyDescent="0.3">
      <c r="B667" s="164">
        <v>166</v>
      </c>
      <c r="C667" s="165">
        <v>1</v>
      </c>
      <c r="D667" s="165">
        <f t="shared" si="121"/>
        <v>1.05</v>
      </c>
      <c r="E667" s="179">
        <f t="shared" si="122"/>
        <v>972.59</v>
      </c>
      <c r="F667" s="179">
        <f t="shared" si="123"/>
        <v>1141.4100000000001</v>
      </c>
      <c r="G667" s="179">
        <f t="shared" si="124"/>
        <v>168.82000000000005</v>
      </c>
      <c r="H667" s="43">
        <f t="shared" si="125"/>
        <v>0.17357776658201307</v>
      </c>
    </row>
    <row r="668" spans="2:8" ht="15" customHeight="1" x14ac:dyDescent="0.3">
      <c r="B668" s="164">
        <v>167</v>
      </c>
      <c r="C668" s="165">
        <v>1</v>
      </c>
      <c r="D668" s="165">
        <f t="shared" si="121"/>
        <v>1.05</v>
      </c>
      <c r="E668" s="179">
        <f t="shared" si="122"/>
        <v>978.35</v>
      </c>
      <c r="F668" s="179">
        <f t="shared" si="123"/>
        <v>1148.17</v>
      </c>
      <c r="G668" s="179">
        <f t="shared" si="124"/>
        <v>169.82000000000005</v>
      </c>
      <c r="H668" s="43">
        <f t="shared" si="125"/>
        <v>0.17357796289671401</v>
      </c>
    </row>
    <row r="669" spans="2:8" ht="15" customHeight="1" x14ac:dyDescent="0.3">
      <c r="B669" s="164">
        <v>168</v>
      </c>
      <c r="C669" s="165">
        <v>2</v>
      </c>
      <c r="D669" s="165">
        <f t="shared" si="121"/>
        <v>2.1</v>
      </c>
      <c r="E669" s="179">
        <f t="shared" si="122"/>
        <v>984.11</v>
      </c>
      <c r="F669" s="179">
        <f t="shared" si="123"/>
        <v>1154.93</v>
      </c>
      <c r="G669" s="179">
        <f t="shared" si="124"/>
        <v>170.82000000000005</v>
      </c>
      <c r="H669" s="43">
        <f t="shared" si="125"/>
        <v>0.17357815691335321</v>
      </c>
    </row>
    <row r="670" spans="2:8" ht="15" customHeight="1" x14ac:dyDescent="0.3">
      <c r="B670" s="164">
        <v>169</v>
      </c>
      <c r="C670" s="165">
        <v>3</v>
      </c>
      <c r="D670" s="165">
        <f t="shared" si="121"/>
        <v>3.1500000000000004</v>
      </c>
      <c r="E670" s="179">
        <f t="shared" si="122"/>
        <v>989.87</v>
      </c>
      <c r="F670" s="179">
        <f t="shared" si="123"/>
        <v>1161.69</v>
      </c>
      <c r="G670" s="179">
        <f t="shared" si="124"/>
        <v>171.82000000000005</v>
      </c>
      <c r="H670" s="43">
        <f t="shared" si="125"/>
        <v>0.17357834867204791</v>
      </c>
    </row>
    <row r="671" spans="2:8" ht="15" customHeight="1" x14ac:dyDescent="0.3">
      <c r="B671" s="164">
        <v>171</v>
      </c>
      <c r="C671" s="165">
        <v>1</v>
      </c>
      <c r="D671" s="165">
        <f t="shared" si="121"/>
        <v>1.05</v>
      </c>
      <c r="E671" s="179">
        <f t="shared" si="122"/>
        <v>1001.39</v>
      </c>
      <c r="F671" s="179">
        <f t="shared" si="123"/>
        <v>1175.21</v>
      </c>
      <c r="G671" s="179">
        <f t="shared" si="124"/>
        <v>173.82000000000005</v>
      </c>
      <c r="H671" s="43">
        <f t="shared" si="125"/>
        <v>0.17357872557145582</v>
      </c>
    </row>
    <row r="672" spans="2:8" ht="15" customHeight="1" x14ac:dyDescent="0.3">
      <c r="B672" s="164">
        <v>172</v>
      </c>
      <c r="C672" s="165">
        <v>1</v>
      </c>
      <c r="D672" s="165">
        <f t="shared" si="121"/>
        <v>1.05</v>
      </c>
      <c r="E672" s="179">
        <f t="shared" si="122"/>
        <v>1007.15</v>
      </c>
      <c r="F672" s="179">
        <f t="shared" si="123"/>
        <v>1181.97</v>
      </c>
      <c r="G672" s="179">
        <f t="shared" si="124"/>
        <v>174.82000000000005</v>
      </c>
      <c r="H672" s="43">
        <f t="shared" si="125"/>
        <v>0.17357891078786691</v>
      </c>
    </row>
    <row r="673" spans="2:8" ht="15" customHeight="1" x14ac:dyDescent="0.3">
      <c r="B673" s="164">
        <v>173</v>
      </c>
      <c r="C673" s="165">
        <v>1</v>
      </c>
      <c r="D673" s="165">
        <f t="shared" si="121"/>
        <v>1.05</v>
      </c>
      <c r="E673" s="179">
        <f t="shared" si="122"/>
        <v>1012.91</v>
      </c>
      <c r="F673" s="179">
        <f t="shared" si="123"/>
        <v>1188.73</v>
      </c>
      <c r="G673" s="179">
        <f t="shared" si="124"/>
        <v>175.82000000000005</v>
      </c>
      <c r="H673" s="43">
        <f t="shared" si="125"/>
        <v>0.1735790938977797</v>
      </c>
    </row>
    <row r="674" spans="2:8" ht="15" customHeight="1" x14ac:dyDescent="0.3">
      <c r="B674" s="164">
        <v>174</v>
      </c>
      <c r="C674" s="165">
        <v>1</v>
      </c>
      <c r="D674" s="165">
        <f t="shared" si="121"/>
        <v>1.05</v>
      </c>
      <c r="E674" s="179">
        <f t="shared" si="122"/>
        <v>1018.67</v>
      </c>
      <c r="F674" s="179">
        <f t="shared" si="123"/>
        <v>1195.49</v>
      </c>
      <c r="G674" s="179">
        <f t="shared" si="124"/>
        <v>176.82000000000005</v>
      </c>
      <c r="H674" s="43">
        <f t="shared" si="125"/>
        <v>0.1735792749369276</v>
      </c>
    </row>
    <row r="675" spans="2:8" ht="15" customHeight="1" x14ac:dyDescent="0.3">
      <c r="B675" s="164">
        <v>175</v>
      </c>
      <c r="C675" s="165">
        <v>1</v>
      </c>
      <c r="D675" s="165">
        <f t="shared" si="121"/>
        <v>1.05</v>
      </c>
      <c r="E675" s="179">
        <f t="shared" si="122"/>
        <v>1024.4299999999998</v>
      </c>
      <c r="F675" s="179">
        <f t="shared" si="123"/>
        <v>1202.25</v>
      </c>
      <c r="G675" s="179">
        <f t="shared" si="124"/>
        <v>177.82000000000016</v>
      </c>
      <c r="H675" s="43">
        <f t="shared" si="125"/>
        <v>0.17357945394024021</v>
      </c>
    </row>
    <row r="676" spans="2:8" ht="15" customHeight="1" x14ac:dyDescent="0.3">
      <c r="B676" s="164">
        <v>176</v>
      </c>
      <c r="C676" s="165">
        <v>1</v>
      </c>
      <c r="D676" s="165">
        <f t="shared" si="121"/>
        <v>1.05</v>
      </c>
      <c r="E676" s="179">
        <f t="shared" si="122"/>
        <v>1030.19</v>
      </c>
      <c r="F676" s="179">
        <f t="shared" si="123"/>
        <v>1209.01</v>
      </c>
      <c r="G676" s="179">
        <f t="shared" si="124"/>
        <v>178.81999999999994</v>
      </c>
      <c r="H676" s="43">
        <f t="shared" si="125"/>
        <v>0.17357963094186513</v>
      </c>
    </row>
    <row r="677" spans="2:8" ht="15" customHeight="1" x14ac:dyDescent="0.3">
      <c r="B677" s="164">
        <v>178</v>
      </c>
      <c r="C677" s="165">
        <v>2</v>
      </c>
      <c r="D677" s="165">
        <f t="shared" si="121"/>
        <v>2.1</v>
      </c>
      <c r="E677" s="179">
        <f t="shared" si="122"/>
        <v>1041.71</v>
      </c>
      <c r="F677" s="179">
        <f t="shared" si="123"/>
        <v>1222.53</v>
      </c>
      <c r="G677" s="179">
        <f t="shared" si="124"/>
        <v>180.81999999999994</v>
      </c>
      <c r="H677" s="43">
        <f t="shared" si="125"/>
        <v>0.17357997907287048</v>
      </c>
    </row>
    <row r="678" spans="2:8" ht="15" customHeight="1" x14ac:dyDescent="0.3">
      <c r="B678" s="164">
        <v>179</v>
      </c>
      <c r="C678" s="165">
        <v>2</v>
      </c>
      <c r="D678" s="165">
        <f t="shared" si="121"/>
        <v>2.1</v>
      </c>
      <c r="E678" s="179">
        <f t="shared" si="122"/>
        <v>1047.47</v>
      </c>
      <c r="F678" s="179">
        <f t="shared" si="123"/>
        <v>1229.29</v>
      </c>
      <c r="G678" s="179">
        <f t="shared" si="124"/>
        <v>181.81999999999994</v>
      </c>
      <c r="H678" s="43">
        <f t="shared" si="125"/>
        <v>0.17358015026683327</v>
      </c>
    </row>
    <row r="679" spans="2:8" ht="15" customHeight="1" x14ac:dyDescent="0.3">
      <c r="B679" s="164">
        <v>180</v>
      </c>
      <c r="C679" s="165">
        <v>2</v>
      </c>
      <c r="D679" s="165">
        <f t="shared" si="121"/>
        <v>2.1</v>
      </c>
      <c r="E679" s="179">
        <f t="shared" si="122"/>
        <v>1053.23</v>
      </c>
      <c r="F679" s="179">
        <f t="shared" si="123"/>
        <v>1236.05</v>
      </c>
      <c r="G679" s="179">
        <f t="shared" si="124"/>
        <v>182.81999999999994</v>
      </c>
      <c r="H679" s="43">
        <f t="shared" si="125"/>
        <v>0.17358031958831388</v>
      </c>
    </row>
    <row r="680" spans="2:8" ht="15" customHeight="1" x14ac:dyDescent="0.3">
      <c r="B680" s="164">
        <v>182</v>
      </c>
      <c r="C680" s="165">
        <v>3</v>
      </c>
      <c r="D680" s="165">
        <f t="shared" si="121"/>
        <v>3.1500000000000004</v>
      </c>
      <c r="E680" s="179">
        <f t="shared" si="122"/>
        <v>1064.75</v>
      </c>
      <c r="F680" s="179">
        <f t="shared" si="123"/>
        <v>1249.5700000000002</v>
      </c>
      <c r="G680" s="179">
        <f t="shared" si="124"/>
        <v>184.82000000000016</v>
      </c>
      <c r="H680" s="43">
        <f t="shared" si="125"/>
        <v>0.17358065273538403</v>
      </c>
    </row>
    <row r="681" spans="2:8" ht="15" customHeight="1" x14ac:dyDescent="0.3">
      <c r="B681" s="164">
        <v>184</v>
      </c>
      <c r="C681" s="165">
        <v>1</v>
      </c>
      <c r="D681" s="165">
        <f t="shared" si="121"/>
        <v>1.05</v>
      </c>
      <c r="E681" s="179">
        <f t="shared" si="122"/>
        <v>1076.27</v>
      </c>
      <c r="F681" s="179">
        <f t="shared" si="123"/>
        <v>1263.0900000000001</v>
      </c>
      <c r="G681" s="179">
        <f t="shared" si="124"/>
        <v>186.82000000000016</v>
      </c>
      <c r="H681" s="43">
        <f t="shared" si="125"/>
        <v>0.17358097875068546</v>
      </c>
    </row>
    <row r="682" spans="2:8" ht="15" customHeight="1" x14ac:dyDescent="0.3">
      <c r="B682" s="164">
        <v>186</v>
      </c>
      <c r="C682" s="165">
        <v>1</v>
      </c>
      <c r="D682" s="165">
        <f t="shared" si="121"/>
        <v>1.05</v>
      </c>
      <c r="E682" s="179">
        <f t="shared" si="122"/>
        <v>1087.79</v>
      </c>
      <c r="F682" s="179">
        <f t="shared" si="123"/>
        <v>1276.6100000000001</v>
      </c>
      <c r="G682" s="179">
        <f t="shared" si="124"/>
        <v>188.82000000000016</v>
      </c>
      <c r="H682" s="43">
        <f t="shared" si="125"/>
        <v>0.17358129786080045</v>
      </c>
    </row>
    <row r="683" spans="2:8" ht="15" customHeight="1" x14ac:dyDescent="0.3">
      <c r="B683" s="164">
        <v>187</v>
      </c>
      <c r="C683" s="165">
        <v>1</v>
      </c>
      <c r="D683" s="165">
        <f t="shared" si="121"/>
        <v>1.05</v>
      </c>
      <c r="E683" s="179">
        <f t="shared" si="122"/>
        <v>1093.55</v>
      </c>
      <c r="F683" s="179">
        <f t="shared" si="123"/>
        <v>1283.3700000000001</v>
      </c>
      <c r="G683" s="179">
        <f t="shared" si="124"/>
        <v>189.82000000000016</v>
      </c>
      <c r="H683" s="43">
        <f t="shared" si="125"/>
        <v>0.17358145489460952</v>
      </c>
    </row>
    <row r="684" spans="2:8" ht="15" customHeight="1" x14ac:dyDescent="0.3">
      <c r="B684" s="164">
        <v>188</v>
      </c>
      <c r="C684" s="165">
        <v>2</v>
      </c>
      <c r="D684" s="165">
        <f t="shared" si="121"/>
        <v>2.1</v>
      </c>
      <c r="E684" s="179">
        <f t="shared" si="122"/>
        <v>1099.31</v>
      </c>
      <c r="F684" s="179">
        <f t="shared" si="123"/>
        <v>1290.1300000000001</v>
      </c>
      <c r="G684" s="179">
        <f t="shared" si="124"/>
        <v>190.82000000000016</v>
      </c>
      <c r="H684" s="43">
        <f t="shared" si="125"/>
        <v>0.17358161028281383</v>
      </c>
    </row>
    <row r="685" spans="2:8" ht="15" customHeight="1" x14ac:dyDescent="0.3">
      <c r="B685" s="164">
        <v>189</v>
      </c>
      <c r="C685" s="165">
        <v>1</v>
      </c>
      <c r="D685" s="165">
        <f t="shared" si="121"/>
        <v>1.05</v>
      </c>
      <c r="E685" s="179">
        <f t="shared" si="122"/>
        <v>1105.07</v>
      </c>
      <c r="F685" s="179">
        <f t="shared" si="123"/>
        <v>1296.8900000000001</v>
      </c>
      <c r="G685" s="179">
        <f t="shared" si="124"/>
        <v>191.82000000000016</v>
      </c>
      <c r="H685" s="43">
        <f t="shared" si="125"/>
        <v>0.17358176405114634</v>
      </c>
    </row>
    <row r="686" spans="2:8" ht="15" customHeight="1" x14ac:dyDescent="0.3">
      <c r="B686" s="164">
        <v>194</v>
      </c>
      <c r="C686" s="165">
        <v>1</v>
      </c>
      <c r="D686" s="165">
        <f t="shared" si="121"/>
        <v>1.05</v>
      </c>
      <c r="E686" s="179">
        <f t="shared" si="122"/>
        <v>1133.8699999999999</v>
      </c>
      <c r="F686" s="179">
        <f t="shared" si="123"/>
        <v>1330.69</v>
      </c>
      <c r="G686" s="179">
        <f t="shared" si="124"/>
        <v>196.82000000000016</v>
      </c>
      <c r="H686" s="43">
        <f t="shared" si="125"/>
        <v>0.17358250945875642</v>
      </c>
    </row>
    <row r="687" spans="2:8" ht="15" customHeight="1" x14ac:dyDescent="0.3">
      <c r="B687" s="164">
        <v>197</v>
      </c>
      <c r="C687" s="165">
        <v>1</v>
      </c>
      <c r="D687" s="165">
        <f t="shared" si="121"/>
        <v>1.05</v>
      </c>
      <c r="E687" s="179">
        <f t="shared" si="122"/>
        <v>1151.1499999999999</v>
      </c>
      <c r="F687" s="179">
        <f t="shared" si="123"/>
        <v>1350.97</v>
      </c>
      <c r="G687" s="179">
        <f t="shared" si="124"/>
        <v>199.82000000000016</v>
      </c>
      <c r="H687" s="43">
        <f t="shared" si="125"/>
        <v>0.17358293880033027</v>
      </c>
    </row>
    <row r="688" spans="2:8" ht="15" customHeight="1" x14ac:dyDescent="0.3">
      <c r="B688" s="164">
        <v>199</v>
      </c>
      <c r="C688" s="165">
        <v>1</v>
      </c>
      <c r="D688" s="165">
        <f t="shared" si="121"/>
        <v>1.05</v>
      </c>
      <c r="E688" s="179">
        <f t="shared" si="122"/>
        <v>1162.6699999999998</v>
      </c>
      <c r="F688" s="179">
        <f t="shared" si="123"/>
        <v>1364.49</v>
      </c>
      <c r="G688" s="179">
        <f t="shared" si="124"/>
        <v>201.82000000000016</v>
      </c>
      <c r="H688" s="43">
        <f t="shared" si="125"/>
        <v>0.17358321793802212</v>
      </c>
    </row>
    <row r="689" spans="2:8" ht="15" customHeight="1" x14ac:dyDescent="0.3">
      <c r="B689" s="164">
        <v>204</v>
      </c>
      <c r="C689" s="165">
        <v>2</v>
      </c>
      <c r="D689" s="165">
        <f t="shared" si="121"/>
        <v>2.1</v>
      </c>
      <c r="E689" s="179">
        <f t="shared" si="122"/>
        <v>1191.4699999999998</v>
      </c>
      <c r="F689" s="179">
        <f t="shared" si="123"/>
        <v>1398.29</v>
      </c>
      <c r="G689" s="179">
        <f t="shared" si="124"/>
        <v>206.82000000000016</v>
      </c>
      <c r="H689" s="43">
        <f t="shared" si="125"/>
        <v>0.17358389216681935</v>
      </c>
    </row>
    <row r="690" spans="2:8" ht="15" customHeight="1" x14ac:dyDescent="0.3">
      <c r="B690" s="164">
        <v>206</v>
      </c>
      <c r="C690" s="165">
        <v>1</v>
      </c>
      <c r="D690" s="165">
        <f t="shared" si="121"/>
        <v>1.05</v>
      </c>
      <c r="E690" s="179">
        <f t="shared" si="122"/>
        <v>1202.9899999999998</v>
      </c>
      <c r="F690" s="179">
        <f t="shared" si="123"/>
        <v>1411.81</v>
      </c>
      <c r="G690" s="179">
        <f t="shared" si="124"/>
        <v>208.82000000000016</v>
      </c>
      <c r="H690" s="43">
        <f t="shared" si="125"/>
        <v>0.17358415281922568</v>
      </c>
    </row>
    <row r="691" spans="2:8" ht="15" customHeight="1" x14ac:dyDescent="0.3">
      <c r="B691" s="164">
        <v>207</v>
      </c>
      <c r="C691" s="165">
        <v>1</v>
      </c>
      <c r="D691" s="165">
        <f t="shared" si="121"/>
        <v>1.05</v>
      </c>
      <c r="E691" s="179">
        <f t="shared" si="122"/>
        <v>1208.75</v>
      </c>
      <c r="F691" s="179">
        <f t="shared" si="123"/>
        <v>1418.5700000000002</v>
      </c>
      <c r="G691" s="179">
        <f t="shared" si="124"/>
        <v>209.82000000000016</v>
      </c>
      <c r="H691" s="43">
        <f t="shared" si="125"/>
        <v>0.17358428128231651</v>
      </c>
    </row>
    <row r="692" spans="2:8" ht="15" customHeight="1" x14ac:dyDescent="0.3">
      <c r="B692" s="164">
        <v>211</v>
      </c>
      <c r="C692" s="165">
        <v>1</v>
      </c>
      <c r="D692" s="165">
        <f t="shared" si="121"/>
        <v>1.05</v>
      </c>
      <c r="E692" s="179">
        <f t="shared" si="122"/>
        <v>1231.79</v>
      </c>
      <c r="F692" s="179">
        <f t="shared" si="123"/>
        <v>1445.6100000000001</v>
      </c>
      <c r="G692" s="179">
        <f t="shared" si="124"/>
        <v>213.82000000000016</v>
      </c>
      <c r="H692" s="43">
        <f t="shared" si="125"/>
        <v>0.17358478312049952</v>
      </c>
    </row>
    <row r="693" spans="2:8" ht="15" customHeight="1" x14ac:dyDescent="0.3">
      <c r="B693" s="164">
        <v>212</v>
      </c>
      <c r="C693" s="165">
        <v>1</v>
      </c>
      <c r="D693" s="165">
        <f t="shared" si="121"/>
        <v>1.05</v>
      </c>
      <c r="E693" s="179">
        <f t="shared" si="122"/>
        <v>1237.55</v>
      </c>
      <c r="F693" s="179">
        <f t="shared" si="123"/>
        <v>1452.3700000000001</v>
      </c>
      <c r="G693" s="179">
        <f t="shared" si="124"/>
        <v>214.82000000000016</v>
      </c>
      <c r="H693" s="43">
        <f t="shared" si="125"/>
        <v>0.17358490566037754</v>
      </c>
    </row>
    <row r="694" spans="2:8" ht="15" customHeight="1" x14ac:dyDescent="0.3">
      <c r="B694" s="164">
        <v>216</v>
      </c>
      <c r="C694" s="165">
        <v>1</v>
      </c>
      <c r="D694" s="165">
        <f t="shared" si="121"/>
        <v>1.05</v>
      </c>
      <c r="E694" s="179">
        <f t="shared" si="122"/>
        <v>1260.5899999999999</v>
      </c>
      <c r="F694" s="179">
        <f t="shared" si="123"/>
        <v>1479.41</v>
      </c>
      <c r="G694" s="179">
        <f t="shared" si="124"/>
        <v>218.82000000000016</v>
      </c>
      <c r="H694" s="43">
        <f t="shared" si="125"/>
        <v>0.17358538462148698</v>
      </c>
    </row>
    <row r="695" spans="2:8" ht="15" customHeight="1" x14ac:dyDescent="0.3">
      <c r="B695" s="164">
        <v>219</v>
      </c>
      <c r="C695" s="165">
        <v>2</v>
      </c>
      <c r="D695" s="165">
        <f t="shared" si="121"/>
        <v>2.1</v>
      </c>
      <c r="E695" s="179">
        <f t="shared" si="122"/>
        <v>1277.8699999999999</v>
      </c>
      <c r="F695" s="179">
        <f t="shared" si="123"/>
        <v>1499.69</v>
      </c>
      <c r="G695" s="179">
        <f t="shared" si="124"/>
        <v>221.82000000000016</v>
      </c>
      <c r="H695" s="43">
        <f t="shared" si="125"/>
        <v>0.17358573250800169</v>
      </c>
    </row>
    <row r="696" spans="2:8" ht="15" customHeight="1" x14ac:dyDescent="0.3">
      <c r="B696" s="164">
        <v>220</v>
      </c>
      <c r="C696" s="165">
        <v>1</v>
      </c>
      <c r="D696" s="165">
        <f t="shared" si="121"/>
        <v>1.05</v>
      </c>
      <c r="E696" s="179">
        <f t="shared" si="122"/>
        <v>1283.6299999999999</v>
      </c>
      <c r="F696" s="179">
        <f t="shared" si="123"/>
        <v>1506.45</v>
      </c>
      <c r="G696" s="179">
        <f t="shared" si="124"/>
        <v>222.82000000000016</v>
      </c>
      <c r="H696" s="43">
        <f t="shared" si="125"/>
        <v>0.17358584638875696</v>
      </c>
    </row>
    <row r="697" spans="2:8" ht="15" customHeight="1" x14ac:dyDescent="0.3">
      <c r="B697" s="164">
        <v>221</v>
      </c>
      <c r="C697" s="165">
        <v>1</v>
      </c>
      <c r="D697" s="165">
        <f t="shared" si="121"/>
        <v>1.05</v>
      </c>
      <c r="E697" s="179">
        <f t="shared" si="122"/>
        <v>1289.3899999999999</v>
      </c>
      <c r="F697" s="179">
        <f t="shared" si="123"/>
        <v>1513.21</v>
      </c>
      <c r="G697" s="179">
        <f t="shared" si="124"/>
        <v>223.82000000000016</v>
      </c>
      <c r="H697" s="43">
        <f t="shared" si="125"/>
        <v>0.17358595925204967</v>
      </c>
    </row>
    <row r="698" spans="2:8" ht="15" customHeight="1" x14ac:dyDescent="0.3">
      <c r="B698" s="164">
        <v>222</v>
      </c>
      <c r="C698" s="165">
        <v>1</v>
      </c>
      <c r="D698" s="165">
        <f t="shared" si="121"/>
        <v>1.05</v>
      </c>
      <c r="E698" s="179">
        <f t="shared" si="122"/>
        <v>1295.1499999999999</v>
      </c>
      <c r="F698" s="179">
        <f t="shared" si="123"/>
        <v>1519.97</v>
      </c>
      <c r="G698" s="179">
        <f t="shared" si="124"/>
        <v>224.82000000000016</v>
      </c>
      <c r="H698" s="43">
        <f t="shared" si="125"/>
        <v>0.17358607111145452</v>
      </c>
    </row>
    <row r="699" spans="2:8" ht="15" customHeight="1" x14ac:dyDescent="0.3">
      <c r="B699" s="164">
        <v>226</v>
      </c>
      <c r="C699" s="165">
        <v>2</v>
      </c>
      <c r="D699" s="165">
        <f t="shared" si="121"/>
        <v>2.1</v>
      </c>
      <c r="E699" s="179">
        <f t="shared" si="122"/>
        <v>1318.1899999999998</v>
      </c>
      <c r="F699" s="179">
        <f t="shared" si="123"/>
        <v>1547.01</v>
      </c>
      <c r="G699" s="179">
        <f t="shared" si="124"/>
        <v>228.82000000000016</v>
      </c>
      <c r="H699" s="43">
        <f t="shared" si="125"/>
        <v>0.17358650877339388</v>
      </c>
    </row>
    <row r="700" spans="2:8" ht="15" customHeight="1" x14ac:dyDescent="0.3">
      <c r="B700" s="164">
        <v>229</v>
      </c>
      <c r="C700" s="165">
        <v>1</v>
      </c>
      <c r="D700" s="165">
        <f t="shared" si="121"/>
        <v>1.05</v>
      </c>
      <c r="E700" s="179">
        <f t="shared" si="122"/>
        <v>1335.4699999999998</v>
      </c>
      <c r="F700" s="179">
        <f t="shared" si="123"/>
        <v>1567.29</v>
      </c>
      <c r="G700" s="179">
        <f t="shared" si="124"/>
        <v>231.82000000000016</v>
      </c>
      <c r="H700" s="43">
        <f t="shared" si="125"/>
        <v>0.17358682710955708</v>
      </c>
    </row>
    <row r="701" spans="2:8" ht="15" customHeight="1" x14ac:dyDescent="0.3">
      <c r="B701" s="164">
        <v>231</v>
      </c>
      <c r="C701" s="165">
        <v>1</v>
      </c>
      <c r="D701" s="165">
        <f t="shared" si="121"/>
        <v>1.05</v>
      </c>
      <c r="E701" s="179">
        <f t="shared" si="122"/>
        <v>1346.9899999999998</v>
      </c>
      <c r="F701" s="179">
        <f t="shared" si="123"/>
        <v>1580.81</v>
      </c>
      <c r="G701" s="179">
        <f t="shared" si="124"/>
        <v>233.82000000000016</v>
      </c>
      <c r="H701" s="43">
        <f t="shared" si="125"/>
        <v>0.17358703479610105</v>
      </c>
    </row>
    <row r="702" spans="2:8" ht="15" customHeight="1" x14ac:dyDescent="0.3">
      <c r="B702" s="164">
        <v>232</v>
      </c>
      <c r="C702" s="165">
        <v>1</v>
      </c>
      <c r="D702" s="165">
        <f t="shared" si="121"/>
        <v>1.05</v>
      </c>
      <c r="E702" s="179">
        <f t="shared" si="122"/>
        <v>1352.7499999999998</v>
      </c>
      <c r="F702" s="179">
        <f t="shared" si="123"/>
        <v>1587.57</v>
      </c>
      <c r="G702" s="179">
        <f t="shared" si="124"/>
        <v>234.82000000000016</v>
      </c>
      <c r="H702" s="43">
        <f t="shared" si="125"/>
        <v>0.17358713731288122</v>
      </c>
    </row>
    <row r="703" spans="2:8" ht="15" customHeight="1" x14ac:dyDescent="0.3">
      <c r="B703" s="164">
        <v>234</v>
      </c>
      <c r="C703" s="165">
        <v>1</v>
      </c>
      <c r="D703" s="165">
        <f t="shared" si="121"/>
        <v>1.05</v>
      </c>
      <c r="E703" s="179">
        <f t="shared" si="122"/>
        <v>1364.27</v>
      </c>
      <c r="F703" s="179">
        <f t="shared" si="123"/>
        <v>1601.0900000000001</v>
      </c>
      <c r="G703" s="179">
        <f t="shared" si="124"/>
        <v>236.82000000000016</v>
      </c>
      <c r="H703" s="43">
        <f t="shared" si="125"/>
        <v>0.17358733974946317</v>
      </c>
    </row>
    <row r="704" spans="2:8" ht="15" customHeight="1" x14ac:dyDescent="0.3">
      <c r="B704" s="164">
        <v>235</v>
      </c>
      <c r="C704" s="165">
        <v>1</v>
      </c>
      <c r="D704" s="165">
        <f t="shared" si="121"/>
        <v>1.05</v>
      </c>
      <c r="E704" s="179">
        <f t="shared" si="122"/>
        <v>1370.03</v>
      </c>
      <c r="F704" s="179">
        <f t="shared" si="123"/>
        <v>1607.8500000000001</v>
      </c>
      <c r="G704" s="179">
        <f t="shared" si="124"/>
        <v>237.82000000000016</v>
      </c>
      <c r="H704" s="43">
        <f t="shared" si="125"/>
        <v>0.17358743969110169</v>
      </c>
    </row>
    <row r="705" spans="2:8" ht="15" customHeight="1" x14ac:dyDescent="0.3">
      <c r="B705" s="164">
        <v>241</v>
      </c>
      <c r="C705" s="165">
        <v>3</v>
      </c>
      <c r="D705" s="165">
        <f t="shared" ref="D705:D744" si="126">+C705*(1+$D$10)</f>
        <v>3.1500000000000004</v>
      </c>
      <c r="E705" s="179">
        <f t="shared" ref="E705:E744" si="127">+L207</f>
        <v>1404.59</v>
      </c>
      <c r="F705" s="179">
        <f t="shared" ref="F705:F744" si="128">+L456</f>
        <v>1648.41</v>
      </c>
      <c r="G705" s="179">
        <f t="shared" ref="G705:G744" si="129">+F705-E705</f>
        <v>243.82000000000016</v>
      </c>
      <c r="H705" s="43">
        <f t="shared" ref="H705:H744" si="130">+F705/E705-1</f>
        <v>0.17358802212745372</v>
      </c>
    </row>
    <row r="706" spans="2:8" ht="15" customHeight="1" x14ac:dyDescent="0.3">
      <c r="B706" s="164">
        <v>243</v>
      </c>
      <c r="C706" s="165">
        <v>1</v>
      </c>
      <c r="D706" s="165">
        <f t="shared" si="126"/>
        <v>1.05</v>
      </c>
      <c r="E706" s="179">
        <f t="shared" si="127"/>
        <v>1416.11</v>
      </c>
      <c r="F706" s="179">
        <f t="shared" si="128"/>
        <v>1661.93</v>
      </c>
      <c r="G706" s="179">
        <f t="shared" si="129"/>
        <v>245.82000000000016</v>
      </c>
      <c r="H706" s="43">
        <f t="shared" si="130"/>
        <v>0.17358820995544155</v>
      </c>
    </row>
    <row r="707" spans="2:8" ht="15" customHeight="1" x14ac:dyDescent="0.3">
      <c r="B707" s="164">
        <v>250</v>
      </c>
      <c r="C707" s="165">
        <v>1</v>
      </c>
      <c r="D707" s="165">
        <f t="shared" si="126"/>
        <v>1.05</v>
      </c>
      <c r="E707" s="179">
        <f t="shared" si="127"/>
        <v>1456.4299999999998</v>
      </c>
      <c r="F707" s="179">
        <f t="shared" si="128"/>
        <v>1709.25</v>
      </c>
      <c r="G707" s="179">
        <f t="shared" si="129"/>
        <v>252.82000000000016</v>
      </c>
      <c r="H707" s="43">
        <f t="shared" si="130"/>
        <v>0.17358884395405205</v>
      </c>
    </row>
    <row r="708" spans="2:8" ht="15" customHeight="1" x14ac:dyDescent="0.3">
      <c r="B708" s="164">
        <v>255</v>
      </c>
      <c r="C708" s="165">
        <v>1</v>
      </c>
      <c r="D708" s="165">
        <f t="shared" si="126"/>
        <v>1.05</v>
      </c>
      <c r="E708" s="179">
        <f t="shared" si="127"/>
        <v>1485.2299999999998</v>
      </c>
      <c r="F708" s="179">
        <f t="shared" si="128"/>
        <v>1743.05</v>
      </c>
      <c r="G708" s="179">
        <f t="shared" si="129"/>
        <v>257.82000000000016</v>
      </c>
      <c r="H708" s="43">
        <f t="shared" si="130"/>
        <v>0.17358927573507144</v>
      </c>
    </row>
    <row r="709" spans="2:8" ht="15" customHeight="1" x14ac:dyDescent="0.3">
      <c r="B709" s="164">
        <v>257</v>
      </c>
      <c r="C709" s="165">
        <v>1</v>
      </c>
      <c r="D709" s="165">
        <f t="shared" si="126"/>
        <v>1.05</v>
      </c>
      <c r="E709" s="179">
        <f t="shared" si="127"/>
        <v>1496.7499999999998</v>
      </c>
      <c r="F709" s="179">
        <f t="shared" si="128"/>
        <v>1756.57</v>
      </c>
      <c r="G709" s="179">
        <f t="shared" si="129"/>
        <v>259.82000000000016</v>
      </c>
      <c r="H709" s="43">
        <f t="shared" si="130"/>
        <v>0.17358944379488905</v>
      </c>
    </row>
    <row r="710" spans="2:8" ht="15" customHeight="1" x14ac:dyDescent="0.3">
      <c r="B710" s="164">
        <v>266</v>
      </c>
      <c r="C710" s="165">
        <v>2</v>
      </c>
      <c r="D710" s="165">
        <f t="shared" si="126"/>
        <v>2.1</v>
      </c>
      <c r="E710" s="179">
        <f t="shared" si="127"/>
        <v>1548.59</v>
      </c>
      <c r="F710" s="179">
        <f t="shared" si="128"/>
        <v>1817.41</v>
      </c>
      <c r="G710" s="179">
        <f t="shared" si="129"/>
        <v>268.82000000000016</v>
      </c>
      <c r="H710" s="43">
        <f t="shared" si="130"/>
        <v>0.1735901691215882</v>
      </c>
    </row>
    <row r="711" spans="2:8" ht="15" customHeight="1" x14ac:dyDescent="0.3">
      <c r="B711" s="164">
        <v>278</v>
      </c>
      <c r="C711" s="165">
        <v>1</v>
      </c>
      <c r="D711" s="165">
        <f t="shared" si="126"/>
        <v>1.05</v>
      </c>
      <c r="E711" s="179">
        <f t="shared" si="127"/>
        <v>1617.7099999999998</v>
      </c>
      <c r="F711" s="179">
        <f t="shared" si="128"/>
        <v>1898.53</v>
      </c>
      <c r="G711" s="179">
        <f t="shared" si="129"/>
        <v>280.82000000000016</v>
      </c>
      <c r="H711" s="43">
        <f t="shared" si="130"/>
        <v>0.17359106391133161</v>
      </c>
    </row>
    <row r="712" spans="2:8" ht="15" customHeight="1" x14ac:dyDescent="0.3">
      <c r="B712" s="164">
        <v>279</v>
      </c>
      <c r="C712" s="165">
        <v>1</v>
      </c>
      <c r="D712" s="165">
        <f t="shared" si="126"/>
        <v>1.05</v>
      </c>
      <c r="E712" s="179">
        <f t="shared" si="127"/>
        <v>1623.4699999999998</v>
      </c>
      <c r="F712" s="179">
        <f t="shared" si="128"/>
        <v>1905.29</v>
      </c>
      <c r="G712" s="179">
        <f t="shared" si="129"/>
        <v>281.82000000000016</v>
      </c>
      <c r="H712" s="43">
        <f t="shared" si="130"/>
        <v>0.17359113503791268</v>
      </c>
    </row>
    <row r="713" spans="2:8" ht="15" customHeight="1" x14ac:dyDescent="0.3">
      <c r="B713" s="164">
        <v>280</v>
      </c>
      <c r="C713" s="165">
        <v>1</v>
      </c>
      <c r="D713" s="165">
        <f t="shared" si="126"/>
        <v>1.05</v>
      </c>
      <c r="E713" s="179">
        <f t="shared" si="127"/>
        <v>1629.2299999999998</v>
      </c>
      <c r="F713" s="179">
        <f t="shared" si="128"/>
        <v>1912.05</v>
      </c>
      <c r="G713" s="179">
        <f t="shared" si="129"/>
        <v>282.82000000000016</v>
      </c>
      <c r="H713" s="43">
        <f t="shared" si="130"/>
        <v>0.17359120566157027</v>
      </c>
    </row>
    <row r="714" spans="2:8" ht="15" customHeight="1" x14ac:dyDescent="0.3">
      <c r="B714" s="164">
        <v>281</v>
      </c>
      <c r="C714" s="165">
        <v>1</v>
      </c>
      <c r="D714" s="165">
        <f t="shared" si="126"/>
        <v>1.05</v>
      </c>
      <c r="E714" s="179">
        <f t="shared" si="127"/>
        <v>1634.9899999999998</v>
      </c>
      <c r="F714" s="179">
        <f t="shared" si="128"/>
        <v>1918.81</v>
      </c>
      <c r="G714" s="179">
        <f t="shared" si="129"/>
        <v>283.82000000000016</v>
      </c>
      <c r="H714" s="43">
        <f t="shared" si="130"/>
        <v>0.17359127578761968</v>
      </c>
    </row>
    <row r="715" spans="2:8" ht="15" customHeight="1" x14ac:dyDescent="0.3">
      <c r="B715" s="164">
        <v>282</v>
      </c>
      <c r="C715" s="165">
        <v>1</v>
      </c>
      <c r="D715" s="165">
        <f t="shared" si="126"/>
        <v>1.05</v>
      </c>
      <c r="E715" s="179">
        <f t="shared" si="127"/>
        <v>1640.7499999999998</v>
      </c>
      <c r="F715" s="179">
        <f t="shared" si="128"/>
        <v>1925.57</v>
      </c>
      <c r="G715" s="179">
        <f t="shared" si="129"/>
        <v>284.82000000000016</v>
      </c>
      <c r="H715" s="43">
        <f t="shared" si="130"/>
        <v>0.17359134542130139</v>
      </c>
    </row>
    <row r="716" spans="2:8" ht="15" customHeight="1" x14ac:dyDescent="0.3">
      <c r="B716" s="164">
        <v>289</v>
      </c>
      <c r="C716" s="165">
        <v>1</v>
      </c>
      <c r="D716" s="165">
        <f t="shared" si="126"/>
        <v>1.05</v>
      </c>
      <c r="E716" s="179">
        <f t="shared" si="127"/>
        <v>1681.07</v>
      </c>
      <c r="F716" s="179">
        <f t="shared" si="128"/>
        <v>1972.89</v>
      </c>
      <c r="G716" s="179">
        <f t="shared" si="129"/>
        <v>291.82000000000016</v>
      </c>
      <c r="H716" s="43">
        <f t="shared" si="130"/>
        <v>0.17359181949591629</v>
      </c>
    </row>
    <row r="717" spans="2:8" ht="15" customHeight="1" x14ac:dyDescent="0.3">
      <c r="B717" s="164">
        <v>298</v>
      </c>
      <c r="C717" s="165">
        <v>1</v>
      </c>
      <c r="D717" s="165">
        <f t="shared" si="126"/>
        <v>1.05</v>
      </c>
      <c r="E717" s="179">
        <f t="shared" si="127"/>
        <v>1732.9099999999999</v>
      </c>
      <c r="F717" s="179">
        <f t="shared" si="128"/>
        <v>2033.73</v>
      </c>
      <c r="G717" s="179">
        <f t="shared" si="129"/>
        <v>300.82000000000016</v>
      </c>
      <c r="H717" s="43">
        <f t="shared" si="130"/>
        <v>0.17359239660455539</v>
      </c>
    </row>
    <row r="718" spans="2:8" ht="15" customHeight="1" x14ac:dyDescent="0.3">
      <c r="B718" s="164">
        <v>302</v>
      </c>
      <c r="C718" s="165">
        <v>1</v>
      </c>
      <c r="D718" s="165">
        <f t="shared" si="126"/>
        <v>1.05</v>
      </c>
      <c r="E718" s="179">
        <f t="shared" si="127"/>
        <v>1755.9499999999998</v>
      </c>
      <c r="F718" s="179">
        <f t="shared" si="128"/>
        <v>2060.77</v>
      </c>
      <c r="G718" s="179">
        <f t="shared" si="129"/>
        <v>304.82000000000016</v>
      </c>
      <c r="H718" s="43">
        <f t="shared" si="130"/>
        <v>0.17359264215951486</v>
      </c>
    </row>
    <row r="719" spans="2:8" ht="15" customHeight="1" x14ac:dyDescent="0.3">
      <c r="B719" s="164">
        <v>307</v>
      </c>
      <c r="C719" s="165">
        <v>1</v>
      </c>
      <c r="D719" s="165">
        <f t="shared" si="126"/>
        <v>1.05</v>
      </c>
      <c r="E719" s="179">
        <f t="shared" si="127"/>
        <v>1784.7499999999998</v>
      </c>
      <c r="F719" s="179">
        <f t="shared" si="128"/>
        <v>2094.5699999999997</v>
      </c>
      <c r="G719" s="179">
        <f t="shared" si="129"/>
        <v>309.81999999999994</v>
      </c>
      <c r="H719" s="43">
        <f t="shared" si="130"/>
        <v>0.17359294018770144</v>
      </c>
    </row>
    <row r="720" spans="2:8" ht="15" customHeight="1" x14ac:dyDescent="0.3">
      <c r="B720" s="164">
        <v>310</v>
      </c>
      <c r="C720" s="165">
        <v>1</v>
      </c>
      <c r="D720" s="165">
        <f t="shared" si="126"/>
        <v>1.05</v>
      </c>
      <c r="E720" s="179">
        <f t="shared" si="127"/>
        <v>1802.03</v>
      </c>
      <c r="F720" s="179">
        <f t="shared" si="128"/>
        <v>2114.85</v>
      </c>
      <c r="G720" s="179">
        <f t="shared" si="129"/>
        <v>312.81999999999994</v>
      </c>
      <c r="H720" s="43">
        <f t="shared" si="130"/>
        <v>0.17359311443205705</v>
      </c>
    </row>
    <row r="721" spans="2:8" ht="15" customHeight="1" x14ac:dyDescent="0.3">
      <c r="B721" s="164">
        <v>315</v>
      </c>
      <c r="C721" s="165">
        <v>1</v>
      </c>
      <c r="D721" s="165">
        <f t="shared" si="126"/>
        <v>1.05</v>
      </c>
      <c r="E721" s="179">
        <f t="shared" si="127"/>
        <v>1830.83</v>
      </c>
      <c r="F721" s="179">
        <f t="shared" si="128"/>
        <v>2148.65</v>
      </c>
      <c r="G721" s="179">
        <f t="shared" si="129"/>
        <v>317.82000000000016</v>
      </c>
      <c r="H721" s="43">
        <f t="shared" si="130"/>
        <v>0.17359339753008207</v>
      </c>
    </row>
    <row r="722" spans="2:8" ht="15" customHeight="1" x14ac:dyDescent="0.3">
      <c r="B722" s="164">
        <v>318</v>
      </c>
      <c r="C722" s="165">
        <v>1</v>
      </c>
      <c r="D722" s="165">
        <f t="shared" si="126"/>
        <v>1.05</v>
      </c>
      <c r="E722" s="179">
        <f t="shared" si="127"/>
        <v>1848.11</v>
      </c>
      <c r="F722" s="179">
        <f t="shared" si="128"/>
        <v>2168.9299999999998</v>
      </c>
      <c r="G722" s="179">
        <f t="shared" si="129"/>
        <v>320.81999999999994</v>
      </c>
      <c r="H722" s="43">
        <f t="shared" si="130"/>
        <v>0.17359356315370844</v>
      </c>
    </row>
    <row r="723" spans="2:8" ht="15" customHeight="1" x14ac:dyDescent="0.3">
      <c r="B723" s="164">
        <v>326</v>
      </c>
      <c r="C723" s="165">
        <v>1</v>
      </c>
      <c r="D723" s="165">
        <f t="shared" si="126"/>
        <v>1.05</v>
      </c>
      <c r="E723" s="179">
        <f t="shared" si="127"/>
        <v>1894.1899999999998</v>
      </c>
      <c r="F723" s="179">
        <f t="shared" si="128"/>
        <v>2223.0100000000002</v>
      </c>
      <c r="G723" s="179">
        <f t="shared" si="129"/>
        <v>328.82000000000039</v>
      </c>
      <c r="H723" s="43">
        <f t="shared" si="130"/>
        <v>0.17359399004323772</v>
      </c>
    </row>
    <row r="724" spans="2:8" ht="15" customHeight="1" x14ac:dyDescent="0.3">
      <c r="B724" s="164">
        <v>334</v>
      </c>
      <c r="C724" s="165">
        <v>1</v>
      </c>
      <c r="D724" s="165">
        <f t="shared" si="126"/>
        <v>1.05</v>
      </c>
      <c r="E724" s="179">
        <f t="shared" si="127"/>
        <v>1940.2699999999998</v>
      </c>
      <c r="F724" s="179">
        <f t="shared" si="128"/>
        <v>2277.09</v>
      </c>
      <c r="G724" s="179">
        <f t="shared" si="129"/>
        <v>336.82000000000039</v>
      </c>
      <c r="H724" s="43">
        <f t="shared" si="130"/>
        <v>0.17359439665613574</v>
      </c>
    </row>
    <row r="725" spans="2:8" ht="15" customHeight="1" x14ac:dyDescent="0.3">
      <c r="B725" s="164">
        <v>337</v>
      </c>
      <c r="C725" s="165">
        <v>1</v>
      </c>
      <c r="D725" s="165">
        <f t="shared" si="126"/>
        <v>1.05</v>
      </c>
      <c r="E725" s="179">
        <f t="shared" si="127"/>
        <v>1957.55</v>
      </c>
      <c r="F725" s="179">
        <f t="shared" si="128"/>
        <v>2297.37</v>
      </c>
      <c r="G725" s="179">
        <f t="shared" si="129"/>
        <v>339.81999999999994</v>
      </c>
      <c r="H725" s="43">
        <f t="shared" si="130"/>
        <v>0.17359454420065901</v>
      </c>
    </row>
    <row r="726" spans="2:8" ht="15" customHeight="1" x14ac:dyDescent="0.3">
      <c r="B726" s="164">
        <v>338</v>
      </c>
      <c r="C726" s="165">
        <v>1</v>
      </c>
      <c r="D726" s="165">
        <f t="shared" si="126"/>
        <v>1.05</v>
      </c>
      <c r="E726" s="179">
        <f t="shared" si="127"/>
        <v>1963.31</v>
      </c>
      <c r="F726" s="179">
        <f t="shared" si="128"/>
        <v>2304.13</v>
      </c>
      <c r="G726" s="179">
        <f t="shared" si="129"/>
        <v>340.82000000000016</v>
      </c>
      <c r="H726" s="43">
        <f t="shared" si="130"/>
        <v>0.173594592805008</v>
      </c>
    </row>
    <row r="727" spans="2:8" ht="15" customHeight="1" x14ac:dyDescent="0.3">
      <c r="B727" s="164">
        <v>341</v>
      </c>
      <c r="C727" s="165">
        <v>1</v>
      </c>
      <c r="D727" s="165">
        <f t="shared" si="126"/>
        <v>1.05</v>
      </c>
      <c r="E727" s="179">
        <f t="shared" si="127"/>
        <v>1980.59</v>
      </c>
      <c r="F727" s="179">
        <f t="shared" si="128"/>
        <v>2324.41</v>
      </c>
      <c r="G727" s="179">
        <f t="shared" si="129"/>
        <v>343.81999999999994</v>
      </c>
      <c r="H727" s="43">
        <f t="shared" si="130"/>
        <v>0.17359473692182625</v>
      </c>
    </row>
    <row r="728" spans="2:8" ht="15" customHeight="1" x14ac:dyDescent="0.3">
      <c r="B728" s="164">
        <v>342</v>
      </c>
      <c r="C728" s="165">
        <v>1</v>
      </c>
      <c r="D728" s="165">
        <f t="shared" si="126"/>
        <v>1.05</v>
      </c>
      <c r="E728" s="179">
        <f t="shared" si="127"/>
        <v>1986.35</v>
      </c>
      <c r="F728" s="179">
        <f t="shared" si="128"/>
        <v>2331.17</v>
      </c>
      <c r="G728" s="179">
        <f t="shared" si="129"/>
        <v>344.82000000000016</v>
      </c>
      <c r="H728" s="43">
        <f t="shared" si="130"/>
        <v>0.17359478440355436</v>
      </c>
    </row>
    <row r="729" spans="2:8" ht="15" customHeight="1" x14ac:dyDescent="0.3">
      <c r="B729" s="164">
        <v>345</v>
      </c>
      <c r="C729" s="165">
        <v>1</v>
      </c>
      <c r="D729" s="165">
        <f t="shared" si="126"/>
        <v>1.05</v>
      </c>
      <c r="E729" s="179">
        <f t="shared" si="127"/>
        <v>2003.6299999999999</v>
      </c>
      <c r="F729" s="179">
        <f t="shared" si="128"/>
        <v>2351.4499999999998</v>
      </c>
      <c r="G729" s="179">
        <f t="shared" si="129"/>
        <v>347.81999999999994</v>
      </c>
      <c r="H729" s="43">
        <f t="shared" si="130"/>
        <v>0.17359492521074249</v>
      </c>
    </row>
    <row r="730" spans="2:8" ht="15" customHeight="1" x14ac:dyDescent="0.3">
      <c r="B730" s="164">
        <v>349</v>
      </c>
      <c r="C730" s="165">
        <v>1</v>
      </c>
      <c r="D730" s="165">
        <f t="shared" si="126"/>
        <v>1.05</v>
      </c>
      <c r="E730" s="179">
        <f t="shared" si="127"/>
        <v>2026.6699999999998</v>
      </c>
      <c r="F730" s="179">
        <f t="shared" si="128"/>
        <v>2378.4900000000002</v>
      </c>
      <c r="G730" s="179">
        <f t="shared" si="129"/>
        <v>351.82000000000039</v>
      </c>
      <c r="H730" s="43">
        <f t="shared" si="130"/>
        <v>0.17359510921857058</v>
      </c>
    </row>
    <row r="731" spans="2:8" ht="15" customHeight="1" x14ac:dyDescent="0.3">
      <c r="B731" s="164">
        <v>353</v>
      </c>
      <c r="C731" s="165">
        <v>1</v>
      </c>
      <c r="D731" s="165">
        <f t="shared" si="126"/>
        <v>1.05</v>
      </c>
      <c r="E731" s="179">
        <f t="shared" si="127"/>
        <v>2049.71</v>
      </c>
      <c r="F731" s="179">
        <f t="shared" si="128"/>
        <v>2405.5300000000002</v>
      </c>
      <c r="G731" s="179">
        <f t="shared" si="129"/>
        <v>355.82000000000016</v>
      </c>
      <c r="H731" s="43">
        <f t="shared" si="130"/>
        <v>0.17359528908967614</v>
      </c>
    </row>
    <row r="732" spans="2:8" ht="15" customHeight="1" x14ac:dyDescent="0.3">
      <c r="B732" s="164">
        <v>354</v>
      </c>
      <c r="C732" s="165">
        <v>1</v>
      </c>
      <c r="D732" s="165">
        <f t="shared" si="126"/>
        <v>1.05</v>
      </c>
      <c r="E732" s="179">
        <f t="shared" si="127"/>
        <v>2055.4699999999998</v>
      </c>
      <c r="F732" s="179">
        <f t="shared" si="128"/>
        <v>2412.29</v>
      </c>
      <c r="G732" s="179">
        <f t="shared" si="129"/>
        <v>356.82000000000016</v>
      </c>
      <c r="H732" s="43">
        <f t="shared" si="130"/>
        <v>0.17359533342739142</v>
      </c>
    </row>
    <row r="733" spans="2:8" ht="15" customHeight="1" x14ac:dyDescent="0.3">
      <c r="B733" s="164">
        <v>395</v>
      </c>
      <c r="C733" s="165">
        <v>1</v>
      </c>
      <c r="D733" s="165">
        <f t="shared" si="126"/>
        <v>1.05</v>
      </c>
      <c r="E733" s="179">
        <f t="shared" si="127"/>
        <v>2291.6299999999997</v>
      </c>
      <c r="F733" s="179">
        <f t="shared" si="128"/>
        <v>2689.45</v>
      </c>
      <c r="G733" s="179">
        <f t="shared" si="129"/>
        <v>397.82000000000016</v>
      </c>
      <c r="H733" s="43">
        <f t="shared" si="130"/>
        <v>0.1735969593695319</v>
      </c>
    </row>
    <row r="734" spans="2:8" ht="15" customHeight="1" x14ac:dyDescent="0.3">
      <c r="B734" s="164">
        <v>404</v>
      </c>
      <c r="C734" s="165">
        <v>1</v>
      </c>
      <c r="D734" s="165">
        <f t="shared" si="126"/>
        <v>1.05</v>
      </c>
      <c r="E734" s="179">
        <f t="shared" si="127"/>
        <v>2343.4699999999998</v>
      </c>
      <c r="F734" s="179">
        <f t="shared" si="128"/>
        <v>2750.29</v>
      </c>
      <c r="G734" s="179">
        <f t="shared" si="129"/>
        <v>406.82000000000016</v>
      </c>
      <c r="H734" s="43">
        <f t="shared" si="130"/>
        <v>0.17359727242081191</v>
      </c>
    </row>
    <row r="735" spans="2:8" ht="15" customHeight="1" x14ac:dyDescent="0.3">
      <c r="B735" s="164">
        <v>416</v>
      </c>
      <c r="C735" s="165">
        <v>1</v>
      </c>
      <c r="D735" s="165">
        <f t="shared" si="126"/>
        <v>1.05</v>
      </c>
      <c r="E735" s="179">
        <f t="shared" si="127"/>
        <v>2412.5899999999997</v>
      </c>
      <c r="F735" s="179">
        <f t="shared" si="128"/>
        <v>2831.41</v>
      </c>
      <c r="G735" s="179">
        <f t="shared" si="129"/>
        <v>418.82000000000016</v>
      </c>
      <c r="H735" s="43">
        <f t="shared" si="130"/>
        <v>0.17359766889525363</v>
      </c>
    </row>
    <row r="736" spans="2:8" ht="15" customHeight="1" x14ac:dyDescent="0.3">
      <c r="B736" s="164">
        <v>420</v>
      </c>
      <c r="C736" s="165">
        <v>1</v>
      </c>
      <c r="D736" s="165">
        <f t="shared" si="126"/>
        <v>1.05</v>
      </c>
      <c r="E736" s="179">
        <f t="shared" si="127"/>
        <v>2435.6299999999997</v>
      </c>
      <c r="F736" s="179">
        <f t="shared" si="128"/>
        <v>2858.45</v>
      </c>
      <c r="G736" s="179">
        <f t="shared" si="129"/>
        <v>422.82000000000016</v>
      </c>
      <c r="H736" s="43">
        <f t="shared" si="130"/>
        <v>0.17359779605276682</v>
      </c>
    </row>
    <row r="737" spans="2:8" ht="15" customHeight="1" x14ac:dyDescent="0.3">
      <c r="B737" s="164">
        <v>424</v>
      </c>
      <c r="C737" s="165">
        <v>1</v>
      </c>
      <c r="D737" s="165">
        <f t="shared" si="126"/>
        <v>1.05</v>
      </c>
      <c r="E737" s="179">
        <f t="shared" si="127"/>
        <v>2458.6699999999996</v>
      </c>
      <c r="F737" s="179">
        <f t="shared" si="128"/>
        <v>2885.49</v>
      </c>
      <c r="G737" s="179">
        <f t="shared" si="129"/>
        <v>426.82000000000016</v>
      </c>
      <c r="H737" s="43">
        <f t="shared" si="130"/>
        <v>0.17359792082711389</v>
      </c>
    </row>
    <row r="738" spans="2:8" ht="15" customHeight="1" x14ac:dyDescent="0.3">
      <c r="B738" s="164">
        <v>436</v>
      </c>
      <c r="C738" s="165">
        <v>1</v>
      </c>
      <c r="D738" s="165">
        <f t="shared" si="126"/>
        <v>1.05</v>
      </c>
      <c r="E738" s="179">
        <f t="shared" si="127"/>
        <v>2527.79</v>
      </c>
      <c r="F738" s="179">
        <f t="shared" si="128"/>
        <v>2966.61</v>
      </c>
      <c r="G738" s="179">
        <f t="shared" si="129"/>
        <v>438.82000000000016</v>
      </c>
      <c r="H738" s="43">
        <f t="shared" si="130"/>
        <v>0.17359828150281476</v>
      </c>
    </row>
    <row r="739" spans="2:8" ht="15" customHeight="1" x14ac:dyDescent="0.3">
      <c r="B739" s="164">
        <v>481</v>
      </c>
      <c r="C739" s="165">
        <v>2</v>
      </c>
      <c r="D739" s="165">
        <f t="shared" si="126"/>
        <v>2.1</v>
      </c>
      <c r="E739" s="179">
        <f t="shared" si="127"/>
        <v>2786.99</v>
      </c>
      <c r="F739" s="179">
        <f t="shared" si="128"/>
        <v>3270.81</v>
      </c>
      <c r="G739" s="179">
        <f t="shared" si="129"/>
        <v>483.82000000000016</v>
      </c>
      <c r="H739" s="43">
        <f t="shared" si="130"/>
        <v>0.17359947470209813</v>
      </c>
    </row>
    <row r="740" spans="2:8" ht="15" customHeight="1" x14ac:dyDescent="0.3">
      <c r="B740" s="164">
        <v>499</v>
      </c>
      <c r="C740" s="165">
        <v>1</v>
      </c>
      <c r="D740" s="165">
        <f t="shared" si="126"/>
        <v>1.05</v>
      </c>
      <c r="E740" s="179">
        <f t="shared" si="127"/>
        <v>2890.6699999999996</v>
      </c>
      <c r="F740" s="179">
        <f t="shared" si="128"/>
        <v>3392.49</v>
      </c>
      <c r="G740" s="179">
        <f t="shared" si="129"/>
        <v>501.82000000000016</v>
      </c>
      <c r="H740" s="43">
        <f t="shared" si="130"/>
        <v>0.17359989206654514</v>
      </c>
    </row>
    <row r="741" spans="2:8" ht="15" customHeight="1" x14ac:dyDescent="0.3">
      <c r="B741" s="164">
        <v>525</v>
      </c>
      <c r="C741" s="165">
        <v>1</v>
      </c>
      <c r="D741" s="165">
        <f t="shared" si="126"/>
        <v>1.05</v>
      </c>
      <c r="E741" s="179">
        <f t="shared" si="127"/>
        <v>3040.43</v>
      </c>
      <c r="F741" s="179">
        <f t="shared" si="128"/>
        <v>3568.25</v>
      </c>
      <c r="G741" s="179">
        <f t="shared" si="129"/>
        <v>527.82000000000016</v>
      </c>
      <c r="H741" s="43">
        <f t="shared" si="130"/>
        <v>0.17360044467394431</v>
      </c>
    </row>
    <row r="742" spans="2:8" ht="15" customHeight="1" x14ac:dyDescent="0.3">
      <c r="B742" s="164">
        <v>552</v>
      </c>
      <c r="C742" s="165">
        <v>1</v>
      </c>
      <c r="D742" s="165">
        <f t="shared" si="126"/>
        <v>1.05</v>
      </c>
      <c r="E742" s="179">
        <f t="shared" si="127"/>
        <v>3195.95</v>
      </c>
      <c r="F742" s="179">
        <f t="shared" si="128"/>
        <v>3750.77</v>
      </c>
      <c r="G742" s="179">
        <f t="shared" si="129"/>
        <v>554.82000000000016</v>
      </c>
      <c r="H742" s="43">
        <f t="shared" si="130"/>
        <v>0.17360096371970779</v>
      </c>
    </row>
    <row r="743" spans="2:8" ht="15" customHeight="1" x14ac:dyDescent="0.3">
      <c r="B743" s="164">
        <v>569</v>
      </c>
      <c r="C743" s="165">
        <v>1</v>
      </c>
      <c r="D743" s="165">
        <f t="shared" si="126"/>
        <v>1.05</v>
      </c>
      <c r="E743" s="179">
        <f t="shared" si="127"/>
        <v>3293.87</v>
      </c>
      <c r="F743" s="179">
        <f t="shared" si="128"/>
        <v>3865.69</v>
      </c>
      <c r="G743" s="179">
        <f t="shared" si="129"/>
        <v>571.82000000000016</v>
      </c>
      <c r="H743" s="43">
        <f t="shared" si="130"/>
        <v>0.17360126538084386</v>
      </c>
    </row>
    <row r="744" spans="2:8" ht="15" customHeight="1" x14ac:dyDescent="0.3">
      <c r="B744" s="164">
        <v>1085</v>
      </c>
      <c r="C744" s="165">
        <v>1</v>
      </c>
      <c r="D744" s="165">
        <f t="shared" si="126"/>
        <v>1.05</v>
      </c>
      <c r="E744" s="179">
        <f t="shared" si="127"/>
        <v>6266.03</v>
      </c>
      <c r="F744" s="179">
        <f t="shared" si="128"/>
        <v>7353.8499999999995</v>
      </c>
      <c r="G744" s="179">
        <f t="shared" si="129"/>
        <v>1087.8199999999997</v>
      </c>
      <c r="H744" s="43">
        <f t="shared" si="130"/>
        <v>0.17360593549663816</v>
      </c>
    </row>
    <row r="745" spans="2:8" ht="15" customHeight="1" x14ac:dyDescent="0.3">
      <c r="C745" s="176">
        <f t="shared" ref="C745" si="131">+SUM(C512:C744)</f>
        <v>104214</v>
      </c>
      <c r="D745" s="176">
        <f t="shared" ref="D745" si="132">+SUM(D512:D744)</f>
        <v>109424.7000000002</v>
      </c>
      <c r="E745" s="168"/>
      <c r="F745" s="168"/>
      <c r="G745" s="179"/>
      <c r="H745" s="43"/>
    </row>
  </sheetData>
  <mergeCells count="6">
    <mergeCell ref="I11:L11"/>
    <mergeCell ref="M11:P11"/>
    <mergeCell ref="E11:H11"/>
    <mergeCell ref="E260:H260"/>
    <mergeCell ref="I260:L260"/>
    <mergeCell ref="M260:P260"/>
  </mergeCells>
  <phoneticPr fontId="5" type="noConversion"/>
  <pageMargins left="0.7" right="0.7" top="0.75" bottom="0.75" header="0.3" footer="0.3"/>
  <pageSetup scale="30" fitToHeight="5" orientation="portrait" blackAndWhite="1" r:id="rId1"/>
  <headerFooter>
    <oddHeader>&amp;CAttachment 6 - Billing Analysis - Comparison
Hardin County Water District No. 1 - Radcliff Sewer Utility
Alternative Rate Filing Application</oddHeader>
    <oddFooter>&amp;C8/11/2023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0A4C5-1CAA-4466-BE92-6947826C2557}">
  <sheetPr>
    <tabColor theme="7"/>
  </sheetPr>
  <dimension ref="B2:H61"/>
  <sheetViews>
    <sheetView workbookViewId="0">
      <selection activeCell="I23" sqref="I23"/>
    </sheetView>
  </sheetViews>
  <sheetFormatPr defaultRowHeight="12.5" x14ac:dyDescent="0.25"/>
  <cols>
    <col min="2" max="2" width="22.26953125" customWidth="1"/>
    <col min="3" max="8" width="14.54296875" customWidth="1"/>
  </cols>
  <sheetData>
    <row r="2" spans="2:8" ht="13" x14ac:dyDescent="0.3">
      <c r="B2" s="240" t="s">
        <v>1904</v>
      </c>
    </row>
    <row r="3" spans="2:8" x14ac:dyDescent="0.25">
      <c r="B3" s="8" t="s">
        <v>1885</v>
      </c>
    </row>
    <row r="5" spans="2:8" ht="13" x14ac:dyDescent="0.3">
      <c r="B5" s="255" t="s">
        <v>1905</v>
      </c>
      <c r="C5" s="256"/>
      <c r="D5" s="256"/>
      <c r="E5" s="256"/>
      <c r="F5" s="256"/>
      <c r="G5" s="256"/>
      <c r="H5" s="256"/>
    </row>
    <row r="6" spans="2:8" x14ac:dyDescent="0.25">
      <c r="B6" s="255" t="s">
        <v>1906</v>
      </c>
      <c r="C6" s="256"/>
      <c r="D6" s="256"/>
      <c r="E6" s="256"/>
      <c r="F6" s="256"/>
      <c r="G6" s="256"/>
      <c r="H6" s="256"/>
    </row>
    <row r="7" spans="2:8" x14ac:dyDescent="0.25">
      <c r="C7" s="238"/>
    </row>
    <row r="8" spans="2:8" ht="13" x14ac:dyDescent="0.3">
      <c r="C8" s="257" t="s">
        <v>1887</v>
      </c>
      <c r="D8" s="257"/>
      <c r="E8" s="257"/>
      <c r="F8" s="257"/>
      <c r="G8" s="257"/>
      <c r="H8" s="257"/>
    </row>
    <row r="9" spans="2:8" x14ac:dyDescent="0.25">
      <c r="C9" s="255" t="s">
        <v>1888</v>
      </c>
      <c r="D9" s="255"/>
      <c r="E9" s="255"/>
      <c r="F9" s="255"/>
      <c r="G9" s="255"/>
      <c r="H9" s="255"/>
    </row>
    <row r="10" spans="2:8" x14ac:dyDescent="0.25">
      <c r="B10" s="8" t="s">
        <v>1886</v>
      </c>
      <c r="C10" s="14"/>
      <c r="D10" s="14"/>
      <c r="E10" s="14"/>
      <c r="F10" s="14"/>
      <c r="G10" s="14"/>
      <c r="H10" s="14"/>
    </row>
    <row r="11" spans="2:8" x14ac:dyDescent="0.25">
      <c r="C11" s="14"/>
      <c r="D11" s="14"/>
      <c r="E11" s="14"/>
      <c r="F11" s="14"/>
      <c r="G11" s="14"/>
      <c r="H11" s="14"/>
    </row>
    <row r="12" spans="2:8" x14ac:dyDescent="0.25">
      <c r="C12" s="14"/>
      <c r="D12" s="14"/>
      <c r="E12" s="14"/>
      <c r="F12" s="14"/>
      <c r="G12" s="14"/>
      <c r="H12" s="14"/>
    </row>
    <row r="13" spans="2:8" ht="13" x14ac:dyDescent="0.3">
      <c r="B13" s="244" t="s">
        <v>1889</v>
      </c>
      <c r="C13" s="244" t="s">
        <v>1890</v>
      </c>
      <c r="D13" s="244" t="s">
        <v>1891</v>
      </c>
      <c r="E13" s="244" t="s">
        <v>1892</v>
      </c>
      <c r="F13" s="244" t="s">
        <v>1893</v>
      </c>
      <c r="G13" s="244" t="s">
        <v>1894</v>
      </c>
      <c r="H13" s="244" t="s">
        <v>1895</v>
      </c>
    </row>
    <row r="14" spans="2:8" ht="13" x14ac:dyDescent="0.3">
      <c r="B14" s="245"/>
      <c r="C14" s="245" t="s">
        <v>37</v>
      </c>
      <c r="D14" s="245" t="s">
        <v>1896</v>
      </c>
      <c r="E14" s="245" t="s">
        <v>1897</v>
      </c>
      <c r="F14" s="245" t="s">
        <v>1898</v>
      </c>
      <c r="G14" s="245" t="s">
        <v>1899</v>
      </c>
      <c r="H14" s="245" t="s">
        <v>24</v>
      </c>
    </row>
    <row r="15" spans="2:8" x14ac:dyDescent="0.25">
      <c r="B15" s="241" t="s">
        <v>1900</v>
      </c>
      <c r="C15" s="242">
        <f>+SUM('6 - Billing Analysis (BA)'!D14:D16)</f>
        <v>53314.8</v>
      </c>
      <c r="D15" s="242">
        <f>+SUM(E15:G15)</f>
        <v>66604.649999999994</v>
      </c>
      <c r="E15" s="242">
        <f>+SUM('6 - Billing Analysis (BA)'!E14:E16)</f>
        <v>66604.649999999994</v>
      </c>
      <c r="F15" s="242">
        <f>+SUM('6 - Billing Analysis (BA)'!F14:F16)</f>
        <v>0</v>
      </c>
      <c r="G15" s="242">
        <f>+SUM('6 - Billing Analysis (BA)'!G14:G16)</f>
        <v>0</v>
      </c>
      <c r="H15" s="242">
        <f>SUM(E15:G15)</f>
        <v>66604.649999999994</v>
      </c>
    </row>
    <row r="16" spans="2:8" x14ac:dyDescent="0.25">
      <c r="B16" s="241" t="s">
        <v>929</v>
      </c>
      <c r="C16" s="242">
        <f>+SUM('6 - Billing Analysis (BA)'!D17:D29)</f>
        <v>53858.700000000004</v>
      </c>
      <c r="D16" s="242">
        <f t="shared" ref="D16:D17" si="0">+SUM(E16:G16)</f>
        <v>253970.85000000003</v>
      </c>
      <c r="E16" s="242">
        <f>+SUM('6 - Billing Analysis (BA)'!E17:E29)</f>
        <v>107717.40000000001</v>
      </c>
      <c r="F16" s="242">
        <f>+SUM('6 - Billing Analysis (BA)'!F17:F29)</f>
        <v>146253.45000000001</v>
      </c>
      <c r="G16" s="242">
        <f>+SUM('6 - Billing Analysis (BA)'!G17:G29)</f>
        <v>0</v>
      </c>
      <c r="H16" s="242">
        <f t="shared" ref="H16:H17" si="1">SUM(E16:G16)</f>
        <v>253970.85000000003</v>
      </c>
    </row>
    <row r="17" spans="2:8" x14ac:dyDescent="0.25">
      <c r="B17" s="241" t="s">
        <v>930</v>
      </c>
      <c r="C17" s="242">
        <f>+SUM('6 - Billing Analysis (BA)'!D30:D246)</f>
        <v>2251.2000000000148</v>
      </c>
      <c r="D17" s="242">
        <f t="shared" si="0"/>
        <v>112398.30000000016</v>
      </c>
      <c r="E17" s="242">
        <f>+SUM('6 - Billing Analysis (BA)'!E30:E246)</f>
        <v>4502.4000000000296</v>
      </c>
      <c r="F17" s="242">
        <f>+SUM('6 - Billing Analysis (BA)'!F30:F246)</f>
        <v>29265.600000000108</v>
      </c>
      <c r="G17" s="242">
        <f>+SUM('6 - Billing Analysis (BA)'!G30:G246)</f>
        <v>78630.300000000017</v>
      </c>
      <c r="H17" s="242">
        <f t="shared" si="1"/>
        <v>112398.30000000016</v>
      </c>
    </row>
    <row r="18" spans="2:8" x14ac:dyDescent="0.25">
      <c r="B18" s="243"/>
      <c r="C18" s="243"/>
      <c r="D18" s="243"/>
      <c r="E18" s="243"/>
      <c r="F18" s="243"/>
      <c r="G18" s="243"/>
      <c r="H18" s="243"/>
    </row>
    <row r="19" spans="2:8" x14ac:dyDescent="0.25">
      <c r="B19" s="241" t="s">
        <v>1901</v>
      </c>
      <c r="C19" s="242">
        <f>+SUM(C15:C18)</f>
        <v>109424.70000000001</v>
      </c>
      <c r="D19" s="242">
        <f>SUM(D15:D18)</f>
        <v>432973.80000000016</v>
      </c>
      <c r="E19" s="246">
        <f>+SUM(E15:E18)</f>
        <v>178824.45</v>
      </c>
      <c r="F19" s="246">
        <f t="shared" ref="F19:G19" si="2">+SUM(F15:F18)</f>
        <v>175519.0500000001</v>
      </c>
      <c r="G19" s="246">
        <f t="shared" si="2"/>
        <v>78630.300000000017</v>
      </c>
      <c r="H19" s="242">
        <f>SUM(H15:H18)</f>
        <v>432973.80000000016</v>
      </c>
    </row>
    <row r="22" spans="2:8" ht="13" x14ac:dyDescent="0.3">
      <c r="B22" s="8" t="s">
        <v>1886</v>
      </c>
      <c r="C22" s="257" t="s">
        <v>1902</v>
      </c>
      <c r="D22" s="257"/>
      <c r="E22" s="257"/>
      <c r="F22" s="257"/>
      <c r="G22" s="257"/>
      <c r="H22" s="257"/>
    </row>
    <row r="23" spans="2:8" x14ac:dyDescent="0.25">
      <c r="C23" s="255" t="s">
        <v>1903</v>
      </c>
      <c r="D23" s="255"/>
      <c r="E23" s="255"/>
      <c r="F23" s="255"/>
      <c r="G23" s="255"/>
      <c r="H23" s="255"/>
    </row>
    <row r="24" spans="2:8" x14ac:dyDescent="0.25">
      <c r="C24" s="14"/>
      <c r="D24" s="14"/>
      <c r="E24" s="14"/>
      <c r="F24" s="14"/>
      <c r="G24" s="14"/>
      <c r="H24" s="14"/>
    </row>
    <row r="25" spans="2:8" ht="13" x14ac:dyDescent="0.3">
      <c r="B25" s="244" t="s">
        <v>1889</v>
      </c>
      <c r="C25" s="244" t="s">
        <v>1890</v>
      </c>
      <c r="D25" s="244" t="s">
        <v>1891</v>
      </c>
      <c r="E25" s="244" t="s">
        <v>1892</v>
      </c>
      <c r="F25" s="244" t="s">
        <v>1893</v>
      </c>
    </row>
    <row r="26" spans="2:8" ht="13" x14ac:dyDescent="0.3">
      <c r="B26" s="245"/>
      <c r="C26" s="245" t="s">
        <v>37</v>
      </c>
      <c r="D26" s="245" t="s">
        <v>1896</v>
      </c>
      <c r="E26" s="245" t="s">
        <v>928</v>
      </c>
      <c r="F26" s="245" t="s">
        <v>40</v>
      </c>
    </row>
    <row r="27" spans="2:8" x14ac:dyDescent="0.25">
      <c r="B27" s="241" t="s">
        <v>1900</v>
      </c>
      <c r="C27" s="242">
        <f>+C19</f>
        <v>109424.70000000001</v>
      </c>
      <c r="D27" s="246">
        <f>+E19</f>
        <v>178824.45</v>
      </c>
      <c r="E27" s="247">
        <f>+'3 - Current-Proposed Rates'!D9</f>
        <v>19.63</v>
      </c>
      <c r="F27" s="248">
        <f>C27*E27</f>
        <v>2148006.861</v>
      </c>
    </row>
    <row r="28" spans="2:8" x14ac:dyDescent="0.25">
      <c r="B28" s="241" t="s">
        <v>929</v>
      </c>
      <c r="C28" s="243"/>
      <c r="D28" s="246">
        <f>+F19</f>
        <v>175519.0500000001</v>
      </c>
      <c r="E28" s="247">
        <f>+'3 - Current-Proposed Rates'!D10</f>
        <v>6.4</v>
      </c>
      <c r="F28" s="248">
        <f>D28*E28</f>
        <v>1123321.9200000006</v>
      </c>
    </row>
    <row r="29" spans="2:8" x14ac:dyDescent="0.25">
      <c r="B29" s="241" t="s">
        <v>930</v>
      </c>
      <c r="C29" s="243"/>
      <c r="D29" s="246">
        <f>+G19</f>
        <v>78630.300000000017</v>
      </c>
      <c r="E29" s="247">
        <f>+'3 - Current-Proposed Rates'!D11</f>
        <v>5.76</v>
      </c>
      <c r="F29" s="248">
        <f>D29*E29</f>
        <v>452910.52800000011</v>
      </c>
    </row>
    <row r="30" spans="2:8" x14ac:dyDescent="0.25">
      <c r="B30" s="243"/>
      <c r="C30" s="243"/>
      <c r="D30" s="243"/>
      <c r="E30" s="243"/>
      <c r="F30" s="243"/>
    </row>
    <row r="31" spans="2:8" x14ac:dyDescent="0.25">
      <c r="B31" s="241" t="s">
        <v>1901</v>
      </c>
      <c r="C31" s="242">
        <f>SUM(C27:C30)</f>
        <v>109424.70000000001</v>
      </c>
      <c r="D31" s="242">
        <f>SUM(D27:D30)</f>
        <v>432973.80000000016</v>
      </c>
      <c r="E31" s="243"/>
      <c r="F31" s="248">
        <f>SUM(F27:F30)</f>
        <v>3724239.3090000004</v>
      </c>
    </row>
    <row r="35" spans="2:8" ht="13" x14ac:dyDescent="0.3">
      <c r="B35" s="255" t="s">
        <v>1907</v>
      </c>
      <c r="C35" s="256"/>
      <c r="D35" s="256"/>
      <c r="E35" s="256"/>
      <c r="F35" s="256"/>
      <c r="G35" s="256"/>
      <c r="H35" s="256"/>
    </row>
    <row r="36" spans="2:8" x14ac:dyDescent="0.25">
      <c r="B36" s="255" t="s">
        <v>1906</v>
      </c>
      <c r="C36" s="256"/>
      <c r="D36" s="256"/>
      <c r="E36" s="256"/>
      <c r="F36" s="256"/>
      <c r="G36" s="256"/>
      <c r="H36" s="256"/>
    </row>
    <row r="37" spans="2:8" x14ac:dyDescent="0.25">
      <c r="C37" s="238"/>
    </row>
    <row r="38" spans="2:8" ht="13" x14ac:dyDescent="0.3">
      <c r="C38" s="257" t="s">
        <v>1887</v>
      </c>
      <c r="D38" s="257"/>
      <c r="E38" s="257"/>
      <c r="F38" s="257"/>
      <c r="G38" s="257"/>
      <c r="H38" s="257"/>
    </row>
    <row r="39" spans="2:8" x14ac:dyDescent="0.25">
      <c r="C39" s="255" t="s">
        <v>1888</v>
      </c>
      <c r="D39" s="255"/>
      <c r="E39" s="255"/>
      <c r="F39" s="255"/>
      <c r="G39" s="255"/>
      <c r="H39" s="255"/>
    </row>
    <row r="40" spans="2:8" x14ac:dyDescent="0.25">
      <c r="B40" s="8" t="s">
        <v>1886</v>
      </c>
      <c r="C40" s="14"/>
      <c r="D40" s="14"/>
      <c r="E40" s="14"/>
      <c r="F40" s="14"/>
      <c r="G40" s="14"/>
      <c r="H40" s="14"/>
    </row>
    <row r="41" spans="2:8" x14ac:dyDescent="0.25">
      <c r="C41" s="14"/>
      <c r="D41" s="14"/>
      <c r="E41" s="14"/>
      <c r="F41" s="14"/>
      <c r="G41" s="14"/>
      <c r="H41" s="14"/>
    </row>
    <row r="42" spans="2:8" x14ac:dyDescent="0.25">
      <c r="C42" s="14"/>
      <c r="D42" s="14"/>
      <c r="E42" s="14"/>
      <c r="F42" s="14"/>
      <c r="G42" s="14"/>
      <c r="H42" s="14"/>
    </row>
    <row r="43" spans="2:8" ht="13" x14ac:dyDescent="0.3">
      <c r="B43" s="244" t="s">
        <v>1889</v>
      </c>
      <c r="C43" s="244" t="s">
        <v>1890</v>
      </c>
      <c r="D43" s="244" t="s">
        <v>1891</v>
      </c>
      <c r="E43" s="244" t="s">
        <v>1892</v>
      </c>
      <c r="F43" s="244" t="s">
        <v>1893</v>
      </c>
      <c r="G43" s="244" t="s">
        <v>1894</v>
      </c>
      <c r="H43" s="244" t="s">
        <v>1895</v>
      </c>
    </row>
    <row r="44" spans="2:8" ht="13" x14ac:dyDescent="0.3">
      <c r="B44" s="245"/>
      <c r="C44" s="245" t="s">
        <v>37</v>
      </c>
      <c r="D44" s="245" t="s">
        <v>1896</v>
      </c>
      <c r="E44" s="245" t="s">
        <v>1897</v>
      </c>
      <c r="F44" s="245" t="s">
        <v>1898</v>
      </c>
      <c r="G44" s="245" t="s">
        <v>1899</v>
      </c>
      <c r="H44" s="245" t="s">
        <v>24</v>
      </c>
    </row>
    <row r="45" spans="2:8" x14ac:dyDescent="0.25">
      <c r="B45" s="241" t="s">
        <v>1900</v>
      </c>
      <c r="C45" s="242">
        <f t="shared" ref="C45:C47" si="3">C15</f>
        <v>53314.8</v>
      </c>
      <c r="D45" s="242">
        <f>+SUM(E45:G45)</f>
        <v>66604.649999999994</v>
      </c>
      <c r="E45" s="242">
        <f t="shared" ref="E45:G47" si="4">E15</f>
        <v>66604.649999999994</v>
      </c>
      <c r="F45" s="242">
        <f t="shared" si="4"/>
        <v>0</v>
      </c>
      <c r="G45" s="242">
        <f t="shared" si="4"/>
        <v>0</v>
      </c>
      <c r="H45" s="242">
        <f>SUM(E45:G45)</f>
        <v>66604.649999999994</v>
      </c>
    </row>
    <row r="46" spans="2:8" x14ac:dyDescent="0.25">
      <c r="B46" s="241" t="s">
        <v>929</v>
      </c>
      <c r="C46" s="242">
        <f t="shared" si="3"/>
        <v>53858.700000000004</v>
      </c>
      <c r="D46" s="242">
        <f t="shared" ref="D46:D47" si="5">+SUM(E46:G46)</f>
        <v>253970.85000000003</v>
      </c>
      <c r="E46" s="242">
        <f t="shared" si="4"/>
        <v>107717.40000000001</v>
      </c>
      <c r="F46" s="242">
        <f t="shared" si="4"/>
        <v>146253.45000000001</v>
      </c>
      <c r="G46" s="242">
        <f t="shared" si="4"/>
        <v>0</v>
      </c>
      <c r="H46" s="242">
        <f t="shared" ref="H46:H47" si="6">SUM(E46:G46)</f>
        <v>253970.85000000003</v>
      </c>
    </row>
    <row r="47" spans="2:8" x14ac:dyDescent="0.25">
      <c r="B47" s="241" t="s">
        <v>930</v>
      </c>
      <c r="C47" s="242">
        <f t="shared" si="3"/>
        <v>2251.2000000000148</v>
      </c>
      <c r="D47" s="242">
        <f t="shared" si="5"/>
        <v>112398.30000000016</v>
      </c>
      <c r="E47" s="242">
        <f t="shared" si="4"/>
        <v>4502.4000000000296</v>
      </c>
      <c r="F47" s="242">
        <f t="shared" si="4"/>
        <v>29265.600000000108</v>
      </c>
      <c r="G47" s="242">
        <f t="shared" si="4"/>
        <v>78630.300000000017</v>
      </c>
      <c r="H47" s="242">
        <f t="shared" si="6"/>
        <v>112398.30000000016</v>
      </c>
    </row>
    <row r="48" spans="2:8" x14ac:dyDescent="0.25">
      <c r="B48" s="243"/>
      <c r="C48" s="243"/>
      <c r="D48" s="243"/>
      <c r="E48" s="243"/>
      <c r="F48" s="243"/>
      <c r="G48" s="243"/>
      <c r="H48" s="243"/>
    </row>
    <row r="49" spans="2:8" x14ac:dyDescent="0.25">
      <c r="B49" s="241" t="s">
        <v>1901</v>
      </c>
      <c r="C49" s="242">
        <f>+SUM(C45:C48)</f>
        <v>109424.70000000001</v>
      </c>
      <c r="D49" s="242">
        <f>SUM(D45:D48)</f>
        <v>432973.80000000016</v>
      </c>
      <c r="E49" s="246">
        <f>+SUM(E45:E48)</f>
        <v>178824.45</v>
      </c>
      <c r="F49" s="246">
        <f t="shared" ref="F49" si="7">+SUM(F45:F48)</f>
        <v>175519.0500000001</v>
      </c>
      <c r="G49" s="246">
        <f t="shared" ref="G49" si="8">+SUM(G45:G48)</f>
        <v>78630.300000000017</v>
      </c>
      <c r="H49" s="242">
        <f>SUM(H45:H48)</f>
        <v>432973.80000000016</v>
      </c>
    </row>
    <row r="52" spans="2:8" ht="13" x14ac:dyDescent="0.3">
      <c r="B52" s="8" t="s">
        <v>1886</v>
      </c>
      <c r="C52" s="257" t="s">
        <v>1902</v>
      </c>
      <c r="D52" s="257"/>
      <c r="E52" s="257"/>
      <c r="F52" s="257"/>
      <c r="G52" s="257"/>
      <c r="H52" s="257"/>
    </row>
    <row r="53" spans="2:8" x14ac:dyDescent="0.25">
      <c r="C53" s="255" t="s">
        <v>1903</v>
      </c>
      <c r="D53" s="255"/>
      <c r="E53" s="255"/>
      <c r="F53" s="255"/>
      <c r="G53" s="255"/>
      <c r="H53" s="255"/>
    </row>
    <row r="54" spans="2:8" x14ac:dyDescent="0.25">
      <c r="C54" s="14"/>
      <c r="D54" s="14"/>
      <c r="E54" s="14"/>
      <c r="F54" s="14"/>
      <c r="G54" s="14"/>
      <c r="H54" s="14"/>
    </row>
    <row r="55" spans="2:8" ht="13" x14ac:dyDescent="0.3">
      <c r="B55" s="244" t="s">
        <v>1889</v>
      </c>
      <c r="C55" s="244" t="s">
        <v>1890</v>
      </c>
      <c r="D55" s="244" t="s">
        <v>1891</v>
      </c>
      <c r="E55" s="244" t="s">
        <v>1892</v>
      </c>
      <c r="F55" s="244" t="s">
        <v>1893</v>
      </c>
    </row>
    <row r="56" spans="2:8" ht="13" x14ac:dyDescent="0.3">
      <c r="B56" s="245"/>
      <c r="C56" s="245" t="s">
        <v>37</v>
      </c>
      <c r="D56" s="245" t="s">
        <v>1896</v>
      </c>
      <c r="E56" s="245" t="s">
        <v>928</v>
      </c>
      <c r="F56" s="245" t="s">
        <v>40</v>
      </c>
    </row>
    <row r="57" spans="2:8" x14ac:dyDescent="0.25">
      <c r="B57" s="241" t="s">
        <v>1900</v>
      </c>
      <c r="C57" s="242">
        <f>+C49</f>
        <v>109424.70000000001</v>
      </c>
      <c r="D57" s="246">
        <f>+E49</f>
        <v>178824.45</v>
      </c>
      <c r="E57" s="247">
        <f>+'3 - Current-Proposed Rates'!E9</f>
        <v>23.020000000000003</v>
      </c>
      <c r="F57" s="248">
        <f>C57*E57</f>
        <v>2518956.5940000005</v>
      </c>
    </row>
    <row r="58" spans="2:8" x14ac:dyDescent="0.25">
      <c r="B58" s="241" t="s">
        <v>929</v>
      </c>
      <c r="C58" s="243"/>
      <c r="D58" s="246">
        <f>+F49</f>
        <v>175519.0500000001</v>
      </c>
      <c r="E58" s="247">
        <f>+'3 - Current-Proposed Rates'!E10</f>
        <v>7.51</v>
      </c>
      <c r="F58" s="248">
        <f>D58*E58</f>
        <v>1318148.0655000007</v>
      </c>
    </row>
    <row r="59" spans="2:8" x14ac:dyDescent="0.25">
      <c r="B59" s="241" t="s">
        <v>930</v>
      </c>
      <c r="C59" s="243"/>
      <c r="D59" s="246">
        <f>+G49</f>
        <v>78630.300000000017</v>
      </c>
      <c r="E59" s="247">
        <f>+'3 - Current-Proposed Rates'!E11</f>
        <v>6.76</v>
      </c>
      <c r="F59" s="248">
        <f>D59*E59</f>
        <v>531540.8280000001</v>
      </c>
    </row>
    <row r="60" spans="2:8" x14ac:dyDescent="0.25">
      <c r="B60" s="243"/>
      <c r="C60" s="243"/>
      <c r="D60" s="243"/>
      <c r="E60" s="243"/>
      <c r="F60" s="243"/>
    </row>
    <row r="61" spans="2:8" x14ac:dyDescent="0.25">
      <c r="B61" s="241" t="s">
        <v>1901</v>
      </c>
      <c r="C61" s="242">
        <f>SUM(C57:C60)</f>
        <v>109424.70000000001</v>
      </c>
      <c r="D61" s="242">
        <f>SUM(D57:D60)</f>
        <v>432973.80000000016</v>
      </c>
      <c r="E61" s="243"/>
      <c r="F61" s="248">
        <f>SUM(F57:F60)</f>
        <v>4368645.4875000007</v>
      </c>
      <c r="G61" s="239">
        <f>+F61/F31-1</f>
        <v>0.17303028216869087</v>
      </c>
    </row>
  </sheetData>
  <mergeCells count="12">
    <mergeCell ref="B5:H5"/>
    <mergeCell ref="B6:H6"/>
    <mergeCell ref="C53:H53"/>
    <mergeCell ref="C8:H8"/>
    <mergeCell ref="C9:H9"/>
    <mergeCell ref="C22:H22"/>
    <mergeCell ref="C23:H23"/>
    <mergeCell ref="B35:H35"/>
    <mergeCell ref="B36:H36"/>
    <mergeCell ref="C38:H38"/>
    <mergeCell ref="C39:H39"/>
    <mergeCell ref="C52:H5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2 xmlns="39c1c791-e66b-4ea0-8845-c40d3db45fe8" xsi:nil="true"/>
    <lcf76f155ced4ddcb4097134ff3c332f xmlns="39c1c791-e66b-4ea0-8845-c40d3db45fe8">
      <Terms xmlns="http://schemas.microsoft.com/office/infopath/2007/PartnerControls"/>
    </lcf76f155ced4ddcb4097134ff3c332f>
    <TaxCatchAll xmlns="7ad5aa3c-e996-4f6e-8b76-567088a87aa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0121CD1922DD469E6AB39DE07732D1" ma:contentTypeVersion="18" ma:contentTypeDescription="Create a new document." ma:contentTypeScope="" ma:versionID="b26b2f9cdb4a7c52a9cf0d97b545e433">
  <xsd:schema xmlns:xsd="http://www.w3.org/2001/XMLSchema" xmlns:xs="http://www.w3.org/2001/XMLSchema" xmlns:p="http://schemas.microsoft.com/office/2006/metadata/properties" xmlns:ns2="39c1c791-e66b-4ea0-8845-c40d3db45fe8" xmlns:ns3="7ad5aa3c-e996-4f6e-8b76-567088a87aa1" targetNamespace="http://schemas.microsoft.com/office/2006/metadata/properties" ma:root="true" ma:fieldsID="d3cad46c265e68b6befd90754d1c0342" ns2:_="" ns3:_="">
    <xsd:import namespace="39c1c791-e66b-4ea0-8845-c40d3db45fe8"/>
    <xsd:import namespace="7ad5aa3c-e996-4f6e-8b76-567088a87a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element ref="ns2:Description2"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c1c791-e66b-4ea0-8845-c40d3db45f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f00d192-4cb7-43e2-821b-9ecdc30ca9b9" ma:termSetId="09814cd3-568e-fe90-9814-8d621ff8fb84" ma:anchorId="fba54fb3-c3e1-fe81-a776-ca4b69148c4d" ma:open="true" ma:isKeyword="false">
      <xsd:complexType>
        <xsd:sequence>
          <xsd:element ref="pc:Terms" minOccurs="0" maxOccurs="1"/>
        </xsd:sequence>
      </xsd:complexType>
    </xsd:element>
    <xsd:element name="Description2" ma:index="24" nillable="true" ma:displayName="Description 2" ma:format="Dropdown" ma:internalName="Description2">
      <xsd:simpleType>
        <xsd:restriction base="dms:Text">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d5aa3c-e996-4f6e-8b76-567088a87aa1"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c06389b-72d0-4c04-bbd7-a4d197eee8a9}" ma:internalName="TaxCatchAll" ma:showField="CatchAllData" ma:web="7ad5aa3c-e996-4f6e-8b76-567088a87a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44055E-083D-4326-905B-063EA8B3CCE4}">
  <ds:schemaRefs>
    <ds:schemaRef ds:uri="http://purl.org/dc/elements/1.1/"/>
    <ds:schemaRef ds:uri="7ad5aa3c-e996-4f6e-8b76-567088a87aa1"/>
    <ds:schemaRef ds:uri="http://purl.org/dc/dcmitype/"/>
    <ds:schemaRef ds:uri="http://schemas.microsoft.com/office/2006/metadata/properties"/>
    <ds:schemaRef ds:uri="39c1c791-e66b-4ea0-8845-c40d3db45fe8"/>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9AB2A05D-01B0-4C81-8F78-B57B23B93EED}">
  <ds:schemaRefs>
    <ds:schemaRef ds:uri="http://schemas.microsoft.com/sharepoint/v3/contenttype/forms"/>
  </ds:schemaRefs>
</ds:datastoreItem>
</file>

<file path=customXml/itemProps3.xml><?xml version="1.0" encoding="utf-8"?>
<ds:datastoreItem xmlns:ds="http://schemas.openxmlformats.org/officeDocument/2006/customXml" ds:itemID="{4A3F4472-1729-43E2-9582-9C5CC80F8F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c1c791-e66b-4ea0-8845-c40d3db45fe8"/>
    <ds:schemaRef ds:uri="7ad5aa3c-e996-4f6e-8b76-567088a87a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35</vt:i4>
      </vt:variant>
    </vt:vector>
  </HeadingPairs>
  <TitlesOfParts>
    <vt:vector size="48" baseType="lpstr">
      <vt:lpstr>Presentation Materials</vt:lpstr>
      <vt:lpstr>2 - Reasons for App</vt:lpstr>
      <vt:lpstr>3 - Current-Proposed Rates</vt:lpstr>
      <vt:lpstr>4 - Stmt of Adj Ops</vt:lpstr>
      <vt:lpstr>Ref A - Income Statement</vt:lpstr>
      <vt:lpstr>Ref B - Depreciation</vt:lpstr>
      <vt:lpstr>5 - Revenue Req (OR)</vt:lpstr>
      <vt:lpstr>6 - Billing Analysis (BA)</vt:lpstr>
      <vt:lpstr>6 - Billing Analysis (BADB)</vt:lpstr>
      <vt:lpstr>7 - Depreciation</vt:lpstr>
      <vt:lpstr>Adj A</vt:lpstr>
      <vt:lpstr>Adj B - P</vt:lpstr>
      <vt:lpstr>Print2</vt:lpstr>
      <vt:lpstr>A7Header</vt:lpstr>
      <vt:lpstr>ADJ_A_HEADER</vt:lpstr>
      <vt:lpstr>ADJ_A1</vt:lpstr>
      <vt:lpstr>ADJ_A10</vt:lpstr>
      <vt:lpstr>ADJ_A2</vt:lpstr>
      <vt:lpstr>ADJ_A3</vt:lpstr>
      <vt:lpstr>ADJ_A4</vt:lpstr>
      <vt:lpstr>ADJ_A5</vt:lpstr>
      <vt:lpstr>ADJ_A6</vt:lpstr>
      <vt:lpstr>ADJ_A7</vt:lpstr>
      <vt:lpstr>ADJ_A8</vt:lpstr>
      <vt:lpstr>ADJ_A9</vt:lpstr>
      <vt:lpstr>ADJ_B</vt:lpstr>
      <vt:lpstr>ADJ_B_HEADER</vt:lpstr>
      <vt:lpstr>ATTACHMENT_2</vt:lpstr>
      <vt:lpstr>ATTACHMENT_3</vt:lpstr>
      <vt:lpstr>ATTACHMENT_4</vt:lpstr>
      <vt:lpstr>ATTACHMENT_4A1</vt:lpstr>
      <vt:lpstr>ATTACHMENT_4A2</vt:lpstr>
      <vt:lpstr>ATTACHMENT_4B1</vt:lpstr>
      <vt:lpstr>ATTACHMENT_4B2</vt:lpstr>
      <vt:lpstr>ATTACHMENT_5</vt:lpstr>
      <vt:lpstr>ATTACHMENT_6A</vt:lpstr>
      <vt:lpstr>ATTACHMENT_6B</vt:lpstr>
      <vt:lpstr>ATTACHMENT_6C</vt:lpstr>
      <vt:lpstr>ATTACHMENT_7</vt:lpstr>
      <vt:lpstr>HEADER_6A</vt:lpstr>
      <vt:lpstr>HEADER_6B</vt:lpstr>
      <vt:lpstr>HEADER_6C</vt:lpstr>
      <vt:lpstr>'6 - Billing Analysis (BA)'!Print_Titles</vt:lpstr>
      <vt:lpstr>'7 - Depreciation'!Print_Titles</vt:lpstr>
      <vt:lpstr>'Adj A'!Print_Titles</vt:lpstr>
      <vt:lpstr>'Adj B - P'!Print_Titles</vt:lpstr>
      <vt:lpstr>'Ref B - Depreciation'!Print_Titles</vt:lpstr>
      <vt:lpstr>RefBHeader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HCWD1_Radcliff_Rate 2013 Model_Final_Settlement.xlsx</dc:title>
  <dc:creator>Bart Kreps</dc:creator>
  <cp:lastModifiedBy>Stoll Keenon Ogden</cp:lastModifiedBy>
  <cp:lastPrinted>2023-08-11T16:16:18Z</cp:lastPrinted>
  <dcterms:created xsi:type="dcterms:W3CDTF">2009-07-31T12:58:53Z</dcterms:created>
  <dcterms:modified xsi:type="dcterms:W3CDTF">2023-10-20T02:24:15Z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0x0101008C0121CD1922DD469E6AB39DE07732D1</vt:lpwstr>
  </property>
  <property fmtid="{D5CDD505-2E9C-101B-9397-08002B2CF9AE}" pid="3" name="Order">
    <vt:r8>100</vt:r8>
  </property>
  <property fmtid="{D5CDD505-2E9C-101B-9397-08002B2CF9AE}" pid="4" name="_ShortcutWebId">
    <vt:lpwstr/>
  </property>
  <property fmtid="{D5CDD505-2E9C-101B-9397-08002B2CF9AE}" pid="5" name="_ShortcutUniqueId">
    <vt:lpwstr/>
  </property>
  <property fmtid="{D5CDD505-2E9C-101B-9397-08002B2CF9AE}" pid="6" name="Modified">
    <vt:filetime>2014-01-28T22:20:38Z</vt:filetime>
  </property>
  <property fmtid="{D5CDD505-2E9C-101B-9397-08002B2CF9AE}" pid="7" name="_ShortcutSiteId">
    <vt:lpwstr/>
  </property>
  <property fmtid="{D5CDD505-2E9C-101B-9397-08002B2CF9AE}" pid="8" name="_ShortcutUrl">
    <vt:lpwstr/>
  </property>
  <property fmtid="{D5CDD505-2E9C-101B-9397-08002B2CF9AE}" pid="9" name="Created">
    <vt:filetime>2014-01-28T21:53:24Z</vt:filetime>
  </property>
  <property fmtid="{D5CDD505-2E9C-101B-9397-08002B2CF9AE}" pid="10" name="xd_Signature">
    <vt:bool>false</vt:bool>
  </property>
  <property fmtid="{D5CDD505-2E9C-101B-9397-08002B2CF9AE}" pid="11" name="xd_ProgID">
    <vt:lpwstr/>
  </property>
  <property fmtid="{D5CDD505-2E9C-101B-9397-08002B2CF9AE}" pid="12" name="_ExtendedDescription">
    <vt:lpwstr/>
  </property>
  <property fmtid="{D5CDD505-2E9C-101B-9397-08002B2CF9AE}" pid="13" name="TriggerFlowInfo">
    <vt:lpwstr/>
  </property>
  <property fmtid="{D5CDD505-2E9C-101B-9397-08002B2CF9AE}" pid="14" name="TemplateUrl">
    <vt:lpwstr/>
  </property>
  <property fmtid="{D5CDD505-2E9C-101B-9397-08002B2CF9AE}" pid="15" name="ComplianceAssetId">
    <vt:lpwstr/>
  </property>
  <property fmtid="{D5CDD505-2E9C-101B-9397-08002B2CF9AE}" pid="16" name="MediaServiceImageTags">
    <vt:lpwstr/>
  </property>
  <property fmtid="{D5CDD505-2E9C-101B-9397-08002B2CF9AE}" pid="17" name="ndDocumentId">
    <vt:lpwstr>4855-3264-5256</vt:lpwstr>
  </property>
</Properties>
</file>