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ex-19\home\Gerald.Wuetcher\HardinCountyNo1\SewerRateAdjustment_2023\FirstRequestForInformation\FinalDocuments\"/>
    </mc:Choice>
  </mc:AlternateContent>
  <xr:revisionPtr revIDLastSave="0" documentId="8_{DB6DDA61-05FD-48BE-BFCB-DCF7DCAB8A90}" xr6:coauthVersionLast="47" xr6:coauthVersionMax="47" xr10:uidLastSave="{00000000-0000-0000-0000-000000000000}"/>
  <bookViews>
    <workbookView xWindow="-110" yWindow="-110" windowWidth="19420" windowHeight="10420" tabRatio="975" firstSheet="11" activeTab="13" xr2:uid="{00000000-000D-0000-FFFF-FFFF00000000}"/>
  </bookViews>
  <sheets>
    <sheet name="Cover" sheetId="1" r:id="rId1"/>
    <sheet name="Index" sheetId="22" r:id="rId2"/>
    <sheet name="Summary" sheetId="13" r:id="rId3"/>
    <sheet name="Impacts" sheetId="16" r:id="rId4"/>
    <sheet name="Test Year Detail" sheetId="4" r:id="rId5"/>
    <sheet name="Debt Service" sheetId="3" r:id="rId6"/>
    <sheet name="CIP" sheetId="2" r:id="rId7"/>
    <sheet name="Revenue Offsets" sheetId="5" r:id="rId8"/>
    <sheet name="Proof" sheetId="23" r:id="rId9"/>
    <sheet name="IS_BS" sheetId="36" r:id="rId10"/>
    <sheet name="Reserves" sheetId="14" r:id="rId11"/>
    <sheet name="Scenario " sheetId="29" r:id="rId12"/>
    <sheet name="Slide Data" sheetId="34" r:id="rId13"/>
    <sheet name="COS" sheetId="6" r:id="rId14"/>
    <sheet name="Categories" sheetId="18" r:id="rId15"/>
    <sheet name="Rate Calculations" sheetId="15" r:id="rId16"/>
    <sheet name="Billing Data" sheetId="7" r:id="rId17"/>
    <sheet name="Wholesale" sheetId="19" r:id="rId18"/>
    <sheet name="Fixed Assets" sheetId="21" r:id="rId19"/>
    <sheet name="Inch_Ft Piping" sheetId="17" r:id="rId20"/>
    <sheet name="Personnel" sheetId="9" r:id="rId21"/>
    <sheet name="Insurance" sheetId="12" r:id="rId22"/>
    <sheet name="Dep_Amor" sheetId="11" r:id="rId23"/>
    <sheet name="Contract Operations" sheetId="10" r:id="rId24"/>
    <sheet name="FK Water" sheetId="33" r:id="rId25"/>
    <sheet name="New Customers" sheetId="25" r:id="rId26"/>
    <sheet name="Historical Flows" sheetId="32" r:id="rId27"/>
    <sheet name="NR Charges" sheetId="20" r:id="rId28"/>
    <sheet name="Debt Retirement" sheetId="30" r:id="rId29"/>
    <sheet name="Winter Quarter Billing" sheetId="24" r:id="rId30"/>
    <sheet name="Electricity" sheetId="31" r:id="rId31"/>
    <sheet name="2012 Rate Options" sheetId="35" r:id="rId32"/>
    <sheet name="Allocated Expenses" sheetId="26" state="hidden" r:id="rId33"/>
    <sheet name="Allocation Percentages" sheetId="27" state="hidden" r:id="rId34"/>
    <sheet name="Meter Reading" sheetId="28" state="hidden" r:id="rId35"/>
  </sheets>
  <definedNames>
    <definedName name="_xlnm.Print_Area" localSheetId="14">Categories!$A$1:$D$26</definedName>
    <definedName name="_xlnm.Print_Area" localSheetId="6">CIP!$A$1:$M$53</definedName>
    <definedName name="_xlnm.Print_Area" localSheetId="23">'Contract Operations'!$A$1:$H$13</definedName>
    <definedName name="_xlnm.Print_Area" localSheetId="13">COS!$A$1:$J$61,COS!$A$63:$J$132,COS!$A$136:$J$186,COS!$A$189:$J$254</definedName>
    <definedName name="_xlnm.Print_Area" localSheetId="0">Cover!$A$1:$H$44</definedName>
    <definedName name="_xlnm.Print_Area" localSheetId="5">'Debt Service'!$A$25:$K$56</definedName>
    <definedName name="_xlnm.Print_Area" localSheetId="22">Dep_Amor!$A$1:$H$56</definedName>
    <definedName name="_xlnm.Print_Area" localSheetId="3">Impacts!$A$311:$J$378</definedName>
    <definedName name="_xlnm.Print_Area" localSheetId="9">IS_BS!$A$1:$H$69,IS_BS!$L$74:$S$122</definedName>
    <definedName name="_xlnm.Print_Area" localSheetId="20">Personnel!$A$1:$L$115,Personnel!$A$118:$L$182,Personnel!$A$185:$L$265,Personnel!$A$268:$L$396,Personnel!$A$399:$L$412,Personnel!$A$414:$L$446</definedName>
    <definedName name="_xlnm.Print_Area" localSheetId="8">Proof!$A$1:$L$65</definedName>
    <definedName name="_xlnm.Print_Area" localSheetId="15">'Rate Calculations'!$A$58:$H$82</definedName>
    <definedName name="_xlnm.Print_Area" localSheetId="7">'Revenue Offsets'!$A$1:$H$21</definedName>
    <definedName name="_xlnm.Print_Area" localSheetId="2">Summary!$A$1:$N$60</definedName>
    <definedName name="_xlnm.Print_Area" localSheetId="4">'Test Year Detail'!$A$1:$H$76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3" l="1"/>
  <c r="H46" i="23"/>
  <c r="I46" i="23"/>
  <c r="J46" i="23"/>
  <c r="K46" i="23"/>
  <c r="L46" i="23"/>
  <c r="M46" i="23"/>
  <c r="N46" i="23"/>
  <c r="O46" i="23"/>
  <c r="P46" i="23"/>
  <c r="F46" i="23"/>
  <c r="E46" i="23"/>
  <c r="P23" i="7"/>
  <c r="P84" i="7"/>
  <c r="E162" i="7"/>
  <c r="D162" i="7"/>
  <c r="C162" i="7"/>
  <c r="C8" i="16"/>
  <c r="J10" i="16"/>
  <c r="I10" i="16"/>
  <c r="H10" i="16"/>
  <c r="G10" i="16"/>
  <c r="E9" i="16" l="1"/>
  <c r="D9" i="16"/>
  <c r="H7" i="16"/>
  <c r="I7" i="16"/>
  <c r="C9" i="16" l="1"/>
  <c r="M12" i="2"/>
  <c r="M10" i="2"/>
  <c r="M9" i="2"/>
  <c r="J11" i="21"/>
  <c r="G8" i="9"/>
  <c r="F70" i="15"/>
  <c r="F71" i="15" s="1"/>
  <c r="I36" i="3" l="1"/>
  <c r="J36" i="3"/>
  <c r="I37" i="3"/>
  <c r="J37" i="3"/>
  <c r="I38" i="3"/>
  <c r="J38" i="3"/>
  <c r="I39" i="3"/>
  <c r="J39" i="3"/>
  <c r="I40" i="3"/>
  <c r="J40" i="3"/>
  <c r="J35" i="3"/>
  <c r="I35" i="3"/>
  <c r="R83" i="36" l="1"/>
  <c r="F40" i="2" l="1"/>
  <c r="S112" i="36" l="1"/>
  <c r="R106" i="36"/>
  <c r="S106" i="36" s="1"/>
  <c r="S102" i="36"/>
  <c r="S100" i="36"/>
  <c r="S89" i="36"/>
  <c r="S88" i="36"/>
  <c r="S90" i="36" s="1"/>
  <c r="R90" i="36"/>
  <c r="S84" i="36"/>
  <c r="Q115" i="36"/>
  <c r="Q103" i="36"/>
  <c r="Q108" i="36" s="1"/>
  <c r="Q117" i="36" s="1"/>
  <c r="Q94" i="36"/>
  <c r="Q90" i="36"/>
  <c r="Q85" i="36"/>
  <c r="Q96" i="36" s="1"/>
  <c r="H65" i="36"/>
  <c r="H66" i="36"/>
  <c r="G64" i="36"/>
  <c r="H64" i="36" s="1"/>
  <c r="G15" i="36"/>
  <c r="G18" i="36"/>
  <c r="G19" i="36"/>
  <c r="G20" i="36"/>
  <c r="G23" i="36"/>
  <c r="G25" i="36"/>
  <c r="G26" i="36"/>
  <c r="G27" i="36"/>
  <c r="G29" i="36"/>
  <c r="G30" i="36"/>
  <c r="G31" i="36"/>
  <c r="G34" i="36"/>
  <c r="G37" i="36"/>
  <c r="G38" i="36"/>
  <c r="G39" i="36"/>
  <c r="G40" i="36"/>
  <c r="G41" i="36"/>
  <c r="F55" i="36"/>
  <c r="H55" i="36" s="1"/>
  <c r="F56" i="36"/>
  <c r="H56" i="36" s="1"/>
  <c r="F57" i="36"/>
  <c r="F54" i="36"/>
  <c r="H54" i="36" s="1"/>
  <c r="F49" i="36"/>
  <c r="F15" i="36"/>
  <c r="H15" i="36" s="1"/>
  <c r="F16" i="36"/>
  <c r="F17" i="36"/>
  <c r="F18" i="36"/>
  <c r="H18" i="36" s="1"/>
  <c r="F19" i="36"/>
  <c r="H19" i="36" s="1"/>
  <c r="F20" i="36"/>
  <c r="H20" i="36" s="1"/>
  <c r="F21" i="36"/>
  <c r="F22" i="36"/>
  <c r="F23" i="36"/>
  <c r="F24" i="36"/>
  <c r="F25" i="36"/>
  <c r="F26" i="36"/>
  <c r="H26" i="36" s="1"/>
  <c r="F27" i="36"/>
  <c r="F29" i="36"/>
  <c r="F30" i="36"/>
  <c r="H30" i="36" s="1"/>
  <c r="F31" i="36"/>
  <c r="H31" i="36" s="1"/>
  <c r="F32" i="36"/>
  <c r="F33" i="36"/>
  <c r="F34" i="36"/>
  <c r="F35" i="36"/>
  <c r="F36" i="36"/>
  <c r="F37" i="36"/>
  <c r="F38" i="36"/>
  <c r="F39" i="36"/>
  <c r="H39" i="36" s="1"/>
  <c r="F40" i="36"/>
  <c r="F42" i="36"/>
  <c r="F43" i="36"/>
  <c r="F14" i="36"/>
  <c r="F9" i="36"/>
  <c r="H12" i="9"/>
  <c r="H90" i="9" s="1"/>
  <c r="H38" i="36" l="1"/>
  <c r="H103" i="9"/>
  <c r="H34" i="36"/>
  <c r="H23" i="36"/>
  <c r="H40" i="36"/>
  <c r="H27" i="36"/>
  <c r="H37" i="36"/>
  <c r="H29" i="36"/>
  <c r="H25" i="36"/>
  <c r="F59" i="36"/>
  <c r="G12" i="24"/>
  <c r="F12" i="24"/>
  <c r="F14" i="24" l="1"/>
  <c r="G14" i="24"/>
  <c r="H11" i="24"/>
  <c r="H16" i="32"/>
  <c r="H17" i="32"/>
  <c r="H15" i="32"/>
  <c r="F262" i="6"/>
  <c r="C19" i="32" l="1"/>
  <c r="D17" i="32"/>
  <c r="E17" i="32" s="1"/>
  <c r="F17" i="32"/>
  <c r="F280" i="6"/>
  <c r="H36" i="2" l="1"/>
  <c r="G92" i="15" l="1"/>
  <c r="F64" i="15" s="1"/>
  <c r="B22" i="32" l="1"/>
  <c r="B20" i="32"/>
  <c r="B19" i="32"/>
  <c r="E44" i="25"/>
  <c r="C44" i="25"/>
  <c r="F23" i="4" l="1"/>
  <c r="F28" i="36" s="1"/>
  <c r="J227" i="21" l="1"/>
  <c r="J228" i="21"/>
  <c r="J229" i="21"/>
  <c r="J230" i="21"/>
  <c r="J231" i="21"/>
  <c r="J232" i="21"/>
  <c r="J184" i="21"/>
  <c r="J185" i="21"/>
  <c r="J186" i="21"/>
  <c r="J187" i="21"/>
  <c r="J188" i="21"/>
  <c r="J189" i="21"/>
  <c r="J190" i="21"/>
  <c r="J147" i="21"/>
  <c r="J68" i="21"/>
  <c r="J69" i="21"/>
  <c r="L288" i="21"/>
  <c r="L147" i="21"/>
  <c r="L130" i="21"/>
  <c r="L131" i="21"/>
  <c r="L132" i="21"/>
  <c r="L133" i="21"/>
  <c r="L134" i="21"/>
  <c r="L162" i="21"/>
  <c r="L163" i="21"/>
  <c r="L164" i="21"/>
  <c r="L165" i="21"/>
  <c r="E289" i="21" l="1"/>
  <c r="F289" i="21"/>
  <c r="D289" i="21"/>
  <c r="F282" i="21"/>
  <c r="D282" i="21"/>
  <c r="F266" i="21"/>
  <c r="D266" i="21"/>
  <c r="F261" i="21"/>
  <c r="D261" i="21"/>
  <c r="F233" i="21"/>
  <c r="D233" i="21"/>
  <c r="F201" i="21"/>
  <c r="D201" i="21"/>
  <c r="F191" i="21"/>
  <c r="D191" i="21"/>
  <c r="E169" i="21"/>
  <c r="F169" i="21"/>
  <c r="D169" i="21"/>
  <c r="F166" i="21"/>
  <c r="D166" i="21"/>
  <c r="F153" i="21"/>
  <c r="D153" i="21"/>
  <c r="F148" i="21"/>
  <c r="D148" i="21"/>
  <c r="F139" i="21"/>
  <c r="D139" i="21"/>
  <c r="F85" i="21"/>
  <c r="D85" i="21"/>
  <c r="E22" i="21"/>
  <c r="D22" i="21"/>
  <c r="D70" i="21" s="1"/>
  <c r="F9" i="21"/>
  <c r="D9" i="21"/>
  <c r="G288" i="21"/>
  <c r="G287" i="21"/>
  <c r="L287" i="21"/>
  <c r="G286" i="21"/>
  <c r="L286" i="21"/>
  <c r="G260" i="21"/>
  <c r="L260" i="21"/>
  <c r="G259" i="21"/>
  <c r="L259" i="21"/>
  <c r="G258" i="21"/>
  <c r="L258" i="21"/>
  <c r="E253" i="21"/>
  <c r="L232" i="21" l="1"/>
  <c r="L231" i="21"/>
  <c r="L230" i="21"/>
  <c r="L229" i="21"/>
  <c r="G226" i="21"/>
  <c r="G227" i="21"/>
  <c r="I227" i="21" s="1"/>
  <c r="G228" i="21"/>
  <c r="I228" i="21" s="1"/>
  <c r="G229" i="21"/>
  <c r="I229" i="21" s="1"/>
  <c r="G230" i="21"/>
  <c r="I230" i="21" s="1"/>
  <c r="G231" i="21"/>
  <c r="I231" i="21" s="1"/>
  <c r="G232" i="21"/>
  <c r="I232" i="21" s="1"/>
  <c r="L228" i="21"/>
  <c r="L227" i="21"/>
  <c r="G197" i="21"/>
  <c r="G190" i="21"/>
  <c r="I190" i="21" s="1"/>
  <c r="L190" i="21"/>
  <c r="L189" i="21"/>
  <c r="G189" i="21"/>
  <c r="I189" i="21" s="1"/>
  <c r="G187" i="21"/>
  <c r="I187" i="21" s="1"/>
  <c r="G188" i="21"/>
  <c r="I188" i="21" s="1"/>
  <c r="L188" i="21"/>
  <c r="L187" i="21"/>
  <c r="G186" i="21"/>
  <c r="I186" i="21" s="1"/>
  <c r="L186" i="21"/>
  <c r="L185" i="21"/>
  <c r="G185" i="21"/>
  <c r="I185" i="21" s="1"/>
  <c r="G184" i="21"/>
  <c r="I184" i="21" s="1"/>
  <c r="L184" i="21"/>
  <c r="G165" i="21"/>
  <c r="G164" i="21"/>
  <c r="G163" i="21"/>
  <c r="G162" i="21"/>
  <c r="G147" i="21"/>
  <c r="I147" i="21" s="1"/>
  <c r="G133" i="21"/>
  <c r="G134" i="21"/>
  <c r="G132" i="21"/>
  <c r="L129" i="21"/>
  <c r="L128" i="21"/>
  <c r="G131" i="21"/>
  <c r="G130" i="21"/>
  <c r="G129" i="21"/>
  <c r="G128" i="21"/>
  <c r="G127" i="21"/>
  <c r="L127" i="21"/>
  <c r="F122" i="21"/>
  <c r="E122" i="21"/>
  <c r="D122" i="21"/>
  <c r="D135" i="21" s="1"/>
  <c r="F103" i="21"/>
  <c r="F88" i="21"/>
  <c r="G69" i="21"/>
  <c r="I69" i="21" s="1"/>
  <c r="L69" i="21"/>
  <c r="G68" i="21"/>
  <c r="I68" i="21" s="1"/>
  <c r="L68" i="21"/>
  <c r="G53" i="21"/>
  <c r="D290" i="21" l="1"/>
  <c r="F135" i="21"/>
  <c r="F22" i="21"/>
  <c r="F8" i="33"/>
  <c r="G8" i="33" s="1"/>
  <c r="F70" i="21" l="1"/>
  <c r="F290" i="21" s="1"/>
  <c r="F20" i="10"/>
  <c r="F8" i="10"/>
  <c r="F29" i="10"/>
  <c r="B127" i="6" l="1"/>
  <c r="B253" i="6" s="1"/>
  <c r="B108" i="6"/>
  <c r="B234" i="6" s="1"/>
  <c r="B109" i="6"/>
  <c r="B235" i="6" s="1"/>
  <c r="B110" i="6"/>
  <c r="B236" i="6" s="1"/>
  <c r="B111" i="6"/>
  <c r="B237" i="6" s="1"/>
  <c r="B112" i="6"/>
  <c r="B238" i="6" s="1"/>
  <c r="B113" i="6"/>
  <c r="B239" i="6" s="1"/>
  <c r="B114" i="6"/>
  <c r="B240" i="6" s="1"/>
  <c r="B115" i="6"/>
  <c r="B241" i="6" s="1"/>
  <c r="B116" i="6"/>
  <c r="B242" i="6" s="1"/>
  <c r="B117" i="6"/>
  <c r="B243" i="6" s="1"/>
  <c r="B118" i="6"/>
  <c r="B244" i="6" s="1"/>
  <c r="B119" i="6"/>
  <c r="B245" i="6" s="1"/>
  <c r="B120" i="6"/>
  <c r="B246" i="6" s="1"/>
  <c r="B121" i="6"/>
  <c r="B247" i="6" s="1"/>
  <c r="B122" i="6"/>
  <c r="B248" i="6" s="1"/>
  <c r="B123" i="6"/>
  <c r="B249" i="6" s="1"/>
  <c r="B124" i="6"/>
  <c r="B250" i="6" s="1"/>
  <c r="B125" i="6"/>
  <c r="B251" i="6" s="1"/>
  <c r="B126" i="6"/>
  <c r="B252" i="6" s="1"/>
  <c r="F46" i="11"/>
  <c r="H46" i="11" s="1"/>
  <c r="F126" i="6" s="1"/>
  <c r="F45" i="11"/>
  <c r="H45" i="11" s="1"/>
  <c r="F125" i="6" s="1"/>
  <c r="I294" i="9"/>
  <c r="I309" i="9" s="1"/>
  <c r="I324" i="9" s="1"/>
  <c r="K294" i="9"/>
  <c r="K339" i="9" s="1"/>
  <c r="K354" i="9" s="1"/>
  <c r="K369" i="9" s="1"/>
  <c r="K384" i="9" s="1"/>
  <c r="H339" i="9"/>
  <c r="G339" i="9" s="1"/>
  <c r="H324" i="9"/>
  <c r="H309" i="9"/>
  <c r="G309" i="9" s="1"/>
  <c r="F392" i="9"/>
  <c r="H354" i="9"/>
  <c r="G354" i="9" s="1"/>
  <c r="G294" i="9"/>
  <c r="H294" i="9" s="1"/>
  <c r="I339" i="9" l="1"/>
  <c r="I354" i="9" s="1"/>
  <c r="J294" i="9"/>
  <c r="L294" i="9" s="1"/>
  <c r="K309" i="9"/>
  <c r="K324" i="9" s="1"/>
  <c r="K55" i="13"/>
  <c r="K47" i="13"/>
  <c r="K52" i="13"/>
  <c r="K44" i="13"/>
  <c r="K51" i="13"/>
  <c r="N58" i="13"/>
  <c r="J126" i="6"/>
  <c r="I126" i="6"/>
  <c r="I125" i="6"/>
  <c r="J125" i="6"/>
  <c r="N57" i="13"/>
  <c r="K57" i="13"/>
  <c r="K45" i="13"/>
  <c r="J309" i="9"/>
  <c r="K56" i="13"/>
  <c r="K48" i="13"/>
  <c r="K40" i="13"/>
  <c r="K54" i="13"/>
  <c r="K46" i="13"/>
  <c r="K53" i="13"/>
  <c r="K41" i="13"/>
  <c r="K43" i="13"/>
  <c r="K49" i="13"/>
  <c r="J324" i="9"/>
  <c r="L324" i="9" s="1"/>
  <c r="K58" i="13"/>
  <c r="K50" i="13"/>
  <c r="K42" i="13"/>
  <c r="I369" i="9"/>
  <c r="I384" i="9" s="1"/>
  <c r="J354" i="9"/>
  <c r="L354" i="9" s="1"/>
  <c r="J339" i="9"/>
  <c r="L339" i="9" s="1"/>
  <c r="F279" i="9"/>
  <c r="F194" i="9"/>
  <c r="H240" i="9"/>
  <c r="H231" i="9"/>
  <c r="G231" i="9" s="1"/>
  <c r="H222" i="9"/>
  <c r="H213" i="9"/>
  <c r="G213" i="9" s="1"/>
  <c r="G204" i="9"/>
  <c r="L309" i="9" l="1"/>
  <c r="F384" i="9"/>
  <c r="H384" i="9" s="1"/>
  <c r="F369" i="9"/>
  <c r="H369" i="9" s="1"/>
  <c r="G369" i="9" s="1"/>
  <c r="G279" i="9"/>
  <c r="H279" i="9" s="1"/>
  <c r="J279" i="9" s="1"/>
  <c r="L279" i="9" s="1"/>
  <c r="J384" i="9" l="1"/>
  <c r="L384" i="9" s="1"/>
  <c r="G384" i="9"/>
  <c r="J369" i="9"/>
  <c r="L369" i="9" s="1"/>
  <c r="M15" i="2" l="1"/>
  <c r="C13" i="11" s="1"/>
  <c r="F13" i="11" s="1"/>
  <c r="H13" i="11" s="1"/>
  <c r="F95" i="6" s="1"/>
  <c r="N27" i="13" s="1"/>
  <c r="B13" i="11"/>
  <c r="B95" i="6" s="1"/>
  <c r="B8" i="11"/>
  <c r="B90" i="6" s="1"/>
  <c r="B216" i="6" s="1"/>
  <c r="B9" i="11"/>
  <c r="B91" i="6" s="1"/>
  <c r="B217" i="6" s="1"/>
  <c r="B10" i="11"/>
  <c r="B92" i="6" s="1"/>
  <c r="B11" i="11"/>
  <c r="B93" i="6" s="1"/>
  <c r="B219" i="6" s="1"/>
  <c r="B12" i="11"/>
  <c r="B94" i="6" s="1"/>
  <c r="B14" i="11"/>
  <c r="B96" i="6" s="1"/>
  <c r="B222" i="6" s="1"/>
  <c r="B15" i="11"/>
  <c r="B97" i="6" s="1"/>
  <c r="B223" i="6" s="1"/>
  <c r="B16" i="11"/>
  <c r="B98" i="6" s="1"/>
  <c r="B17" i="11"/>
  <c r="B99" i="6" s="1"/>
  <c r="B225" i="6" s="1"/>
  <c r="B18" i="11"/>
  <c r="B100" i="6" s="1"/>
  <c r="B19" i="11"/>
  <c r="B101" i="6" s="1"/>
  <c r="B227" i="6" s="1"/>
  <c r="B20" i="11"/>
  <c r="B102" i="6" s="1"/>
  <c r="B228" i="6" s="1"/>
  <c r="B21" i="11"/>
  <c r="B103" i="6" s="1"/>
  <c r="B229" i="6" s="1"/>
  <c r="B22" i="11"/>
  <c r="B104" i="6" s="1"/>
  <c r="B230" i="6" s="1"/>
  <c r="B23" i="11"/>
  <c r="B105" i="6" s="1"/>
  <c r="B231" i="6" s="1"/>
  <c r="B24" i="11"/>
  <c r="B106" i="6" s="1"/>
  <c r="B25" i="11"/>
  <c r="B107" i="6" s="1"/>
  <c r="B233" i="6" s="1"/>
  <c r="M25" i="2"/>
  <c r="C23" i="11" s="1"/>
  <c r="F23" i="11" s="1"/>
  <c r="M26" i="2"/>
  <c r="M27" i="2"/>
  <c r="C25" i="11" s="1"/>
  <c r="F25" i="11" s="1"/>
  <c r="M28" i="2"/>
  <c r="M29" i="2"/>
  <c r="M30" i="2"/>
  <c r="M31" i="2"/>
  <c r="M42" i="2"/>
  <c r="H40" i="2"/>
  <c r="I40" i="2"/>
  <c r="J40" i="2"/>
  <c r="K40" i="2"/>
  <c r="G40" i="2"/>
  <c r="K36" i="2"/>
  <c r="M16" i="2"/>
  <c r="C14" i="11" s="1"/>
  <c r="M14" i="2"/>
  <c r="C12" i="11" s="1"/>
  <c r="M13" i="2"/>
  <c r="C11" i="11" s="1"/>
  <c r="B218" i="6" l="1"/>
  <c r="K24" i="13"/>
  <c r="H23" i="11"/>
  <c r="F105" i="6" s="1"/>
  <c r="B226" i="6"/>
  <c r="K32" i="13"/>
  <c r="B221" i="6"/>
  <c r="K27" i="13"/>
  <c r="C24" i="11"/>
  <c r="F24" i="11" s="1"/>
  <c r="H24" i="11" s="1"/>
  <c r="F106" i="6" s="1"/>
  <c r="B220" i="6"/>
  <c r="K26" i="13"/>
  <c r="H25" i="11"/>
  <c r="F107" i="6" s="1"/>
  <c r="B232" i="6"/>
  <c r="K38" i="13"/>
  <c r="B224" i="6"/>
  <c r="K30" i="13"/>
  <c r="K39" i="13"/>
  <c r="R35" i="13"/>
  <c r="R47" i="13"/>
  <c r="R39" i="13"/>
  <c r="K37" i="13"/>
  <c r="K33" i="13"/>
  <c r="K29" i="13"/>
  <c r="R33" i="13"/>
  <c r="K35" i="13"/>
  <c r="K31" i="13"/>
  <c r="K22" i="13"/>
  <c r="K34" i="13"/>
  <c r="K25" i="13"/>
  <c r="U36" i="13"/>
  <c r="J95" i="6"/>
  <c r="I95" i="6"/>
  <c r="K36" i="13"/>
  <c r="R41" i="13"/>
  <c r="K28" i="13"/>
  <c r="K23" i="13"/>
  <c r="R36" i="13"/>
  <c r="F23" i="14"/>
  <c r="E37" i="3"/>
  <c r="F38" i="6"/>
  <c r="I38" i="6" s="1"/>
  <c r="F17" i="6"/>
  <c r="F18" i="6"/>
  <c r="F24" i="6"/>
  <c r="H18" i="4"/>
  <c r="H24" i="4"/>
  <c r="F36" i="4"/>
  <c r="N10" i="35"/>
  <c r="N19" i="35"/>
  <c r="N18" i="35"/>
  <c r="F22" i="10"/>
  <c r="E229" i="35"/>
  <c r="F229" i="35" s="1"/>
  <c r="E228" i="35"/>
  <c r="F228" i="35" s="1"/>
  <c r="E227" i="35"/>
  <c r="F227" i="35" s="1"/>
  <c r="E226" i="35"/>
  <c r="F226" i="35" s="1"/>
  <c r="E225" i="35"/>
  <c r="F225" i="35" s="1"/>
  <c r="E224" i="35"/>
  <c r="F224" i="35" s="1"/>
  <c r="E223" i="35"/>
  <c r="F223" i="35" s="1"/>
  <c r="E222" i="35"/>
  <c r="F222" i="35" s="1"/>
  <c r="E221" i="35"/>
  <c r="F221" i="35" s="1"/>
  <c r="E220" i="35"/>
  <c r="F220" i="35" s="1"/>
  <c r="B231" i="35"/>
  <c r="B76" i="35"/>
  <c r="C75" i="35"/>
  <c r="R6" i="35"/>
  <c r="P9" i="35"/>
  <c r="B145" i="35"/>
  <c r="C145" i="35" s="1"/>
  <c r="B144" i="35"/>
  <c r="C144" i="35" s="1"/>
  <c r="B143" i="35"/>
  <c r="C143" i="35" s="1"/>
  <c r="B142" i="35"/>
  <c r="C142" i="35" s="1"/>
  <c r="B141" i="35"/>
  <c r="C141" i="35" s="1"/>
  <c r="B140" i="35"/>
  <c r="C140" i="35" s="1"/>
  <c r="B139" i="35"/>
  <c r="C139" i="35" s="1"/>
  <c r="B138" i="35"/>
  <c r="C138" i="35" s="1"/>
  <c r="B137" i="35"/>
  <c r="C137" i="35" s="1"/>
  <c r="B136" i="35"/>
  <c r="C136" i="35" s="1"/>
  <c r="B135" i="35"/>
  <c r="C135" i="35" s="1"/>
  <c r="B134" i="35"/>
  <c r="C134" i="35" s="1"/>
  <c r="B133" i="35"/>
  <c r="C133" i="35" s="1"/>
  <c r="B132" i="35"/>
  <c r="C132" i="35" s="1"/>
  <c r="B131" i="35"/>
  <c r="C131" i="35" s="1"/>
  <c r="B130" i="35"/>
  <c r="C130" i="35" s="1"/>
  <c r="B129" i="35"/>
  <c r="C129" i="35" s="1"/>
  <c r="B128" i="35"/>
  <c r="C128" i="35" s="1"/>
  <c r="B127" i="35"/>
  <c r="C127" i="35" s="1"/>
  <c r="B126" i="35"/>
  <c r="C126" i="35" s="1"/>
  <c r="B125" i="35"/>
  <c r="C125" i="35" s="1"/>
  <c r="B124" i="35"/>
  <c r="C124" i="35" s="1"/>
  <c r="B123" i="35"/>
  <c r="C123" i="35" s="1"/>
  <c r="B122" i="35"/>
  <c r="C122" i="35" s="1"/>
  <c r="B121" i="35"/>
  <c r="C121" i="35" s="1"/>
  <c r="B120" i="35"/>
  <c r="C120" i="35" s="1"/>
  <c r="B119" i="35"/>
  <c r="C119" i="35" s="1"/>
  <c r="B118" i="35"/>
  <c r="C118" i="35" s="1"/>
  <c r="B117" i="35"/>
  <c r="C117" i="35" s="1"/>
  <c r="B116" i="35"/>
  <c r="C116" i="35" s="1"/>
  <c r="B115" i="35"/>
  <c r="C115" i="35" s="1"/>
  <c r="B114" i="35"/>
  <c r="C114" i="35" s="1"/>
  <c r="B113" i="35"/>
  <c r="C113" i="35" s="1"/>
  <c r="B112" i="35"/>
  <c r="C112" i="35" s="1"/>
  <c r="B111" i="35"/>
  <c r="C111" i="35" s="1"/>
  <c r="B110" i="35"/>
  <c r="C110" i="35" s="1"/>
  <c r="B109" i="35"/>
  <c r="C109" i="35" s="1"/>
  <c r="B108" i="35"/>
  <c r="C108" i="35" s="1"/>
  <c r="B107" i="35"/>
  <c r="C107" i="35" s="1"/>
  <c r="B106" i="35"/>
  <c r="C106" i="35" s="1"/>
  <c r="B105" i="35"/>
  <c r="C105" i="35" s="1"/>
  <c r="B104" i="35"/>
  <c r="C104" i="35" s="1"/>
  <c r="B103" i="35"/>
  <c r="C103" i="35" s="1"/>
  <c r="B102" i="35"/>
  <c r="C102" i="35" s="1"/>
  <c r="B101" i="35"/>
  <c r="C101" i="35" s="1"/>
  <c r="B100" i="35"/>
  <c r="C100" i="35" s="1"/>
  <c r="B99" i="35"/>
  <c r="C99" i="35" s="1"/>
  <c r="B98" i="35"/>
  <c r="C98" i="35" s="1"/>
  <c r="B97" i="35"/>
  <c r="C97" i="35" s="1"/>
  <c r="B96" i="35"/>
  <c r="C96" i="35" s="1"/>
  <c r="B95" i="35"/>
  <c r="C95" i="35" s="1"/>
  <c r="B94" i="35"/>
  <c r="C94" i="35" s="1"/>
  <c r="B93" i="35"/>
  <c r="C93" i="35" s="1"/>
  <c r="B92" i="35"/>
  <c r="C92" i="35" s="1"/>
  <c r="B91" i="35"/>
  <c r="C91" i="35" s="1"/>
  <c r="B90" i="35"/>
  <c r="C90" i="35" s="1"/>
  <c r="B89" i="35"/>
  <c r="C89" i="35" s="1"/>
  <c r="B88" i="35"/>
  <c r="C88" i="35" s="1"/>
  <c r="B87" i="35"/>
  <c r="C87" i="35" s="1"/>
  <c r="A145" i="35"/>
  <c r="A144" i="35"/>
  <c r="A143" i="35"/>
  <c r="A142" i="35"/>
  <c r="A141" i="35"/>
  <c r="A140" i="35"/>
  <c r="A139" i="35"/>
  <c r="A138" i="35"/>
  <c r="A137" i="35"/>
  <c r="A136" i="35"/>
  <c r="A135" i="35"/>
  <c r="A134" i="35"/>
  <c r="A133" i="35"/>
  <c r="A132" i="35"/>
  <c r="A131" i="35"/>
  <c r="A130" i="35"/>
  <c r="A129" i="35"/>
  <c r="A128" i="35"/>
  <c r="A127" i="35"/>
  <c r="A126" i="35"/>
  <c r="A125" i="35"/>
  <c r="A124" i="35"/>
  <c r="A123" i="35"/>
  <c r="A122" i="35"/>
  <c r="A121" i="35"/>
  <c r="A120" i="35"/>
  <c r="A119" i="35"/>
  <c r="A118" i="35"/>
  <c r="A117" i="35"/>
  <c r="A116" i="35"/>
  <c r="A115" i="35"/>
  <c r="A114" i="35"/>
  <c r="A113" i="35"/>
  <c r="A112" i="35"/>
  <c r="A111" i="35"/>
  <c r="A110" i="35"/>
  <c r="A109" i="35"/>
  <c r="A108" i="35"/>
  <c r="A107" i="35"/>
  <c r="A106" i="35"/>
  <c r="A105" i="35"/>
  <c r="A104" i="35"/>
  <c r="A103" i="35"/>
  <c r="A102" i="35"/>
  <c r="A101" i="35"/>
  <c r="A100" i="35"/>
  <c r="A99" i="35"/>
  <c r="A98" i="35"/>
  <c r="A97" i="35"/>
  <c r="A96" i="35"/>
  <c r="A95" i="35"/>
  <c r="A94" i="35"/>
  <c r="A93" i="35"/>
  <c r="A92" i="35"/>
  <c r="A91" i="35"/>
  <c r="A90" i="35"/>
  <c r="A89" i="35"/>
  <c r="A88" i="35"/>
  <c r="A87" i="35"/>
  <c r="E89" i="35"/>
  <c r="E88" i="35"/>
  <c r="E87" i="35"/>
  <c r="N17" i="35"/>
  <c r="N16" i="35"/>
  <c r="N15" i="35"/>
  <c r="L6" i="35"/>
  <c r="L15" i="35" s="1"/>
  <c r="J6" i="35"/>
  <c r="J15" i="35" s="1"/>
  <c r="G15" i="35"/>
  <c r="D9" i="35"/>
  <c r="N38" i="13" l="1"/>
  <c r="I106" i="6"/>
  <c r="U47" i="13"/>
  <c r="J106" i="6"/>
  <c r="J105" i="6"/>
  <c r="N37" i="13"/>
  <c r="I105" i="6"/>
  <c r="J107" i="6"/>
  <c r="N39" i="13"/>
  <c r="I107" i="6"/>
  <c r="F40" i="4"/>
  <c r="F41" i="36"/>
  <c r="F231" i="35"/>
  <c r="F232" i="35" s="1"/>
  <c r="O15" i="35"/>
  <c r="I24" i="4"/>
  <c r="J24" i="4" s="1"/>
  <c r="K24" i="4" s="1"/>
  <c r="L24" i="4" s="1"/>
  <c r="M24" i="4" s="1"/>
  <c r="N24" i="4" s="1"/>
  <c r="O24" i="4" s="1"/>
  <c r="P24" i="4" s="1"/>
  <c r="Q24" i="4" s="1"/>
  <c r="R24" i="4" s="1"/>
  <c r="E23" i="19"/>
  <c r="G23" i="19" s="1"/>
  <c r="I18" i="4"/>
  <c r="J18" i="4" s="1"/>
  <c r="K18" i="4" s="1"/>
  <c r="L18" i="4" s="1"/>
  <c r="M18" i="4" s="1"/>
  <c r="N18" i="4" s="1"/>
  <c r="O18" i="4" s="1"/>
  <c r="P18" i="4" s="1"/>
  <c r="Q18" i="4" s="1"/>
  <c r="R18" i="4" s="1"/>
  <c r="E17" i="19"/>
  <c r="G17" i="19" s="1"/>
  <c r="C148" i="35"/>
  <c r="C147" i="35"/>
  <c r="A148" i="35"/>
  <c r="O16" i="35"/>
  <c r="O17" i="35"/>
  <c r="J38" i="6"/>
  <c r="I24" i="6"/>
  <c r="J18" i="6"/>
  <c r="J24" i="6"/>
  <c r="I18" i="6"/>
  <c r="L17" i="35"/>
  <c r="I89" i="35" s="1"/>
  <c r="L16" i="35"/>
  <c r="I88" i="35" s="1"/>
  <c r="P6" i="35"/>
  <c r="P15" i="35" s="1"/>
  <c r="K87" i="35" s="1"/>
  <c r="B147" i="35"/>
  <c r="B148" i="35" s="1"/>
  <c r="G87" i="35"/>
  <c r="H87" i="35"/>
  <c r="I87" i="35"/>
  <c r="J88" i="35"/>
  <c r="J87" i="35"/>
  <c r="J89" i="35"/>
  <c r="D115" i="35" l="1"/>
  <c r="D132" i="35"/>
  <c r="G154" i="35"/>
  <c r="D116" i="35"/>
  <c r="D130" i="35"/>
  <c r="B203" i="35"/>
  <c r="D124" i="35"/>
  <c r="D99" i="35"/>
  <c r="D139" i="35"/>
  <c r="D97" i="35"/>
  <c r="D114" i="35"/>
  <c r="D123" i="35"/>
  <c r="D140" i="35"/>
  <c r="D113" i="35"/>
  <c r="D107" i="35"/>
  <c r="D131" i="35"/>
  <c r="D91" i="35"/>
  <c r="D106" i="35"/>
  <c r="E156" i="35"/>
  <c r="D145" i="35"/>
  <c r="D129" i="35"/>
  <c r="F203" i="35"/>
  <c r="D90" i="35"/>
  <c r="H41" i="36"/>
  <c r="F45" i="36"/>
  <c r="Q15" i="35"/>
  <c r="E154" i="35"/>
  <c r="E203" i="35"/>
  <c r="D137" i="35"/>
  <c r="D121" i="35"/>
  <c r="D105" i="35"/>
  <c r="D89" i="35"/>
  <c r="D138" i="35"/>
  <c r="D122" i="35"/>
  <c r="D102" i="35"/>
  <c r="F154" i="35"/>
  <c r="D154" i="35"/>
  <c r="D203" i="35"/>
  <c r="D143" i="35"/>
  <c r="D135" i="35"/>
  <c r="D127" i="35"/>
  <c r="D119" i="35"/>
  <c r="D111" i="35"/>
  <c r="D103" i="35"/>
  <c r="D95" i="35"/>
  <c r="D87" i="35"/>
  <c r="D144" i="35"/>
  <c r="D136" i="35"/>
  <c r="D128" i="35"/>
  <c r="D120" i="35"/>
  <c r="D112" i="35"/>
  <c r="D98" i="35"/>
  <c r="F155" i="35"/>
  <c r="C154" i="35"/>
  <c r="C203" i="35"/>
  <c r="D141" i="35"/>
  <c r="D133" i="35"/>
  <c r="D125" i="35"/>
  <c r="D117" i="35"/>
  <c r="D109" i="35"/>
  <c r="D101" i="35"/>
  <c r="D93" i="35"/>
  <c r="H203" i="35"/>
  <c r="D142" i="35"/>
  <c r="D134" i="35"/>
  <c r="D126" i="35"/>
  <c r="D118" i="35"/>
  <c r="D110" i="35"/>
  <c r="D94" i="35"/>
  <c r="D108" i="35"/>
  <c r="D104" i="35"/>
  <c r="D100" i="35"/>
  <c r="D96" i="35"/>
  <c r="D92" i="35"/>
  <c r="D88" i="35"/>
  <c r="E155" i="35"/>
  <c r="F156" i="35"/>
  <c r="G203" i="35"/>
  <c r="G270" i="7" l="1"/>
  <c r="E17" i="35"/>
  <c r="F89" i="35" s="1"/>
  <c r="B156" i="35" s="1"/>
  <c r="E16" i="35"/>
  <c r="F88" i="35" s="1"/>
  <c r="B155" i="35" s="1"/>
  <c r="E15" i="35"/>
  <c r="F87" i="35" s="1"/>
  <c r="B154" i="35" s="1"/>
  <c r="P85" i="7"/>
  <c r="P86" i="7"/>
  <c r="E215" i="7" s="1"/>
  <c r="P87" i="7"/>
  <c r="E216" i="7" s="1"/>
  <c r="D19" i="35" s="1"/>
  <c r="P88" i="7"/>
  <c r="P89" i="7"/>
  <c r="E218" i="7" s="1"/>
  <c r="D21" i="35" s="1"/>
  <c r="P90" i="7"/>
  <c r="E219" i="7" s="1"/>
  <c r="D22" i="35" s="1"/>
  <c r="P91" i="7"/>
  <c r="E220" i="7" s="1"/>
  <c r="D23" i="35" s="1"/>
  <c r="P92" i="7"/>
  <c r="P93" i="7"/>
  <c r="P94" i="7"/>
  <c r="E223" i="7" s="1"/>
  <c r="D26" i="35" s="1"/>
  <c r="P95" i="7"/>
  <c r="E224" i="7" s="1"/>
  <c r="D27" i="35" s="1"/>
  <c r="P96" i="7"/>
  <c r="P97" i="7"/>
  <c r="E226" i="7" s="1"/>
  <c r="D29" i="35" s="1"/>
  <c r="P98" i="7"/>
  <c r="E227" i="7" s="1"/>
  <c r="D30" i="35" s="1"/>
  <c r="P99" i="7"/>
  <c r="E228" i="7" s="1"/>
  <c r="D31" i="35" s="1"/>
  <c r="P100" i="7"/>
  <c r="P101" i="7"/>
  <c r="P102" i="7"/>
  <c r="E231" i="7" s="1"/>
  <c r="D34" i="35" s="1"/>
  <c r="P103" i="7"/>
  <c r="E232" i="7" s="1"/>
  <c r="D35" i="35" s="1"/>
  <c r="P104" i="7"/>
  <c r="P105" i="7"/>
  <c r="P106" i="7"/>
  <c r="E235" i="7" s="1"/>
  <c r="D38" i="35" s="1"/>
  <c r="P107" i="7"/>
  <c r="E236" i="7" s="1"/>
  <c r="D39" i="35" s="1"/>
  <c r="P108" i="7"/>
  <c r="P109" i="7"/>
  <c r="E238" i="7" s="1"/>
  <c r="D41" i="35" s="1"/>
  <c r="P110" i="7"/>
  <c r="E239" i="7" s="1"/>
  <c r="D42" i="35" s="1"/>
  <c r="P111" i="7"/>
  <c r="E240" i="7" s="1"/>
  <c r="D43" i="35" s="1"/>
  <c r="P112" i="7"/>
  <c r="P113" i="7"/>
  <c r="P114" i="7"/>
  <c r="E243" i="7" s="1"/>
  <c r="D46" i="35" s="1"/>
  <c r="P115" i="7"/>
  <c r="E244" i="7" s="1"/>
  <c r="D47" i="35" s="1"/>
  <c r="P116" i="7"/>
  <c r="P117" i="7"/>
  <c r="E246" i="7" s="1"/>
  <c r="D49" i="35" s="1"/>
  <c r="P118" i="7"/>
  <c r="E247" i="7" s="1"/>
  <c r="D50" i="35" s="1"/>
  <c r="P119" i="7"/>
  <c r="E248" i="7" s="1"/>
  <c r="D51" i="35" s="1"/>
  <c r="P120" i="7"/>
  <c r="P121" i="7"/>
  <c r="P122" i="7"/>
  <c r="E251" i="7" s="1"/>
  <c r="D54" i="35" s="1"/>
  <c r="P123" i="7"/>
  <c r="E252" i="7" s="1"/>
  <c r="D55" i="35" s="1"/>
  <c r="P124" i="7"/>
  <c r="P125" i="7"/>
  <c r="E254" i="7" s="1"/>
  <c r="D57" i="35" s="1"/>
  <c r="P126" i="7"/>
  <c r="E255" i="7" s="1"/>
  <c r="D58" i="35" s="1"/>
  <c r="P127" i="7"/>
  <c r="E256" i="7" s="1"/>
  <c r="D59" i="35" s="1"/>
  <c r="P128" i="7"/>
  <c r="P129" i="7"/>
  <c r="P130" i="7"/>
  <c r="E259" i="7" s="1"/>
  <c r="D62" i="35" s="1"/>
  <c r="P131" i="7"/>
  <c r="E260" i="7" s="1"/>
  <c r="D63" i="35" s="1"/>
  <c r="P132" i="7"/>
  <c r="P133" i="7"/>
  <c r="E262" i="7" s="1"/>
  <c r="D65" i="35" s="1"/>
  <c r="P134" i="7"/>
  <c r="E263" i="7" s="1"/>
  <c r="D66" i="35" s="1"/>
  <c r="P135" i="7"/>
  <c r="P136" i="7"/>
  <c r="E265" i="7" s="1"/>
  <c r="D68" i="35" s="1"/>
  <c r="P137" i="7"/>
  <c r="E266" i="7" s="1"/>
  <c r="D69" i="35" s="1"/>
  <c r="P138" i="7"/>
  <c r="E267" i="7" s="1"/>
  <c r="D70" i="35" s="1"/>
  <c r="P139" i="7"/>
  <c r="E268" i="7" s="1"/>
  <c r="D71" i="35" s="1"/>
  <c r="P140" i="7"/>
  <c r="E269" i="7" s="1"/>
  <c r="D72" i="35" s="1"/>
  <c r="P141" i="7"/>
  <c r="E270" i="7" s="1"/>
  <c r="D73" i="35" s="1"/>
  <c r="P83" i="7"/>
  <c r="E212" i="7" s="1"/>
  <c r="D15" i="35" s="1"/>
  <c r="T15" i="35" s="1"/>
  <c r="C20" i="32"/>
  <c r="F162" i="34"/>
  <c r="F163" i="34" s="1"/>
  <c r="F164" i="34" s="1"/>
  <c r="F165" i="34" s="1"/>
  <c r="F166" i="34" s="1"/>
  <c r="F167" i="34" s="1"/>
  <c r="F168" i="34" s="1"/>
  <c r="F169" i="34" s="1"/>
  <c r="F170" i="34" s="1"/>
  <c r="F171" i="34" s="1"/>
  <c r="F172" i="34" s="1"/>
  <c r="F173" i="34" s="1"/>
  <c r="F174" i="34" s="1"/>
  <c r="F175" i="34" s="1"/>
  <c r="F176" i="34" s="1"/>
  <c r="F177" i="34" s="1"/>
  <c r="F178" i="34" s="1"/>
  <c r="F179" i="34" s="1"/>
  <c r="F180" i="34" s="1"/>
  <c r="F181" i="34" s="1"/>
  <c r="F182" i="34" s="1"/>
  <c r="F183" i="34" s="1"/>
  <c r="F184" i="34" s="1"/>
  <c r="B176" i="34"/>
  <c r="B175" i="34"/>
  <c r="M158" i="34"/>
  <c r="M157" i="34"/>
  <c r="M156" i="34"/>
  <c r="M155" i="34"/>
  <c r="M154" i="34"/>
  <c r="M153" i="34"/>
  <c r="M152" i="34"/>
  <c r="M151" i="34"/>
  <c r="M150" i="34"/>
  <c r="M148" i="34"/>
  <c r="M147" i="34"/>
  <c r="M145" i="34"/>
  <c r="N47" i="34"/>
  <c r="N48" i="34" s="1"/>
  <c r="O47" i="34"/>
  <c r="N46" i="34"/>
  <c r="N65" i="35" l="1"/>
  <c r="J65" i="35"/>
  <c r="P65" i="35"/>
  <c r="E137" i="35"/>
  <c r="L65" i="35"/>
  <c r="G65" i="35"/>
  <c r="N57" i="35"/>
  <c r="G57" i="35"/>
  <c r="P57" i="35"/>
  <c r="L57" i="35"/>
  <c r="J57" i="35"/>
  <c r="E129" i="35"/>
  <c r="N49" i="35"/>
  <c r="E121" i="35"/>
  <c r="P49" i="35"/>
  <c r="J49" i="35"/>
  <c r="L49" i="35"/>
  <c r="G49" i="35"/>
  <c r="N41" i="35"/>
  <c r="L41" i="35"/>
  <c r="P41" i="35"/>
  <c r="G41" i="35"/>
  <c r="J41" i="35"/>
  <c r="E113" i="35"/>
  <c r="E101" i="35"/>
  <c r="N29" i="35"/>
  <c r="G29" i="35"/>
  <c r="J29" i="35"/>
  <c r="P29" i="35"/>
  <c r="L29" i="35"/>
  <c r="N66" i="35"/>
  <c r="E138" i="35"/>
  <c r="J66" i="35"/>
  <c r="L66" i="35"/>
  <c r="P66" i="35"/>
  <c r="G66" i="35"/>
  <c r="N62" i="35"/>
  <c r="P62" i="35"/>
  <c r="E134" i="35"/>
  <c r="J62" i="35"/>
  <c r="G62" i="35"/>
  <c r="L62" i="35"/>
  <c r="N58" i="35"/>
  <c r="E130" i="35"/>
  <c r="P58" i="35"/>
  <c r="J58" i="35"/>
  <c r="L58" i="35"/>
  <c r="G58" i="35"/>
  <c r="G130" i="35" s="1"/>
  <c r="C197" i="35" s="1"/>
  <c r="N54" i="35"/>
  <c r="P54" i="35"/>
  <c r="G54" i="35"/>
  <c r="L54" i="35"/>
  <c r="E126" i="35"/>
  <c r="O54" i="35" s="1"/>
  <c r="J54" i="35"/>
  <c r="N50" i="35"/>
  <c r="G50" i="35"/>
  <c r="P50" i="35"/>
  <c r="L50" i="35"/>
  <c r="J50" i="35"/>
  <c r="E122" i="35"/>
  <c r="N46" i="35"/>
  <c r="P46" i="35"/>
  <c r="G46" i="35"/>
  <c r="L46" i="35"/>
  <c r="E118" i="35"/>
  <c r="J46" i="35"/>
  <c r="N42" i="35"/>
  <c r="E114" i="35"/>
  <c r="G42" i="35"/>
  <c r="P42" i="35"/>
  <c r="J42" i="35"/>
  <c r="L42" i="35"/>
  <c r="I114" i="35" s="1"/>
  <c r="E181" i="35" s="1"/>
  <c r="N38" i="35"/>
  <c r="P38" i="35"/>
  <c r="E110" i="35"/>
  <c r="G38" i="35"/>
  <c r="J38" i="35"/>
  <c r="L38" i="35"/>
  <c r="N34" i="35"/>
  <c r="E106" i="35"/>
  <c r="G34" i="35"/>
  <c r="J34" i="35"/>
  <c r="P34" i="35"/>
  <c r="L34" i="35"/>
  <c r="E102" i="35"/>
  <c r="G30" i="35"/>
  <c r="N30" i="35"/>
  <c r="J30" i="35"/>
  <c r="P30" i="35"/>
  <c r="L30" i="35"/>
  <c r="N26" i="35"/>
  <c r="E98" i="35"/>
  <c r="G26" i="35"/>
  <c r="J26" i="35"/>
  <c r="P26" i="35"/>
  <c r="L26" i="35"/>
  <c r="I98" i="35" s="1"/>
  <c r="E165" i="35" s="1"/>
  <c r="E94" i="35"/>
  <c r="G22" i="35"/>
  <c r="N22" i="35"/>
  <c r="J22" i="35"/>
  <c r="P22" i="35"/>
  <c r="L22" i="35"/>
  <c r="D18" i="35"/>
  <c r="N71" i="35"/>
  <c r="E143" i="35"/>
  <c r="P71" i="35"/>
  <c r="J71" i="35"/>
  <c r="G71" i="35"/>
  <c r="L71" i="35"/>
  <c r="I143" i="35" s="1"/>
  <c r="E210" i="35" s="1"/>
  <c r="N63" i="35"/>
  <c r="L63" i="35"/>
  <c r="G63" i="35"/>
  <c r="J63" i="35"/>
  <c r="P63" i="35"/>
  <c r="E135" i="35"/>
  <c r="N59" i="35"/>
  <c r="G59" i="35"/>
  <c r="L59" i="35"/>
  <c r="E131" i="35"/>
  <c r="J59" i="35"/>
  <c r="P59" i="35"/>
  <c r="N55" i="35"/>
  <c r="G55" i="35"/>
  <c r="L55" i="35"/>
  <c r="E127" i="35"/>
  <c r="P55" i="35"/>
  <c r="J55" i="35"/>
  <c r="N51" i="35"/>
  <c r="L51" i="35"/>
  <c r="G51" i="35"/>
  <c r="P51" i="35"/>
  <c r="E123" i="35"/>
  <c r="J51" i="35"/>
  <c r="N47" i="35"/>
  <c r="E119" i="35"/>
  <c r="J47" i="35"/>
  <c r="P47" i="35"/>
  <c r="G47" i="35"/>
  <c r="L47" i="35"/>
  <c r="N43" i="35"/>
  <c r="J43" i="35"/>
  <c r="E115" i="35"/>
  <c r="L43" i="35"/>
  <c r="P43" i="35"/>
  <c r="G43" i="35"/>
  <c r="N39" i="35"/>
  <c r="E111" i="35"/>
  <c r="J39" i="35"/>
  <c r="P39" i="35"/>
  <c r="G39" i="35"/>
  <c r="L39" i="35"/>
  <c r="N35" i="35"/>
  <c r="J35" i="35"/>
  <c r="E107" i="35"/>
  <c r="G35" i="35"/>
  <c r="P35" i="35"/>
  <c r="L35" i="35"/>
  <c r="E31" i="35"/>
  <c r="N31" i="35"/>
  <c r="J31" i="35"/>
  <c r="L31" i="35"/>
  <c r="E103" i="35"/>
  <c r="G31" i="35"/>
  <c r="P31" i="35"/>
  <c r="N27" i="35"/>
  <c r="E99" i="35"/>
  <c r="J27" i="35"/>
  <c r="L27" i="35"/>
  <c r="P27" i="35"/>
  <c r="G27" i="35"/>
  <c r="E95" i="35"/>
  <c r="N23" i="35"/>
  <c r="J23" i="35"/>
  <c r="L23" i="35"/>
  <c r="G23" i="35"/>
  <c r="P23" i="35"/>
  <c r="E91" i="35"/>
  <c r="G19" i="35"/>
  <c r="L19" i="35"/>
  <c r="P19" i="35"/>
  <c r="J19" i="35"/>
  <c r="H91" i="35" s="1"/>
  <c r="D158" i="35" s="1"/>
  <c r="E93" i="35"/>
  <c r="N21" i="35"/>
  <c r="G21" i="35"/>
  <c r="J21" i="35"/>
  <c r="P21" i="35"/>
  <c r="L21" i="35"/>
  <c r="N72" i="35"/>
  <c r="E144" i="35"/>
  <c r="J72" i="35"/>
  <c r="P72" i="35"/>
  <c r="G72" i="35"/>
  <c r="L72" i="35"/>
  <c r="N68" i="35"/>
  <c r="G68" i="35"/>
  <c r="L68" i="35"/>
  <c r="P68" i="35"/>
  <c r="E140" i="35"/>
  <c r="J68" i="35"/>
  <c r="N69" i="35"/>
  <c r="J69" i="35"/>
  <c r="L69" i="35"/>
  <c r="P69" i="35"/>
  <c r="G69" i="35"/>
  <c r="E141" i="35"/>
  <c r="N70" i="35"/>
  <c r="P70" i="35"/>
  <c r="E142" i="35"/>
  <c r="J70" i="35"/>
  <c r="L70" i="35"/>
  <c r="G70" i="35"/>
  <c r="E257" i="7"/>
  <c r="D60" i="35" s="1"/>
  <c r="E249" i="7"/>
  <c r="D52" i="35" s="1"/>
  <c r="E241" i="7"/>
  <c r="D44" i="35" s="1"/>
  <c r="E233" i="7"/>
  <c r="D36" i="35" s="1"/>
  <c r="E225" i="7"/>
  <c r="D28" i="35" s="1"/>
  <c r="E217" i="7"/>
  <c r="D20" i="35" s="1"/>
  <c r="E213" i="7"/>
  <c r="E258" i="7"/>
  <c r="D61" i="35" s="1"/>
  <c r="E250" i="7"/>
  <c r="D53" i="35" s="1"/>
  <c r="E242" i="7"/>
  <c r="D45" i="35" s="1"/>
  <c r="E234" i="7"/>
  <c r="D37" i="35" s="1"/>
  <c r="E230" i="7"/>
  <c r="D33" i="35" s="1"/>
  <c r="E222" i="7"/>
  <c r="D25" i="35" s="1"/>
  <c r="E214" i="7"/>
  <c r="N73" i="35"/>
  <c r="E145" i="35"/>
  <c r="J73" i="35"/>
  <c r="L73" i="35"/>
  <c r="P73" i="35"/>
  <c r="G73" i="35"/>
  <c r="E261" i="7"/>
  <c r="D64" i="35" s="1"/>
  <c r="E253" i="7"/>
  <c r="D56" i="35" s="1"/>
  <c r="E245" i="7"/>
  <c r="D48" i="35" s="1"/>
  <c r="E237" i="7"/>
  <c r="D40" i="35" s="1"/>
  <c r="E229" i="7"/>
  <c r="D32" i="35" s="1"/>
  <c r="E221" i="7"/>
  <c r="D24" i="35" s="1"/>
  <c r="F212" i="7"/>
  <c r="F85" i="6"/>
  <c r="I111" i="35" l="1"/>
  <c r="E178" i="35" s="1"/>
  <c r="I106" i="35"/>
  <c r="E173" i="35" s="1"/>
  <c r="G138" i="35"/>
  <c r="C205" i="35" s="1"/>
  <c r="G121" i="35"/>
  <c r="C188" i="35" s="1"/>
  <c r="I144" i="35"/>
  <c r="E211" i="35" s="1"/>
  <c r="O68" i="35"/>
  <c r="O46" i="35"/>
  <c r="G99" i="35"/>
  <c r="C166" i="35" s="1"/>
  <c r="H142" i="35"/>
  <c r="D209" i="35" s="1"/>
  <c r="H130" i="35"/>
  <c r="D197" i="35" s="1"/>
  <c r="I138" i="35"/>
  <c r="E205" i="35" s="1"/>
  <c r="G145" i="35"/>
  <c r="C212" i="35" s="1"/>
  <c r="G95" i="35"/>
  <c r="C162" i="35" s="1"/>
  <c r="I119" i="35"/>
  <c r="E186" i="35" s="1"/>
  <c r="I142" i="35"/>
  <c r="E209" i="35" s="1"/>
  <c r="H98" i="35"/>
  <c r="D165" i="35" s="1"/>
  <c r="H106" i="35"/>
  <c r="D173" i="35" s="1"/>
  <c r="I110" i="35"/>
  <c r="E177" i="35" s="1"/>
  <c r="K110" i="35"/>
  <c r="G177" i="35" s="1"/>
  <c r="I122" i="35"/>
  <c r="E189" i="35" s="1"/>
  <c r="I134" i="35"/>
  <c r="E201" i="35" s="1"/>
  <c r="G113" i="35"/>
  <c r="C180" i="35" s="1"/>
  <c r="I129" i="35"/>
  <c r="E196" i="35" s="1"/>
  <c r="G137" i="35"/>
  <c r="C204" i="35" s="1"/>
  <c r="H137" i="35"/>
  <c r="D204" i="35" s="1"/>
  <c r="G98" i="35"/>
  <c r="C165" i="35" s="1"/>
  <c r="H95" i="35"/>
  <c r="D162" i="35" s="1"/>
  <c r="I103" i="35"/>
  <c r="E170" i="35" s="1"/>
  <c r="I107" i="35"/>
  <c r="E174" i="35" s="1"/>
  <c r="H107" i="35"/>
  <c r="D174" i="35" s="1"/>
  <c r="G115" i="35"/>
  <c r="C182" i="35" s="1"/>
  <c r="H115" i="35"/>
  <c r="D182" i="35" s="1"/>
  <c r="G131" i="35"/>
  <c r="C198" i="35" s="1"/>
  <c r="H135" i="35"/>
  <c r="D202" i="35" s="1"/>
  <c r="G106" i="35"/>
  <c r="C173" i="35" s="1"/>
  <c r="H110" i="35"/>
  <c r="D177" i="35" s="1"/>
  <c r="G114" i="35"/>
  <c r="C181" i="35" s="1"/>
  <c r="G134" i="35"/>
  <c r="C201" i="35" s="1"/>
  <c r="J134" i="35"/>
  <c r="F201" i="35" s="1"/>
  <c r="H138" i="35"/>
  <c r="D205" i="35" s="1"/>
  <c r="I121" i="35"/>
  <c r="E188" i="35" s="1"/>
  <c r="J121" i="35"/>
  <c r="F188" i="35" s="1"/>
  <c r="I137" i="35"/>
  <c r="E204" i="35" s="1"/>
  <c r="H111" i="35"/>
  <c r="D178" i="35" s="1"/>
  <c r="H119" i="35"/>
  <c r="D186" i="35" s="1"/>
  <c r="H131" i="35"/>
  <c r="D198" i="35" s="1"/>
  <c r="J131" i="35"/>
  <c r="F198" i="35" s="1"/>
  <c r="G135" i="35"/>
  <c r="C202" i="35" s="1"/>
  <c r="G110" i="35"/>
  <c r="C177" i="35" s="1"/>
  <c r="O42" i="35"/>
  <c r="O50" i="35"/>
  <c r="H134" i="35"/>
  <c r="D201" i="35" s="1"/>
  <c r="O66" i="35"/>
  <c r="H140" i="35"/>
  <c r="D207" i="35" s="1"/>
  <c r="G140" i="35"/>
  <c r="C207" i="35" s="1"/>
  <c r="I93" i="35"/>
  <c r="E160" i="35" s="1"/>
  <c r="H99" i="35"/>
  <c r="D166" i="35" s="1"/>
  <c r="G103" i="35"/>
  <c r="C170" i="35" s="1"/>
  <c r="G107" i="35"/>
  <c r="C174" i="35" s="1"/>
  <c r="I115" i="35"/>
  <c r="E182" i="35" s="1"/>
  <c r="H144" i="35"/>
  <c r="D211" i="35" s="1"/>
  <c r="I140" i="35"/>
  <c r="E207" i="35" s="1"/>
  <c r="G144" i="35"/>
  <c r="C211" i="35" s="1"/>
  <c r="J144" i="35"/>
  <c r="F211" i="35" s="1"/>
  <c r="G93" i="35"/>
  <c r="C160" i="35" s="1"/>
  <c r="I99" i="35"/>
  <c r="E166" i="35" s="1"/>
  <c r="H103" i="35"/>
  <c r="D170" i="35" s="1"/>
  <c r="I127" i="35"/>
  <c r="E194" i="35" s="1"/>
  <c r="G143" i="35"/>
  <c r="C210" i="35" s="1"/>
  <c r="N40" i="35"/>
  <c r="E112" i="35"/>
  <c r="G40" i="35"/>
  <c r="L40" i="35"/>
  <c r="P40" i="35"/>
  <c r="J40" i="35"/>
  <c r="D17" i="35"/>
  <c r="N20" i="35"/>
  <c r="E92" i="35"/>
  <c r="G20" i="35"/>
  <c r="L20" i="35"/>
  <c r="J20" i="35"/>
  <c r="P20" i="35"/>
  <c r="K144" i="35"/>
  <c r="G211" i="35" s="1"/>
  <c r="Q72" i="35"/>
  <c r="J93" i="35"/>
  <c r="F160" i="35" s="1"/>
  <c r="O21" i="35"/>
  <c r="K91" i="35"/>
  <c r="G158" i="35" s="1"/>
  <c r="Q19" i="35"/>
  <c r="O35" i="35"/>
  <c r="J107" i="35"/>
  <c r="F174" i="35" s="1"/>
  <c r="Q43" i="35"/>
  <c r="K115" i="35"/>
  <c r="G182" i="35" s="1"/>
  <c r="Q22" i="35"/>
  <c r="K94" i="35"/>
  <c r="G161" i="35" s="1"/>
  <c r="K130" i="35"/>
  <c r="G197" i="35" s="1"/>
  <c r="Q58" i="35"/>
  <c r="Q57" i="35"/>
  <c r="K129" i="35"/>
  <c r="G196" i="35" s="1"/>
  <c r="O65" i="35"/>
  <c r="J137" i="35"/>
  <c r="F204" i="35" s="1"/>
  <c r="G212" i="7"/>
  <c r="H212" i="7" s="1"/>
  <c r="I212" i="7" s="1"/>
  <c r="J212" i="7" s="1"/>
  <c r="N64" i="35"/>
  <c r="J64" i="35"/>
  <c r="L64" i="35"/>
  <c r="E136" i="35"/>
  <c r="G64" i="35"/>
  <c r="J99" i="35"/>
  <c r="F166" i="35" s="1"/>
  <c r="O27" i="35"/>
  <c r="K111" i="35"/>
  <c r="G178" i="35" s="1"/>
  <c r="Q39" i="35"/>
  <c r="Q59" i="35"/>
  <c r="K131" i="35"/>
  <c r="G198" i="35" s="1"/>
  <c r="Q42" i="35"/>
  <c r="K114" i="35"/>
  <c r="G181" i="35" s="1"/>
  <c r="K118" i="35"/>
  <c r="G185" i="35" s="1"/>
  <c r="Q46" i="35"/>
  <c r="Q54" i="35"/>
  <c r="K126" i="35"/>
  <c r="G193" i="35" s="1"/>
  <c r="Q62" i="35"/>
  <c r="K134" i="35"/>
  <c r="G201" i="35" s="1"/>
  <c r="O29" i="35"/>
  <c r="J101" i="35"/>
  <c r="F168" i="35" s="1"/>
  <c r="N24" i="35"/>
  <c r="E96" i="35"/>
  <c r="G24" i="35"/>
  <c r="L24" i="35"/>
  <c r="P24" i="35"/>
  <c r="J24" i="35"/>
  <c r="H96" i="35" s="1"/>
  <c r="D163" i="35" s="1"/>
  <c r="N56" i="35"/>
  <c r="L56" i="35"/>
  <c r="E128" i="35"/>
  <c r="G56" i="35"/>
  <c r="P56" i="35"/>
  <c r="J56" i="35"/>
  <c r="N33" i="35"/>
  <c r="L33" i="35"/>
  <c r="G33" i="35"/>
  <c r="P33" i="35"/>
  <c r="E105" i="35"/>
  <c r="O33" i="35" s="1"/>
  <c r="J33" i="35"/>
  <c r="N61" i="35"/>
  <c r="P61" i="35"/>
  <c r="E133" i="35"/>
  <c r="J61" i="35"/>
  <c r="G61" i="35"/>
  <c r="L61" i="35"/>
  <c r="E108" i="35"/>
  <c r="G36" i="35"/>
  <c r="N36" i="35"/>
  <c r="P36" i="35"/>
  <c r="L36" i="35"/>
  <c r="J36" i="35"/>
  <c r="K142" i="35"/>
  <c r="G209" i="35" s="1"/>
  <c r="Q70" i="35"/>
  <c r="Q69" i="35"/>
  <c r="K141" i="35"/>
  <c r="G208" i="35" s="1"/>
  <c r="K140" i="35"/>
  <c r="G207" i="35" s="1"/>
  <c r="Q68" i="35"/>
  <c r="O39" i="35"/>
  <c r="J111" i="35"/>
  <c r="F178" i="35" s="1"/>
  <c r="O47" i="35"/>
  <c r="J119" i="35"/>
  <c r="F186" i="35" s="1"/>
  <c r="K127" i="35"/>
  <c r="G194" i="35" s="1"/>
  <c r="Q55" i="35"/>
  <c r="O55" i="35"/>
  <c r="J127" i="35"/>
  <c r="F194" i="35" s="1"/>
  <c r="K135" i="35"/>
  <c r="G202" i="35" s="1"/>
  <c r="Q63" i="35"/>
  <c r="O63" i="35"/>
  <c r="J135" i="35"/>
  <c r="F202" i="35" s="1"/>
  <c r="K143" i="35"/>
  <c r="G210" i="35" s="1"/>
  <c r="Q71" i="35"/>
  <c r="P18" i="35"/>
  <c r="G18" i="35"/>
  <c r="J18" i="35"/>
  <c r="L18" i="35"/>
  <c r="E90" i="35"/>
  <c r="E18" i="35"/>
  <c r="J94" i="35"/>
  <c r="F161" i="35" s="1"/>
  <c r="O22" i="35"/>
  <c r="Q26" i="35"/>
  <c r="K98" i="35"/>
  <c r="G165" i="35" s="1"/>
  <c r="O26" i="35"/>
  <c r="J98" i="35"/>
  <c r="F165" i="35" s="1"/>
  <c r="J102" i="35"/>
  <c r="F169" i="35" s="1"/>
  <c r="O30" i="35"/>
  <c r="Q34" i="35"/>
  <c r="K106" i="35"/>
  <c r="G173" i="35" s="1"/>
  <c r="O34" i="35"/>
  <c r="J106" i="35"/>
  <c r="F173" i="35" s="1"/>
  <c r="O58" i="35"/>
  <c r="J130" i="35"/>
  <c r="F197" i="35" s="1"/>
  <c r="Q66" i="35"/>
  <c r="K138" i="35"/>
  <c r="G205" i="35" s="1"/>
  <c r="O41" i="35"/>
  <c r="J113" i="35"/>
  <c r="F180" i="35" s="1"/>
  <c r="K121" i="35"/>
  <c r="G188" i="35" s="1"/>
  <c r="Q49" i="35"/>
  <c r="K137" i="35"/>
  <c r="G204" i="35" s="1"/>
  <c r="Q65" i="35"/>
  <c r="H141" i="35"/>
  <c r="D208" i="35" s="1"/>
  <c r="J118" i="35"/>
  <c r="F185" i="35" s="1"/>
  <c r="I141" i="35"/>
  <c r="E208" i="35" s="1"/>
  <c r="H123" i="35"/>
  <c r="D190" i="35" s="1"/>
  <c r="G94" i="35"/>
  <c r="C161" i="35" s="1"/>
  <c r="I102" i="35"/>
  <c r="E169" i="35" s="1"/>
  <c r="H126" i="35"/>
  <c r="D193" i="35" s="1"/>
  <c r="I101" i="35"/>
  <c r="E168" i="35" s="1"/>
  <c r="O49" i="35"/>
  <c r="I145" i="35"/>
  <c r="E212" i="35" s="1"/>
  <c r="G142" i="35"/>
  <c r="C209" i="35" s="1"/>
  <c r="O72" i="35"/>
  <c r="H93" i="35"/>
  <c r="D160" i="35" s="1"/>
  <c r="G91" i="35"/>
  <c r="C158" i="35" s="1"/>
  <c r="I95" i="35"/>
  <c r="E162" i="35" s="1"/>
  <c r="F103" i="35"/>
  <c r="B170" i="35" s="1"/>
  <c r="G111" i="35"/>
  <c r="C178" i="35" s="1"/>
  <c r="G119" i="35"/>
  <c r="C186" i="35" s="1"/>
  <c r="G123" i="35"/>
  <c r="C190" i="35" s="1"/>
  <c r="I131" i="35"/>
  <c r="E198" i="35" s="1"/>
  <c r="Q38" i="35"/>
  <c r="H114" i="35"/>
  <c r="D181" i="35" s="1"/>
  <c r="J114" i="35"/>
  <c r="F181" i="35" s="1"/>
  <c r="G118" i="35"/>
  <c r="C185" i="35" s="1"/>
  <c r="H122" i="35"/>
  <c r="D189" i="35" s="1"/>
  <c r="J122" i="35"/>
  <c r="F189" i="35" s="1"/>
  <c r="G126" i="35"/>
  <c r="C193" i="35" s="1"/>
  <c r="I130" i="35"/>
  <c r="E197" i="35" s="1"/>
  <c r="O62" i="35"/>
  <c r="J138" i="35"/>
  <c r="F205" i="35" s="1"/>
  <c r="G101" i="35"/>
  <c r="C168" i="35" s="1"/>
  <c r="H113" i="35"/>
  <c r="D180" i="35" s="1"/>
  <c r="H129" i="35"/>
  <c r="D196" i="35" s="1"/>
  <c r="N45" i="35"/>
  <c r="P45" i="35"/>
  <c r="G45" i="35"/>
  <c r="L45" i="35"/>
  <c r="E117" i="35"/>
  <c r="J45" i="35"/>
  <c r="N52" i="35"/>
  <c r="L52" i="35"/>
  <c r="E124" i="35"/>
  <c r="J52" i="35"/>
  <c r="G52" i="35"/>
  <c r="P52" i="35"/>
  <c r="K95" i="35"/>
  <c r="G162" i="35" s="1"/>
  <c r="Q23" i="35"/>
  <c r="O23" i="35"/>
  <c r="J95" i="35"/>
  <c r="F162" i="35" s="1"/>
  <c r="K103" i="35"/>
  <c r="G170" i="35" s="1"/>
  <c r="Q31" i="35"/>
  <c r="Q35" i="35"/>
  <c r="K107" i="35"/>
  <c r="G174" i="35" s="1"/>
  <c r="O43" i="35"/>
  <c r="J115" i="35"/>
  <c r="F182" i="35" s="1"/>
  <c r="O51" i="35"/>
  <c r="J123" i="35"/>
  <c r="F190" i="35" s="1"/>
  <c r="O71" i="35"/>
  <c r="J143" i="35"/>
  <c r="F210" i="35" s="1"/>
  <c r="K102" i="35"/>
  <c r="G169" i="35" s="1"/>
  <c r="Q30" i="35"/>
  <c r="J110" i="35"/>
  <c r="F177" i="35" s="1"/>
  <c r="O38" i="35"/>
  <c r="K122" i="35"/>
  <c r="G189" i="35" s="1"/>
  <c r="Q50" i="35"/>
  <c r="Q29" i="35"/>
  <c r="K101" i="35"/>
  <c r="G168" i="35" s="1"/>
  <c r="K113" i="35"/>
  <c r="G180" i="35" s="1"/>
  <c r="Q41" i="35"/>
  <c r="N32" i="35"/>
  <c r="E104" i="35"/>
  <c r="G32" i="35"/>
  <c r="L32" i="35"/>
  <c r="P32" i="35"/>
  <c r="J32" i="35"/>
  <c r="N37" i="35"/>
  <c r="P37" i="35"/>
  <c r="G37" i="35"/>
  <c r="L37" i="35"/>
  <c r="E109" i="35"/>
  <c r="J37" i="35"/>
  <c r="D16" i="35"/>
  <c r="F213" i="7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  <c r="F262" i="7" s="1"/>
  <c r="F263" i="7" s="1"/>
  <c r="N44" i="35"/>
  <c r="L44" i="35"/>
  <c r="E116" i="35"/>
  <c r="P44" i="35"/>
  <c r="J44" i="35"/>
  <c r="G44" i="35"/>
  <c r="O70" i="35"/>
  <c r="J142" i="35"/>
  <c r="F209" i="35" s="1"/>
  <c r="O19" i="35"/>
  <c r="J91" i="35"/>
  <c r="F158" i="35" s="1"/>
  <c r="Q27" i="35"/>
  <c r="K99" i="35"/>
  <c r="G166" i="35" s="1"/>
  <c r="K119" i="35"/>
  <c r="G186" i="35" s="1"/>
  <c r="Q47" i="35"/>
  <c r="N48" i="35"/>
  <c r="L48" i="35"/>
  <c r="E120" i="35"/>
  <c r="G48" i="35"/>
  <c r="P48" i="35"/>
  <c r="J48" i="35"/>
  <c r="Q73" i="35"/>
  <c r="K145" i="35"/>
  <c r="G212" i="35" s="1"/>
  <c r="O73" i="35"/>
  <c r="J145" i="35"/>
  <c r="F212" i="35" s="1"/>
  <c r="N25" i="35"/>
  <c r="E97" i="35"/>
  <c r="J25" i="35"/>
  <c r="P25" i="35"/>
  <c r="G25" i="35"/>
  <c r="L25" i="35"/>
  <c r="N53" i="35"/>
  <c r="P53" i="35"/>
  <c r="J53" i="35"/>
  <c r="E125" i="35"/>
  <c r="G53" i="35"/>
  <c r="L53" i="35"/>
  <c r="E100" i="35"/>
  <c r="G28" i="35"/>
  <c r="N28" i="35"/>
  <c r="L28" i="35"/>
  <c r="J28" i="35"/>
  <c r="P28" i="35"/>
  <c r="N60" i="35"/>
  <c r="J60" i="35"/>
  <c r="L60" i="35"/>
  <c r="P60" i="35"/>
  <c r="G60" i="35"/>
  <c r="E132" i="35"/>
  <c r="O69" i="35"/>
  <c r="J141" i="35"/>
  <c r="F208" i="35" s="1"/>
  <c r="Q21" i="35"/>
  <c r="K93" i="35"/>
  <c r="G160" i="35" s="1"/>
  <c r="J103" i="35"/>
  <c r="F170" i="35" s="1"/>
  <c r="O31" i="35"/>
  <c r="Q51" i="35"/>
  <c r="K123" i="35"/>
  <c r="G190" i="35" s="1"/>
  <c r="J126" i="35"/>
  <c r="F193" i="35" s="1"/>
  <c r="H145" i="35"/>
  <c r="D212" i="35" s="1"/>
  <c r="I123" i="35"/>
  <c r="E190" i="35" s="1"/>
  <c r="I94" i="35"/>
  <c r="E161" i="35" s="1"/>
  <c r="G102" i="35"/>
  <c r="C169" i="35" s="1"/>
  <c r="H118" i="35"/>
  <c r="D185" i="35" s="1"/>
  <c r="G141" i="35"/>
  <c r="C208" i="35" s="1"/>
  <c r="J140" i="35"/>
  <c r="F207" i="35" s="1"/>
  <c r="I91" i="35"/>
  <c r="E158" i="35" s="1"/>
  <c r="H127" i="35"/>
  <c r="D194" i="35" s="1"/>
  <c r="G127" i="35"/>
  <c r="C194" i="35" s="1"/>
  <c r="O59" i="35"/>
  <c r="I135" i="35"/>
  <c r="E202" i="35" s="1"/>
  <c r="H143" i="35"/>
  <c r="D210" i="35" s="1"/>
  <c r="H94" i="35"/>
  <c r="D161" i="35" s="1"/>
  <c r="H102" i="35"/>
  <c r="D169" i="35" s="1"/>
  <c r="I118" i="35"/>
  <c r="E185" i="35" s="1"/>
  <c r="G122" i="35"/>
  <c r="C189" i="35" s="1"/>
  <c r="I126" i="35"/>
  <c r="E193" i="35" s="1"/>
  <c r="H101" i="35"/>
  <c r="D168" i="35" s="1"/>
  <c r="I113" i="35"/>
  <c r="E180" i="35" s="1"/>
  <c r="H121" i="35"/>
  <c r="D188" i="35" s="1"/>
  <c r="G129" i="35"/>
  <c r="C196" i="35" s="1"/>
  <c r="I85" i="6"/>
  <c r="J85" i="6"/>
  <c r="G8" i="20"/>
  <c r="I108" i="35" l="1"/>
  <c r="E175" i="35" s="1"/>
  <c r="I97" i="35"/>
  <c r="E164" i="35" s="1"/>
  <c r="J112" i="35"/>
  <c r="F179" i="35" s="1"/>
  <c r="H104" i="35"/>
  <c r="D171" i="35" s="1"/>
  <c r="H117" i="35"/>
  <c r="D184" i="35" s="1"/>
  <c r="H112" i="35"/>
  <c r="D179" i="35" s="1"/>
  <c r="I132" i="35"/>
  <c r="E199" i="35" s="1"/>
  <c r="H125" i="35"/>
  <c r="D192" i="35" s="1"/>
  <c r="G97" i="35"/>
  <c r="C164" i="35" s="1"/>
  <c r="O48" i="35"/>
  <c r="H116" i="35"/>
  <c r="D183" i="35" s="1"/>
  <c r="G104" i="35"/>
  <c r="C171" i="35" s="1"/>
  <c r="G124" i="35"/>
  <c r="C191" i="35" s="1"/>
  <c r="J124" i="35"/>
  <c r="F191" i="35" s="1"/>
  <c r="G117" i="35"/>
  <c r="C184" i="35" s="1"/>
  <c r="I90" i="35"/>
  <c r="E157" i="35" s="1"/>
  <c r="H108" i="35"/>
  <c r="D175" i="35" s="1"/>
  <c r="G108" i="35"/>
  <c r="C175" i="35" s="1"/>
  <c r="H133" i="35"/>
  <c r="D200" i="35" s="1"/>
  <c r="H105" i="35"/>
  <c r="D172" i="35" s="1"/>
  <c r="I105" i="35"/>
  <c r="E172" i="35" s="1"/>
  <c r="G128" i="35"/>
  <c r="C195" i="35" s="1"/>
  <c r="O32" i="35"/>
  <c r="H124" i="35"/>
  <c r="D191" i="35" s="1"/>
  <c r="G116" i="35"/>
  <c r="C183" i="35" s="1"/>
  <c r="I116" i="35"/>
  <c r="E183" i="35" s="1"/>
  <c r="I104" i="35"/>
  <c r="E171" i="35" s="1"/>
  <c r="I124" i="35"/>
  <c r="E191" i="35" s="1"/>
  <c r="I117" i="35"/>
  <c r="E184" i="35" s="1"/>
  <c r="G133" i="35"/>
  <c r="C200" i="35" s="1"/>
  <c r="G105" i="35"/>
  <c r="C172" i="35" s="1"/>
  <c r="J128" i="35"/>
  <c r="F195" i="35" s="1"/>
  <c r="H92" i="35"/>
  <c r="D159" i="35" s="1"/>
  <c r="J92" i="35"/>
  <c r="F159" i="35" s="1"/>
  <c r="O25" i="35"/>
  <c r="J97" i="35"/>
  <c r="F164" i="35" s="1"/>
  <c r="O44" i="35"/>
  <c r="J116" i="35"/>
  <c r="F183" i="35" s="1"/>
  <c r="O37" i="35"/>
  <c r="J109" i="35"/>
  <c r="F176" i="35" s="1"/>
  <c r="K100" i="35"/>
  <c r="G167" i="35" s="1"/>
  <c r="Q28" i="35"/>
  <c r="Q37" i="35"/>
  <c r="K109" i="35"/>
  <c r="G176" i="35" s="1"/>
  <c r="O18" i="35"/>
  <c r="J90" i="35"/>
  <c r="F157" i="35" s="1"/>
  <c r="Q56" i="35"/>
  <c r="K128" i="35"/>
  <c r="G195" i="35" s="1"/>
  <c r="Q20" i="35"/>
  <c r="K92" i="35"/>
  <c r="G159" i="35" s="1"/>
  <c r="O60" i="35"/>
  <c r="J132" i="35"/>
  <c r="F199" i="35" s="1"/>
  <c r="J100" i="35"/>
  <c r="F167" i="35" s="1"/>
  <c r="O28" i="35"/>
  <c r="O53" i="35"/>
  <c r="J125" i="35"/>
  <c r="F192" i="35" s="1"/>
  <c r="Q48" i="35"/>
  <c r="K120" i="35"/>
  <c r="G187" i="35" s="1"/>
  <c r="G16" i="35"/>
  <c r="G88" i="35" s="1"/>
  <c r="C155" i="35" s="1"/>
  <c r="J16" i="35"/>
  <c r="H88" i="35" s="1"/>
  <c r="D155" i="35" s="1"/>
  <c r="P16" i="35"/>
  <c r="T16" i="35"/>
  <c r="T17" i="35" s="1"/>
  <c r="T18" i="35" s="1"/>
  <c r="T19" i="35" s="1"/>
  <c r="Q32" i="35"/>
  <c r="K104" i="35"/>
  <c r="G171" i="35" s="1"/>
  <c r="O45" i="35"/>
  <c r="J117" i="35"/>
  <c r="F184" i="35" s="1"/>
  <c r="K108" i="35"/>
  <c r="G175" i="35" s="1"/>
  <c r="Q36" i="35"/>
  <c r="K133" i="35"/>
  <c r="G200" i="35" s="1"/>
  <c r="Q61" i="35"/>
  <c r="K105" i="35"/>
  <c r="G172" i="35" s="1"/>
  <c r="Q33" i="35"/>
  <c r="P17" i="35"/>
  <c r="G17" i="35"/>
  <c r="G89" i="35" s="1"/>
  <c r="C156" i="35" s="1"/>
  <c r="J17" i="35"/>
  <c r="H89" i="35" s="1"/>
  <c r="D156" i="35" s="1"/>
  <c r="H100" i="35"/>
  <c r="D167" i="35" s="1"/>
  <c r="G120" i="35"/>
  <c r="C187" i="35" s="1"/>
  <c r="H109" i="35"/>
  <c r="D176" i="35" s="1"/>
  <c r="G96" i="35"/>
  <c r="C163" i="35" s="1"/>
  <c r="O20" i="35"/>
  <c r="O40" i="35"/>
  <c r="G132" i="35"/>
  <c r="C199" i="35" s="1"/>
  <c r="G125" i="35"/>
  <c r="C192" i="35" s="1"/>
  <c r="H97" i="35"/>
  <c r="D164" i="35" s="1"/>
  <c r="J120" i="35"/>
  <c r="F187" i="35" s="1"/>
  <c r="G109" i="35"/>
  <c r="C176" i="35" s="1"/>
  <c r="J104" i="35"/>
  <c r="F171" i="35" s="1"/>
  <c r="O52" i="35"/>
  <c r="F90" i="35"/>
  <c r="B157" i="35" s="1"/>
  <c r="G90" i="35"/>
  <c r="C157" i="35" s="1"/>
  <c r="I133" i="35"/>
  <c r="E200" i="35" s="1"/>
  <c r="H128" i="35"/>
  <c r="D195" i="35" s="1"/>
  <c r="I128" i="35"/>
  <c r="E195" i="35" s="1"/>
  <c r="I96" i="35"/>
  <c r="E163" i="35" s="1"/>
  <c r="G92" i="35"/>
  <c r="C159" i="35" s="1"/>
  <c r="G112" i="35"/>
  <c r="C179" i="35" s="1"/>
  <c r="Q40" i="35"/>
  <c r="K112" i="35"/>
  <c r="G179" i="35" s="1"/>
  <c r="Q60" i="35"/>
  <c r="K132" i="35"/>
  <c r="G199" i="35" s="1"/>
  <c r="K124" i="35"/>
  <c r="G191" i="35" s="1"/>
  <c r="Q52" i="35"/>
  <c r="K90" i="35"/>
  <c r="G157" i="35" s="1"/>
  <c r="Q18" i="35"/>
  <c r="O36" i="35"/>
  <c r="J108" i="35"/>
  <c r="F175" i="35" s="1"/>
  <c r="O61" i="35"/>
  <c r="J133" i="35"/>
  <c r="F200" i="35" s="1"/>
  <c r="K125" i="35"/>
  <c r="G192" i="35" s="1"/>
  <c r="Q53" i="35"/>
  <c r="Q25" i="35"/>
  <c r="K97" i="35"/>
  <c r="G164" i="35" s="1"/>
  <c r="Q44" i="35"/>
  <c r="K116" i="35"/>
  <c r="G183" i="35" s="1"/>
  <c r="K117" i="35"/>
  <c r="G184" i="35" s="1"/>
  <c r="Q45" i="35"/>
  <c r="K96" i="35"/>
  <c r="G163" i="35" s="1"/>
  <c r="Q24" i="35"/>
  <c r="J96" i="35"/>
  <c r="F163" i="35" s="1"/>
  <c r="O24" i="35"/>
  <c r="G100" i="35"/>
  <c r="C167" i="35" s="1"/>
  <c r="H132" i="35"/>
  <c r="D199" i="35" s="1"/>
  <c r="I100" i="35"/>
  <c r="E167" i="35" s="1"/>
  <c r="I125" i="35"/>
  <c r="E192" i="35" s="1"/>
  <c r="H120" i="35"/>
  <c r="D187" i="35" s="1"/>
  <c r="I120" i="35"/>
  <c r="E187" i="35" s="1"/>
  <c r="I109" i="35"/>
  <c r="E176" i="35" s="1"/>
  <c r="H90" i="35"/>
  <c r="D157" i="35" s="1"/>
  <c r="J105" i="35"/>
  <c r="F172" i="35" s="1"/>
  <c r="O56" i="35"/>
  <c r="I92" i="35"/>
  <c r="E159" i="35" s="1"/>
  <c r="I112" i="35"/>
  <c r="E179" i="35" s="1"/>
  <c r="G12" i="5"/>
  <c r="F27" i="10"/>
  <c r="K89" i="35" l="1"/>
  <c r="G156" i="35" s="1"/>
  <c r="Q17" i="35"/>
  <c r="K88" i="35"/>
  <c r="G155" i="35" s="1"/>
  <c r="Q16" i="35"/>
  <c r="T20" i="35"/>
  <c r="C17" i="25"/>
  <c r="C61" i="25" s="1"/>
  <c r="T21" i="35" l="1"/>
  <c r="C18" i="25"/>
  <c r="V48" i="34"/>
  <c r="V51" i="34" s="1"/>
  <c r="X51" i="34" s="1"/>
  <c r="V47" i="34"/>
  <c r="X47" i="34" s="1"/>
  <c r="W47" i="34"/>
  <c r="Y47" i="34" s="1"/>
  <c r="T22" i="35" l="1"/>
  <c r="C20" i="25"/>
  <c r="C55" i="25"/>
  <c r="V50" i="34"/>
  <c r="W48" i="34"/>
  <c r="W49" i="34" s="1"/>
  <c r="W50" i="34" s="1"/>
  <c r="W51" i="34" s="1"/>
  <c r="Y51" i="34" s="1"/>
  <c r="V49" i="34"/>
  <c r="N26" i="34"/>
  <c r="M26" i="34"/>
  <c r="L26" i="34"/>
  <c r="K26" i="34"/>
  <c r="J26" i="34"/>
  <c r="J30" i="34"/>
  <c r="K30" i="34" s="1"/>
  <c r="L30" i="34" s="1"/>
  <c r="M30" i="34" s="1"/>
  <c r="N30" i="34" s="1"/>
  <c r="D120" i="34"/>
  <c r="D119" i="34"/>
  <c r="D118" i="34"/>
  <c r="D117" i="34"/>
  <c r="D115" i="34"/>
  <c r="D114" i="34"/>
  <c r="T7" i="34"/>
  <c r="U7" i="34" s="1"/>
  <c r="V7" i="34" s="1"/>
  <c r="W7" i="34" s="1"/>
  <c r="J16" i="34"/>
  <c r="K16" i="34" s="1"/>
  <c r="L16" i="34" s="1"/>
  <c r="M16" i="34" s="1"/>
  <c r="N16" i="34" s="1"/>
  <c r="J31" i="34"/>
  <c r="K31" i="34" s="1"/>
  <c r="L31" i="34" s="1"/>
  <c r="M31" i="34" s="1"/>
  <c r="N31" i="34" s="1"/>
  <c r="J6" i="34"/>
  <c r="K6" i="34" s="1"/>
  <c r="L6" i="34" s="1"/>
  <c r="M6" i="34" s="1"/>
  <c r="N6" i="34" s="1"/>
  <c r="T23" i="35" l="1"/>
  <c r="R47" i="34"/>
  <c r="M47" i="34"/>
  <c r="M49" i="34"/>
  <c r="M50" i="34" s="1"/>
  <c r="M51" i="34" s="1"/>
  <c r="J105" i="34"/>
  <c r="I105" i="34"/>
  <c r="H105" i="34"/>
  <c r="J104" i="34"/>
  <c r="I104" i="34"/>
  <c r="H104" i="34"/>
  <c r="J103" i="34"/>
  <c r="I103" i="34"/>
  <c r="H103" i="34"/>
  <c r="J102" i="34"/>
  <c r="I102" i="34"/>
  <c r="H102" i="34"/>
  <c r="J101" i="34"/>
  <c r="I101" i="34"/>
  <c r="H101" i="34"/>
  <c r="J100" i="34"/>
  <c r="I100" i="34"/>
  <c r="H100" i="34"/>
  <c r="J99" i="34"/>
  <c r="I99" i="34"/>
  <c r="H99" i="34"/>
  <c r="J98" i="34"/>
  <c r="I98" i="34"/>
  <c r="H98" i="34"/>
  <c r="J97" i="34"/>
  <c r="I97" i="34"/>
  <c r="H97" i="34"/>
  <c r="J96" i="34"/>
  <c r="I96" i="34"/>
  <c r="H96" i="34"/>
  <c r="J95" i="34"/>
  <c r="I95" i="34"/>
  <c r="H95" i="34"/>
  <c r="J94" i="34"/>
  <c r="I94" i="34"/>
  <c r="H94" i="34"/>
  <c r="J89" i="34"/>
  <c r="I89" i="34"/>
  <c r="H89" i="34"/>
  <c r="J88" i="34"/>
  <c r="J91" i="34" s="1"/>
  <c r="P50" i="34" s="1"/>
  <c r="Y50" i="34" s="1"/>
  <c r="I88" i="34"/>
  <c r="H88" i="34"/>
  <c r="H87" i="34"/>
  <c r="K87" i="34" s="1"/>
  <c r="H86" i="34"/>
  <c r="K86" i="34" s="1"/>
  <c r="H85" i="34"/>
  <c r="K85" i="34" s="1"/>
  <c r="H84" i="34"/>
  <c r="K84" i="34" s="1"/>
  <c r="H83" i="34"/>
  <c r="K83" i="34" s="1"/>
  <c r="H82" i="34"/>
  <c r="K82" i="34" s="1"/>
  <c r="H81" i="34"/>
  <c r="K81" i="34" s="1"/>
  <c r="H80" i="34"/>
  <c r="K80" i="34" s="1"/>
  <c r="H79" i="34"/>
  <c r="K79" i="34" s="1"/>
  <c r="H78" i="34"/>
  <c r="J73" i="34"/>
  <c r="I73" i="34"/>
  <c r="H73" i="34"/>
  <c r="J72" i="34"/>
  <c r="J75" i="34" s="1"/>
  <c r="P49" i="34" s="1"/>
  <c r="Y49" i="34" s="1"/>
  <c r="I72" i="34"/>
  <c r="H72" i="34"/>
  <c r="H71" i="34"/>
  <c r="K71" i="34" s="1"/>
  <c r="H70" i="34"/>
  <c r="K70" i="34" s="1"/>
  <c r="H69" i="34"/>
  <c r="K69" i="34" s="1"/>
  <c r="H68" i="34"/>
  <c r="K68" i="34" s="1"/>
  <c r="H67" i="34"/>
  <c r="K67" i="34" s="1"/>
  <c r="H66" i="34"/>
  <c r="K66" i="34" s="1"/>
  <c r="H65" i="34"/>
  <c r="K65" i="34" s="1"/>
  <c r="H64" i="34"/>
  <c r="K64" i="34" s="1"/>
  <c r="H63" i="34"/>
  <c r="K63" i="34" s="1"/>
  <c r="H62" i="34"/>
  <c r="J57" i="34"/>
  <c r="I57" i="34"/>
  <c r="H57" i="34"/>
  <c r="J56" i="34"/>
  <c r="I56" i="34"/>
  <c r="H56" i="34"/>
  <c r="J55" i="34"/>
  <c r="I55" i="34"/>
  <c r="H55" i="34"/>
  <c r="H54" i="34"/>
  <c r="K54" i="34" s="1"/>
  <c r="H53" i="34"/>
  <c r="K53" i="34" s="1"/>
  <c r="H52" i="34"/>
  <c r="K52" i="34" s="1"/>
  <c r="H51" i="34"/>
  <c r="K51" i="34" s="1"/>
  <c r="H50" i="34"/>
  <c r="K50" i="34" s="1"/>
  <c r="H49" i="34"/>
  <c r="K49" i="34" s="1"/>
  <c r="H48" i="34"/>
  <c r="K48" i="34" s="1"/>
  <c r="H47" i="34"/>
  <c r="K47" i="34" s="1"/>
  <c r="H46" i="34"/>
  <c r="K46" i="34" s="1"/>
  <c r="K73" i="34" l="1"/>
  <c r="K99" i="34"/>
  <c r="K89" i="34"/>
  <c r="J107" i="34"/>
  <c r="K100" i="34"/>
  <c r="K104" i="34"/>
  <c r="I59" i="34"/>
  <c r="H75" i="34"/>
  <c r="N49" i="34" s="1"/>
  <c r="H91" i="34"/>
  <c r="N50" i="34" s="1"/>
  <c r="H107" i="34"/>
  <c r="N51" i="34" s="1"/>
  <c r="K102" i="34"/>
  <c r="T24" i="35"/>
  <c r="H59" i="34"/>
  <c r="J59" i="34"/>
  <c r="P48" i="34" s="1"/>
  <c r="K62" i="34"/>
  <c r="I75" i="34"/>
  <c r="O49" i="34" s="1"/>
  <c r="X49" i="34" s="1"/>
  <c r="I91" i="34"/>
  <c r="O50" i="34" s="1"/>
  <c r="X50" i="34" s="1"/>
  <c r="I107" i="34"/>
  <c r="K103" i="34"/>
  <c r="K105" i="34"/>
  <c r="W46" i="34"/>
  <c r="Y46" i="34" s="1"/>
  <c r="V46" i="34"/>
  <c r="X46" i="34" s="1"/>
  <c r="R48" i="34"/>
  <c r="K56" i="34"/>
  <c r="K78" i="34"/>
  <c r="K96" i="34"/>
  <c r="K98" i="34"/>
  <c r="K101" i="34"/>
  <c r="K57" i="34"/>
  <c r="K95" i="34"/>
  <c r="K97" i="34"/>
  <c r="K55" i="34"/>
  <c r="K72" i="34"/>
  <c r="K88" i="34"/>
  <c r="K94" i="34"/>
  <c r="Q49" i="34" l="1"/>
  <c r="K75" i="34"/>
  <c r="N53" i="34"/>
  <c r="N54" i="34" s="1"/>
  <c r="Q50" i="34"/>
  <c r="K107" i="34"/>
  <c r="Q51" i="34" s="1"/>
  <c r="R51" i="34" s="1"/>
  <c r="T25" i="35"/>
  <c r="O48" i="34"/>
  <c r="Y48" i="34"/>
  <c r="P53" i="34"/>
  <c r="R50" i="34"/>
  <c r="K91" i="34"/>
  <c r="K59" i="34"/>
  <c r="R49" i="34"/>
  <c r="XFD25" i="34"/>
  <c r="I26" i="34"/>
  <c r="I7" i="34"/>
  <c r="I25" i="34"/>
  <c r="H28" i="34"/>
  <c r="H18" i="34"/>
  <c r="H10" i="34"/>
  <c r="R53" i="34" l="1"/>
  <c r="T26" i="35"/>
  <c r="X48" i="34"/>
  <c r="O53" i="34"/>
  <c r="A10" i="30"/>
  <c r="A6" i="30"/>
  <c r="A11" i="30" s="1"/>
  <c r="G53" i="4"/>
  <c r="N16" i="13" l="1"/>
  <c r="G57" i="36"/>
  <c r="T27" i="35"/>
  <c r="F33" i="24"/>
  <c r="G59" i="36" l="1"/>
  <c r="H57" i="36"/>
  <c r="H59" i="36" s="1"/>
  <c r="T28" i="35"/>
  <c r="A89" i="30"/>
  <c r="T29" i="35" l="1"/>
  <c r="A16" i="30"/>
  <c r="A44" i="30"/>
  <c r="A43" i="30"/>
  <c r="D88" i="30"/>
  <c r="C88" i="30"/>
  <c r="B88" i="30"/>
  <c r="E73" i="30"/>
  <c r="G12" i="20"/>
  <c r="G11" i="20"/>
  <c r="G10" i="20"/>
  <c r="G9" i="20"/>
  <c r="F83" i="6"/>
  <c r="E74" i="30" l="1"/>
  <c r="F74" i="30" s="1"/>
  <c r="F73" i="30"/>
  <c r="T30" i="35"/>
  <c r="A17" i="30"/>
  <c r="A39" i="30"/>
  <c r="D89" i="30"/>
  <c r="D90" i="30" s="1"/>
  <c r="A90" i="30"/>
  <c r="G18" i="14"/>
  <c r="G46" i="14"/>
  <c r="E75" i="30" l="1"/>
  <c r="F75" i="30" s="1"/>
  <c r="A91" i="30"/>
  <c r="A45" i="30" s="1"/>
  <c r="A46" i="30" s="1"/>
  <c r="T31" i="35"/>
  <c r="G36" i="2"/>
  <c r="I36" i="2"/>
  <c r="F36" i="2"/>
  <c r="I29" i="34" s="1"/>
  <c r="M20" i="2"/>
  <c r="C18" i="11" s="1"/>
  <c r="M19" i="2"/>
  <c r="M18" i="2"/>
  <c r="M17" i="2"/>
  <c r="C15" i="11" s="1"/>
  <c r="C10" i="11"/>
  <c r="M11" i="2"/>
  <c r="C9" i="11" s="1"/>
  <c r="C8" i="11"/>
  <c r="E76" i="30" l="1"/>
  <c r="F76" i="30" s="1"/>
  <c r="C16" i="11"/>
  <c r="F16" i="11" s="1"/>
  <c r="H16" i="11" s="1"/>
  <c r="F98" i="6" s="1"/>
  <c r="C17" i="11"/>
  <c r="F17" i="11" s="1"/>
  <c r="F18" i="11"/>
  <c r="H18" i="11" s="1"/>
  <c r="F100" i="6"/>
  <c r="N32" i="13" s="1"/>
  <c r="J29" i="34"/>
  <c r="T32" i="35"/>
  <c r="E77" i="30"/>
  <c r="F77" i="30" s="1"/>
  <c r="K59" i="13"/>
  <c r="F47" i="11"/>
  <c r="H17" i="11" l="1"/>
  <c r="F99" i="6" s="1"/>
  <c r="N30" i="13"/>
  <c r="J98" i="6"/>
  <c r="U39" i="13"/>
  <c r="I98" i="6"/>
  <c r="I100" i="6"/>
  <c r="U41" i="13"/>
  <c r="J100" i="6"/>
  <c r="H47" i="11"/>
  <c r="F127" i="6" s="1"/>
  <c r="T33" i="35"/>
  <c r="E78" i="30"/>
  <c r="F78" i="30" s="1"/>
  <c r="L281" i="21"/>
  <c r="G281" i="21"/>
  <c r="L254" i="21"/>
  <c r="L255" i="21"/>
  <c r="L256" i="21"/>
  <c r="G256" i="21"/>
  <c r="G255" i="21"/>
  <c r="G254" i="21"/>
  <c r="L257" i="21"/>
  <c r="G257" i="21"/>
  <c r="J226" i="21"/>
  <c r="L226" i="21"/>
  <c r="I226" i="21"/>
  <c r="J197" i="21"/>
  <c r="L197" i="21"/>
  <c r="J198" i="21"/>
  <c r="L198" i="21"/>
  <c r="J199" i="21"/>
  <c r="L199" i="21"/>
  <c r="J200" i="21"/>
  <c r="L200" i="21"/>
  <c r="I197" i="21"/>
  <c r="I198" i="21"/>
  <c r="I199" i="21"/>
  <c r="I200" i="21"/>
  <c r="J183" i="21"/>
  <c r="L183" i="21"/>
  <c r="G183" i="21"/>
  <c r="I183" i="21" s="1"/>
  <c r="L34" i="21"/>
  <c r="L33" i="21"/>
  <c r="L14" i="21"/>
  <c r="L13" i="21"/>
  <c r="E12" i="21"/>
  <c r="L12" i="21" s="1"/>
  <c r="E278" i="21"/>
  <c r="E279" i="21"/>
  <c r="E280" i="21"/>
  <c r="E265" i="21"/>
  <c r="E238" i="21"/>
  <c r="E242" i="21"/>
  <c r="E243" i="21"/>
  <c r="E245" i="21"/>
  <c r="E246" i="21"/>
  <c r="E247" i="21"/>
  <c r="E248" i="21"/>
  <c r="E249" i="21"/>
  <c r="E250" i="21"/>
  <c r="E251" i="21"/>
  <c r="E252" i="21"/>
  <c r="E206" i="21"/>
  <c r="E207" i="21"/>
  <c r="E208" i="21"/>
  <c r="E209" i="21"/>
  <c r="E211" i="21"/>
  <c r="E212" i="21"/>
  <c r="E216" i="21"/>
  <c r="E217" i="21"/>
  <c r="E219" i="21"/>
  <c r="E220" i="21"/>
  <c r="E221" i="21"/>
  <c r="E222" i="21"/>
  <c r="E223" i="21"/>
  <c r="E224" i="21"/>
  <c r="E156" i="21"/>
  <c r="E157" i="21"/>
  <c r="E158" i="21"/>
  <c r="E159" i="21"/>
  <c r="E160" i="21"/>
  <c r="E161" i="21"/>
  <c r="E151" i="21"/>
  <c r="E152" i="21"/>
  <c r="E142" i="21"/>
  <c r="E143" i="21"/>
  <c r="E144" i="21"/>
  <c r="E145" i="21"/>
  <c r="E146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L117" i="21" s="1"/>
  <c r="L118" i="21"/>
  <c r="L120" i="21"/>
  <c r="L121" i="21"/>
  <c r="L122" i="21"/>
  <c r="L124" i="21"/>
  <c r="L125" i="21"/>
  <c r="G117" i="21"/>
  <c r="G118" i="21"/>
  <c r="G119" i="21"/>
  <c r="G120" i="21"/>
  <c r="G121" i="21"/>
  <c r="G122" i="21"/>
  <c r="G123" i="21"/>
  <c r="L123" i="21"/>
  <c r="G124" i="21"/>
  <c r="G125" i="21"/>
  <c r="G126" i="21"/>
  <c r="L119" i="21"/>
  <c r="E75" i="21"/>
  <c r="E76" i="21"/>
  <c r="E77" i="21"/>
  <c r="E78" i="21"/>
  <c r="E79" i="21"/>
  <c r="E80" i="21"/>
  <c r="L80" i="21" s="1"/>
  <c r="E81" i="21"/>
  <c r="J81" i="21" s="1"/>
  <c r="E82" i="21"/>
  <c r="J82" i="21" s="1"/>
  <c r="E83" i="21"/>
  <c r="J83" i="21" s="1"/>
  <c r="E84" i="21"/>
  <c r="L84" i="21" s="1"/>
  <c r="G80" i="21"/>
  <c r="I80" i="21" s="1"/>
  <c r="G81" i="21"/>
  <c r="I81" i="21" s="1"/>
  <c r="G82" i="21"/>
  <c r="I82" i="21" s="1"/>
  <c r="G83" i="21"/>
  <c r="I83" i="21" s="1"/>
  <c r="G84" i="21"/>
  <c r="I84" i="21" s="1"/>
  <c r="G12" i="21"/>
  <c r="I12" i="21" s="1"/>
  <c r="G13" i="21"/>
  <c r="I13" i="21" s="1"/>
  <c r="G14" i="21"/>
  <c r="I14" i="21" s="1"/>
  <c r="G15" i="21"/>
  <c r="I15" i="21" s="1"/>
  <c r="G16" i="21"/>
  <c r="I16" i="21" s="1"/>
  <c r="G17" i="21"/>
  <c r="I17" i="21" s="1"/>
  <c r="G18" i="21"/>
  <c r="I18" i="21" s="1"/>
  <c r="G19" i="21"/>
  <c r="I19" i="21" s="1"/>
  <c r="G20" i="21"/>
  <c r="I20" i="21" s="1"/>
  <c r="G21" i="21"/>
  <c r="I21" i="21" s="1"/>
  <c r="G22" i="21"/>
  <c r="G23" i="21"/>
  <c r="I23" i="21" s="1"/>
  <c r="G24" i="21"/>
  <c r="I24" i="21" s="1"/>
  <c r="G25" i="21"/>
  <c r="I25" i="21" s="1"/>
  <c r="G26" i="21"/>
  <c r="I26" i="21" s="1"/>
  <c r="G27" i="21"/>
  <c r="I27" i="21" s="1"/>
  <c r="G28" i="21"/>
  <c r="I28" i="21" s="1"/>
  <c r="G29" i="21"/>
  <c r="I29" i="21" s="1"/>
  <c r="G30" i="21"/>
  <c r="I30" i="21" s="1"/>
  <c r="G31" i="21"/>
  <c r="I31" i="21" s="1"/>
  <c r="G32" i="21"/>
  <c r="I32" i="21" s="1"/>
  <c r="G33" i="21"/>
  <c r="I33" i="21" s="1"/>
  <c r="G34" i="21"/>
  <c r="I34" i="21" s="1"/>
  <c r="G35" i="21"/>
  <c r="I35" i="21" s="1"/>
  <c r="G36" i="21"/>
  <c r="I36" i="21" s="1"/>
  <c r="G37" i="21"/>
  <c r="I37" i="21" s="1"/>
  <c r="G38" i="21"/>
  <c r="I38" i="21" s="1"/>
  <c r="G39" i="21"/>
  <c r="I39" i="21" s="1"/>
  <c r="G40" i="21"/>
  <c r="I40" i="21" s="1"/>
  <c r="G41" i="21"/>
  <c r="I41" i="21" s="1"/>
  <c r="G42" i="21"/>
  <c r="I42" i="21" s="1"/>
  <c r="G43" i="21"/>
  <c r="I43" i="21" s="1"/>
  <c r="G44" i="21"/>
  <c r="I44" i="21" s="1"/>
  <c r="G45" i="21"/>
  <c r="I45" i="21" s="1"/>
  <c r="G46" i="21"/>
  <c r="I46" i="21" s="1"/>
  <c r="G47" i="21"/>
  <c r="I47" i="21" s="1"/>
  <c r="G48" i="21"/>
  <c r="I48" i="21" s="1"/>
  <c r="G49" i="21"/>
  <c r="I49" i="21" s="1"/>
  <c r="G50" i="21"/>
  <c r="I50" i="21" s="1"/>
  <c r="G51" i="21"/>
  <c r="I51" i="21" s="1"/>
  <c r="G52" i="21"/>
  <c r="I52" i="21" s="1"/>
  <c r="I53" i="21"/>
  <c r="G54" i="21"/>
  <c r="I54" i="21" s="1"/>
  <c r="G55" i="21"/>
  <c r="I55" i="21" s="1"/>
  <c r="G56" i="21"/>
  <c r="I56" i="21" s="1"/>
  <c r="G57" i="21"/>
  <c r="I57" i="21" s="1"/>
  <c r="G58" i="21"/>
  <c r="I58" i="21" s="1"/>
  <c r="G59" i="21"/>
  <c r="I59" i="21" s="1"/>
  <c r="G60" i="21"/>
  <c r="I60" i="21" s="1"/>
  <c r="G61" i="21"/>
  <c r="I61" i="21" s="1"/>
  <c r="G62" i="21"/>
  <c r="I62" i="21" s="1"/>
  <c r="G63" i="21"/>
  <c r="I63" i="21" s="1"/>
  <c r="G64" i="21"/>
  <c r="I64" i="21" s="1"/>
  <c r="G65" i="21"/>
  <c r="I65" i="21" s="1"/>
  <c r="G66" i="21"/>
  <c r="I66" i="21" s="1"/>
  <c r="G67" i="21"/>
  <c r="I67" i="21" s="1"/>
  <c r="E15" i="21"/>
  <c r="E16" i="21"/>
  <c r="L17" i="21"/>
  <c r="E18" i="21"/>
  <c r="E19" i="21"/>
  <c r="E20" i="21"/>
  <c r="L21" i="21"/>
  <c r="E23" i="21"/>
  <c r="L23" i="21" s="1"/>
  <c r="E24" i="21"/>
  <c r="L24" i="21" s="1"/>
  <c r="E25" i="21"/>
  <c r="L25" i="21" s="1"/>
  <c r="E26" i="21"/>
  <c r="L26" i="21" s="1"/>
  <c r="E27" i="21"/>
  <c r="L27" i="21" s="1"/>
  <c r="E28" i="21"/>
  <c r="L28" i="21" s="1"/>
  <c r="E29" i="21"/>
  <c r="E30" i="21"/>
  <c r="L30" i="21" s="1"/>
  <c r="E31" i="21"/>
  <c r="L31" i="21" s="1"/>
  <c r="E32" i="21"/>
  <c r="L32" i="21" s="1"/>
  <c r="E35" i="21"/>
  <c r="L35" i="21" s="1"/>
  <c r="E36" i="21"/>
  <c r="L36" i="21" s="1"/>
  <c r="E37" i="21"/>
  <c r="L37" i="21" s="1"/>
  <c r="E38" i="21"/>
  <c r="L38" i="21" s="1"/>
  <c r="E39" i="21"/>
  <c r="L39" i="21" s="1"/>
  <c r="E40" i="21"/>
  <c r="L40" i="21" s="1"/>
  <c r="E41" i="21"/>
  <c r="L41" i="21" s="1"/>
  <c r="E42" i="21"/>
  <c r="L42" i="21" s="1"/>
  <c r="E43" i="21"/>
  <c r="L43" i="21" s="1"/>
  <c r="E44" i="21"/>
  <c r="L44" i="21" s="1"/>
  <c r="E45" i="21"/>
  <c r="L45" i="21" s="1"/>
  <c r="E46" i="21"/>
  <c r="L46" i="21" s="1"/>
  <c r="E47" i="21"/>
  <c r="L47" i="21" s="1"/>
  <c r="E48" i="21"/>
  <c r="L48" i="21" s="1"/>
  <c r="E49" i="21"/>
  <c r="L49" i="21" s="1"/>
  <c r="E50" i="21"/>
  <c r="L50" i="21" s="1"/>
  <c r="E51" i="21"/>
  <c r="L51" i="21" s="1"/>
  <c r="E52" i="21"/>
  <c r="L52" i="21" s="1"/>
  <c r="E53" i="21"/>
  <c r="L53" i="21" s="1"/>
  <c r="E54" i="21"/>
  <c r="L54" i="21" s="1"/>
  <c r="E55" i="21"/>
  <c r="L55" i="21" s="1"/>
  <c r="E56" i="21"/>
  <c r="L56" i="21" s="1"/>
  <c r="E57" i="21"/>
  <c r="L57" i="21" s="1"/>
  <c r="E58" i="21"/>
  <c r="L58" i="21" s="1"/>
  <c r="E59" i="21"/>
  <c r="L59" i="21" s="1"/>
  <c r="E60" i="21"/>
  <c r="L60" i="21" s="1"/>
  <c r="L61" i="21"/>
  <c r="L62" i="21"/>
  <c r="L63" i="21"/>
  <c r="L64" i="21"/>
  <c r="L65" i="21"/>
  <c r="L66" i="21"/>
  <c r="L67" i="21"/>
  <c r="N31" i="13" l="1"/>
  <c r="I99" i="6"/>
  <c r="J99" i="6"/>
  <c r="E233" i="21"/>
  <c r="L29" i="21"/>
  <c r="E70" i="21"/>
  <c r="I22" i="21"/>
  <c r="L20" i="21"/>
  <c r="L19" i="21"/>
  <c r="L18" i="21"/>
  <c r="L16" i="21"/>
  <c r="L15" i="21"/>
  <c r="L22" i="21"/>
  <c r="N59" i="13"/>
  <c r="I127" i="6"/>
  <c r="J127" i="6"/>
  <c r="T34" i="35"/>
  <c r="E79" i="30"/>
  <c r="F79" i="30" s="1"/>
  <c r="L82" i="21"/>
  <c r="L81" i="21"/>
  <c r="J47" i="21"/>
  <c r="J31" i="21"/>
  <c r="J15" i="21"/>
  <c r="J53" i="21"/>
  <c r="J37" i="21"/>
  <c r="J21" i="21"/>
  <c r="J63" i="21"/>
  <c r="J55" i="21"/>
  <c r="J39" i="21"/>
  <c r="J23" i="21"/>
  <c r="J61" i="21"/>
  <c r="J45" i="21"/>
  <c r="J29" i="21"/>
  <c r="J13" i="21"/>
  <c r="J67" i="21"/>
  <c r="J59" i="21"/>
  <c r="J51" i="21"/>
  <c r="J43" i="21"/>
  <c r="J35" i="21"/>
  <c r="J27" i="21"/>
  <c r="J19" i="21"/>
  <c r="L126" i="21"/>
  <c r="J65" i="21"/>
  <c r="J57" i="21"/>
  <c r="J49" i="21"/>
  <c r="J41" i="21"/>
  <c r="J33" i="21"/>
  <c r="J25" i="21"/>
  <c r="J17" i="21"/>
  <c r="J84" i="21"/>
  <c r="J80" i="21"/>
  <c r="J66" i="21"/>
  <c r="J64" i="21"/>
  <c r="J62" i="21"/>
  <c r="J60" i="21"/>
  <c r="J58" i="21"/>
  <c r="J56" i="21"/>
  <c r="J54" i="21"/>
  <c r="J52" i="21"/>
  <c r="J50" i="21"/>
  <c r="J48" i="21"/>
  <c r="J46" i="21"/>
  <c r="J44" i="21"/>
  <c r="J42" i="21"/>
  <c r="J40" i="21"/>
  <c r="J38" i="21"/>
  <c r="J36" i="21"/>
  <c r="J34" i="21"/>
  <c r="J32" i="21"/>
  <c r="J30" i="21"/>
  <c r="J28" i="21"/>
  <c r="J26" i="21"/>
  <c r="J24" i="21"/>
  <c r="J22" i="21"/>
  <c r="J20" i="21"/>
  <c r="J18" i="21"/>
  <c r="J16" i="21"/>
  <c r="J14" i="21"/>
  <c r="J12" i="21"/>
  <c r="L83" i="21"/>
  <c r="T35" i="35" l="1"/>
  <c r="E80" i="30"/>
  <c r="F80" i="30" s="1"/>
  <c r="U9" i="13"/>
  <c r="T36" i="35" l="1"/>
  <c r="E81" i="30"/>
  <c r="F81" i="30" s="1"/>
  <c r="C22" i="32"/>
  <c r="D16" i="32"/>
  <c r="E16" i="32" s="1"/>
  <c r="F16" i="32"/>
  <c r="F84" i="6"/>
  <c r="J84" i="6" s="1"/>
  <c r="T37" i="35" l="1"/>
  <c r="E82" i="30"/>
  <c r="F82" i="30" s="1"/>
  <c r="N12" i="13"/>
  <c r="G38" i="4"/>
  <c r="I84" i="6"/>
  <c r="H38" i="4" l="1"/>
  <c r="E37" i="19" s="1"/>
  <c r="G43" i="36"/>
  <c r="H43" i="36" s="1"/>
  <c r="T38" i="35"/>
  <c r="A15" i="34"/>
  <c r="E83" i="30"/>
  <c r="F83" i="30" s="1"/>
  <c r="I38" i="4" l="1"/>
  <c r="J38" i="4" s="1"/>
  <c r="K38" i="4" s="1"/>
  <c r="L38" i="4" s="1"/>
  <c r="M38" i="4" s="1"/>
  <c r="N38" i="4" s="1"/>
  <c r="O38" i="4" s="1"/>
  <c r="P38" i="4" s="1"/>
  <c r="Q38" i="4" s="1"/>
  <c r="R38" i="4" s="1"/>
  <c r="F264" i="6"/>
  <c r="G56" i="19"/>
  <c r="T39" i="35"/>
  <c r="E84" i="30"/>
  <c r="F84" i="30" s="1"/>
  <c r="G406" i="9"/>
  <c r="G287" i="9"/>
  <c r="H238" i="9"/>
  <c r="H229" i="9"/>
  <c r="G229" i="9" s="1"/>
  <c r="H220" i="9"/>
  <c r="H211" i="9"/>
  <c r="G211" i="9" s="1"/>
  <c r="K202" i="9"/>
  <c r="K229" i="9" s="1"/>
  <c r="I202" i="9"/>
  <c r="I211" i="9" s="1"/>
  <c r="I220" i="9" s="1"/>
  <c r="G202" i="9"/>
  <c r="H202" i="9" s="1"/>
  <c r="J202" i="9" l="1"/>
  <c r="J220" i="9"/>
  <c r="L220" i="9" s="1"/>
  <c r="I229" i="9"/>
  <c r="I238" i="9" s="1"/>
  <c r="I247" i="9" s="1"/>
  <c r="I256" i="9" s="1"/>
  <c r="K211" i="9"/>
  <c r="K220" i="9" s="1"/>
  <c r="K238" i="9"/>
  <c r="J211" i="9"/>
  <c r="T40" i="35"/>
  <c r="L202" i="9"/>
  <c r="E85" i="30"/>
  <c r="F85" i="30" s="1"/>
  <c r="F193" i="9"/>
  <c r="F256" i="9" s="1"/>
  <c r="L211" i="9" l="1"/>
  <c r="J229" i="9"/>
  <c r="L229" i="9" s="1"/>
  <c r="J238" i="9"/>
  <c r="L238" i="9" s="1"/>
  <c r="K247" i="9"/>
  <c r="K256" i="9" s="1"/>
  <c r="F247" i="9"/>
  <c r="H247" i="9" s="1"/>
  <c r="H256" i="9"/>
  <c r="G193" i="9"/>
  <c r="H193" i="9" s="1"/>
  <c r="J193" i="9" s="1"/>
  <c r="L193" i="9" s="1"/>
  <c r="T41" i="35"/>
  <c r="E86" i="30"/>
  <c r="F86" i="30" s="1"/>
  <c r="F88" i="30" s="1"/>
  <c r="H82" i="9"/>
  <c r="G82" i="9" s="1"/>
  <c r="H69" i="9"/>
  <c r="G69" i="9" s="1"/>
  <c r="H56" i="9"/>
  <c r="H43" i="9"/>
  <c r="G43" i="9" s="1"/>
  <c r="K30" i="9"/>
  <c r="K43" i="9" s="1"/>
  <c r="K56" i="9" s="1"/>
  <c r="I30" i="9"/>
  <c r="I43" i="9" s="1"/>
  <c r="I56" i="9" s="1"/>
  <c r="G30" i="9"/>
  <c r="H30" i="9" s="1"/>
  <c r="F17" i="9"/>
  <c r="K69" i="9" l="1"/>
  <c r="K82" i="9" s="1"/>
  <c r="K95" i="9" s="1"/>
  <c r="K108" i="9" s="1"/>
  <c r="J30" i="9"/>
  <c r="L30" i="9" s="1"/>
  <c r="G17" i="9"/>
  <c r="H17" i="9" s="1"/>
  <c r="J17" i="9" s="1"/>
  <c r="L17" i="9" s="1"/>
  <c r="F108" i="9"/>
  <c r="H108" i="9" s="1"/>
  <c r="G108" i="9" s="1"/>
  <c r="J56" i="9"/>
  <c r="L56" i="9" s="1"/>
  <c r="J247" i="9"/>
  <c r="L247" i="9" s="1"/>
  <c r="G247" i="9"/>
  <c r="J256" i="9"/>
  <c r="L256" i="9" s="1"/>
  <c r="G256" i="9"/>
  <c r="T42" i="35"/>
  <c r="J43" i="9"/>
  <c r="L43" i="9" s="1"/>
  <c r="I69" i="9"/>
  <c r="F95" i="9"/>
  <c r="H95" i="9" s="1"/>
  <c r="G95" i="9" s="1"/>
  <c r="T43" i="35" l="1"/>
  <c r="J69" i="9"/>
  <c r="L69" i="9" s="1"/>
  <c r="I82" i="9"/>
  <c r="E10" i="23"/>
  <c r="F10" i="23" s="1"/>
  <c r="T44" i="35" l="1"/>
  <c r="J82" i="9"/>
  <c r="L82" i="9" s="1"/>
  <c r="I95" i="9"/>
  <c r="F33" i="23"/>
  <c r="M29" i="23"/>
  <c r="N29" i="23"/>
  <c r="O29" i="23"/>
  <c r="P29" i="23"/>
  <c r="T45" i="35" l="1"/>
  <c r="I108" i="9"/>
  <c r="J108" i="9" s="1"/>
  <c r="L108" i="9" s="1"/>
  <c r="J95" i="9"/>
  <c r="L95" i="9" s="1"/>
  <c r="E36" i="3"/>
  <c r="T46" i="35" l="1"/>
  <c r="G8" i="13"/>
  <c r="F79" i="6" s="1"/>
  <c r="L179" i="21"/>
  <c r="L180" i="21"/>
  <c r="L203" i="21"/>
  <c r="L206" i="21"/>
  <c r="L210" i="21"/>
  <c r="L211" i="21"/>
  <c r="L212" i="21"/>
  <c r="L213" i="21"/>
  <c r="L214" i="21"/>
  <c r="L215" i="21"/>
  <c r="L216" i="21"/>
  <c r="L217" i="21"/>
  <c r="L218" i="21"/>
  <c r="L239" i="21"/>
  <c r="L240" i="21"/>
  <c r="L251" i="21"/>
  <c r="L265" i="21"/>
  <c r="L278" i="21"/>
  <c r="L279" i="21"/>
  <c r="L280" i="21"/>
  <c r="L168" i="21"/>
  <c r="L75" i="21"/>
  <c r="L76" i="21"/>
  <c r="L112" i="21"/>
  <c r="L140" i="21"/>
  <c r="L143" i="21"/>
  <c r="L144" i="21"/>
  <c r="L145" i="21"/>
  <c r="L152" i="21"/>
  <c r="L160" i="21"/>
  <c r="F22" i="32"/>
  <c r="C23" i="32"/>
  <c r="C25" i="32" s="1"/>
  <c r="C26" i="32" s="1"/>
  <c r="B23" i="32"/>
  <c r="B25" i="32" s="1"/>
  <c r="B26" i="32" s="1"/>
  <c r="F19" i="32"/>
  <c r="F15" i="32"/>
  <c r="D15" i="32"/>
  <c r="E15" i="32" s="1"/>
  <c r="F14" i="32"/>
  <c r="E14" i="32"/>
  <c r="D14" i="32"/>
  <c r="F13" i="32"/>
  <c r="D13" i="32"/>
  <c r="E13" i="32" s="1"/>
  <c r="F12" i="32"/>
  <c r="D12" i="32"/>
  <c r="E12" i="32" s="1"/>
  <c r="F11" i="32"/>
  <c r="D11" i="32"/>
  <c r="E11" i="32" s="1"/>
  <c r="A11" i="32"/>
  <c r="A12" i="32" s="1"/>
  <c r="A13" i="32" s="1"/>
  <c r="A14" i="32" s="1"/>
  <c r="A15" i="32" s="1"/>
  <c r="F10" i="32"/>
  <c r="D10" i="32"/>
  <c r="D22" i="32" l="1"/>
  <c r="E22" i="32" s="1"/>
  <c r="D20" i="32"/>
  <c r="E20" i="32" s="1"/>
  <c r="D19" i="32"/>
  <c r="J79" i="6"/>
  <c r="I79" i="6"/>
  <c r="E19" i="32"/>
  <c r="E10" i="32"/>
  <c r="T47" i="35"/>
  <c r="F23" i="32"/>
  <c r="F20" i="32"/>
  <c r="D23" i="32" l="1"/>
  <c r="D25" i="32" s="1"/>
  <c r="D26" i="32" s="1"/>
  <c r="T48" i="35"/>
  <c r="F25" i="32"/>
  <c r="D171" i="7"/>
  <c r="E23" i="32" l="1"/>
  <c r="T49" i="35"/>
  <c r="E25" i="32"/>
  <c r="G266" i="6" s="1"/>
  <c r="F8" i="31"/>
  <c r="D39" i="31"/>
  <c r="G8" i="31" s="1"/>
  <c r="G37" i="4" s="1"/>
  <c r="K70" i="16"/>
  <c r="K150" i="16" s="1"/>
  <c r="K228" i="16" s="1"/>
  <c r="B7" i="11"/>
  <c r="B89" i="6" s="1"/>
  <c r="B215" i="6" s="1"/>
  <c r="F8" i="11"/>
  <c r="H8" i="11" s="1"/>
  <c r="F9" i="11"/>
  <c r="F10" i="11"/>
  <c r="H10" i="11" s="1"/>
  <c r="F92" i="6" s="1"/>
  <c r="G253" i="21"/>
  <c r="G252" i="21"/>
  <c r="L253" i="21"/>
  <c r="L252" i="21"/>
  <c r="G225" i="21"/>
  <c r="I225" i="21" s="1"/>
  <c r="G224" i="21"/>
  <c r="I224" i="21" s="1"/>
  <c r="G223" i="21"/>
  <c r="I223" i="21" s="1"/>
  <c r="G222" i="21"/>
  <c r="I222" i="21" s="1"/>
  <c r="G221" i="21"/>
  <c r="I221" i="21" s="1"/>
  <c r="G220" i="21"/>
  <c r="I220" i="21" s="1"/>
  <c r="G219" i="21"/>
  <c r="I219" i="21" s="1"/>
  <c r="L220" i="21"/>
  <c r="L221" i="21"/>
  <c r="L222" i="21"/>
  <c r="L223" i="21"/>
  <c r="L224" i="21"/>
  <c r="L225" i="21"/>
  <c r="L219" i="21"/>
  <c r="G196" i="21"/>
  <c r="I196" i="21" s="1"/>
  <c r="G195" i="21"/>
  <c r="I195" i="21" s="1"/>
  <c r="G194" i="21"/>
  <c r="I194" i="21" s="1"/>
  <c r="E195" i="21"/>
  <c r="L195" i="21" s="1"/>
  <c r="E196" i="21"/>
  <c r="L196" i="21" s="1"/>
  <c r="E194" i="21"/>
  <c r="L194" i="21" s="1"/>
  <c r="E182" i="21"/>
  <c r="L182" i="21" s="1"/>
  <c r="E181" i="21"/>
  <c r="L181" i="21" s="1"/>
  <c r="G181" i="21"/>
  <c r="I181" i="21" s="1"/>
  <c r="G182" i="21"/>
  <c r="I182" i="21" s="1"/>
  <c r="G161" i="21"/>
  <c r="L161" i="21"/>
  <c r="G146" i="21"/>
  <c r="I146" i="21" s="1"/>
  <c r="L146" i="21"/>
  <c r="G116" i="21"/>
  <c r="G115" i="21"/>
  <c r="G114" i="21"/>
  <c r="G113" i="21"/>
  <c r="L114" i="21"/>
  <c r="L115" i="21"/>
  <c r="L116" i="21"/>
  <c r="L113" i="21"/>
  <c r="G79" i="21"/>
  <c r="I79" i="21" s="1"/>
  <c r="G78" i="21"/>
  <c r="I78" i="21" s="1"/>
  <c r="G77" i="21"/>
  <c r="I77" i="21" s="1"/>
  <c r="L78" i="21"/>
  <c r="L79" i="21"/>
  <c r="L77" i="21"/>
  <c r="F13" i="6"/>
  <c r="A12" i="30"/>
  <c r="G424" i="9"/>
  <c r="H424" i="9" s="1"/>
  <c r="J424" i="9" s="1"/>
  <c r="H351" i="9"/>
  <c r="G351" i="9" s="1"/>
  <c r="H352" i="9"/>
  <c r="G352" i="9" s="1"/>
  <c r="H353" i="9"/>
  <c r="G353" i="9" s="1"/>
  <c r="H355" i="9"/>
  <c r="G355" i="9" s="1"/>
  <c r="H356" i="9"/>
  <c r="G356" i="9" s="1"/>
  <c r="H357" i="9"/>
  <c r="G357" i="9" s="1"/>
  <c r="H358" i="9"/>
  <c r="G358" i="9" s="1"/>
  <c r="H359" i="9"/>
  <c r="G359" i="9" s="1"/>
  <c r="H360" i="9"/>
  <c r="G360" i="9" s="1"/>
  <c r="H361" i="9"/>
  <c r="G361" i="9" s="1"/>
  <c r="H362" i="9"/>
  <c r="G362" i="9" s="1"/>
  <c r="H350" i="9"/>
  <c r="G350" i="9" s="1"/>
  <c r="H239" i="9"/>
  <c r="H241" i="9"/>
  <c r="H242" i="9"/>
  <c r="H243" i="9"/>
  <c r="H237" i="9"/>
  <c r="G291" i="9"/>
  <c r="H291" i="9" s="1"/>
  <c r="G292" i="9"/>
  <c r="H292" i="9" s="1"/>
  <c r="G293" i="9"/>
  <c r="G295" i="9"/>
  <c r="H295" i="9" s="1"/>
  <c r="G296" i="9"/>
  <c r="H296" i="9" s="1"/>
  <c r="G297" i="9"/>
  <c r="H297" i="9" s="1"/>
  <c r="G298" i="9"/>
  <c r="H298" i="9" s="1"/>
  <c r="G299" i="9"/>
  <c r="H299" i="9" s="1"/>
  <c r="G300" i="9"/>
  <c r="H300" i="9" s="1"/>
  <c r="G301" i="9"/>
  <c r="H301" i="9" s="1"/>
  <c r="G302" i="9"/>
  <c r="H302" i="9" s="1"/>
  <c r="G290" i="9"/>
  <c r="H290" i="9" s="1"/>
  <c r="G203" i="9"/>
  <c r="H203" i="9" s="1"/>
  <c r="H204" i="9"/>
  <c r="G205" i="9"/>
  <c r="H205" i="9" s="1"/>
  <c r="G206" i="9"/>
  <c r="H206" i="9" s="1"/>
  <c r="G207" i="9"/>
  <c r="H207" i="9" s="1"/>
  <c r="G201" i="9"/>
  <c r="H201" i="9" s="1"/>
  <c r="G22" i="9"/>
  <c r="H22" i="9" s="1"/>
  <c r="G23" i="9"/>
  <c r="H23" i="9" s="1"/>
  <c r="G24" i="9"/>
  <c r="H24" i="9" s="1"/>
  <c r="G25" i="9"/>
  <c r="H25" i="9" s="1"/>
  <c r="G26" i="9"/>
  <c r="H26" i="9" s="1"/>
  <c r="G27" i="9"/>
  <c r="H27" i="9" s="1"/>
  <c r="G28" i="9"/>
  <c r="H28" i="9" s="1"/>
  <c r="G29" i="9"/>
  <c r="H29" i="9" s="1"/>
  <c r="G31" i="9"/>
  <c r="H31" i="9" s="1"/>
  <c r="G21" i="9"/>
  <c r="H21" i="9" s="1"/>
  <c r="H392" i="9"/>
  <c r="G392" i="9" s="1"/>
  <c r="H74" i="9"/>
  <c r="G74" i="9" s="1"/>
  <c r="H75" i="9"/>
  <c r="G75" i="9" s="1"/>
  <c r="H76" i="9"/>
  <c r="G76" i="9" s="1"/>
  <c r="H77" i="9"/>
  <c r="G77" i="9" s="1"/>
  <c r="H78" i="9"/>
  <c r="G78" i="9" s="1"/>
  <c r="H79" i="9"/>
  <c r="G79" i="9" s="1"/>
  <c r="H80" i="9"/>
  <c r="G80" i="9" s="1"/>
  <c r="H81" i="9"/>
  <c r="G81" i="9" s="1"/>
  <c r="H83" i="9"/>
  <c r="G83" i="9" s="1"/>
  <c r="H73" i="9"/>
  <c r="G73" i="9" s="1"/>
  <c r="H70" i="9"/>
  <c r="G70" i="9" s="1"/>
  <c r="H57" i="9"/>
  <c r="H44" i="9"/>
  <c r="G44" i="9" s="1"/>
  <c r="K31" i="9"/>
  <c r="K44" i="9" s="1"/>
  <c r="K57" i="9" s="1"/>
  <c r="I31" i="9"/>
  <c r="I70" i="9" s="1"/>
  <c r="J70" i="9" s="1"/>
  <c r="F18" i="9"/>
  <c r="F109" i="9" s="1"/>
  <c r="F44" i="11"/>
  <c r="F43" i="11"/>
  <c r="H43" i="11" s="1"/>
  <c r="F123" i="6" s="1"/>
  <c r="M22" i="2"/>
  <c r="M23" i="2"/>
  <c r="M24" i="2"/>
  <c r="C22" i="11" s="1"/>
  <c r="M32" i="2"/>
  <c r="M33" i="2"/>
  <c r="M40" i="2"/>
  <c r="D91" i="4"/>
  <c r="H13" i="4"/>
  <c r="E12" i="19" s="1"/>
  <c r="I68" i="3"/>
  <c r="I69" i="3"/>
  <c r="I70" i="3"/>
  <c r="J70" i="3"/>
  <c r="K70" i="3"/>
  <c r="L70" i="3"/>
  <c r="M70" i="3"/>
  <c r="N70" i="3"/>
  <c r="O70" i="3"/>
  <c r="I49" i="4"/>
  <c r="O89" i="3"/>
  <c r="O69" i="3" s="1"/>
  <c r="P49" i="4" s="1"/>
  <c r="N89" i="3"/>
  <c r="N69" i="3" s="1"/>
  <c r="M89" i="3"/>
  <c r="M69" i="3" s="1"/>
  <c r="L89" i="3"/>
  <c r="L69" i="3" s="1"/>
  <c r="K89" i="3"/>
  <c r="K69" i="3" s="1"/>
  <c r="J89" i="3"/>
  <c r="J69" i="3" s="1"/>
  <c r="O88" i="3"/>
  <c r="O68" i="3" s="1"/>
  <c r="N88" i="3"/>
  <c r="N68" i="3" s="1"/>
  <c r="M88" i="3"/>
  <c r="M68" i="3" s="1"/>
  <c r="L88" i="3"/>
  <c r="L68" i="3" s="1"/>
  <c r="K88" i="3"/>
  <c r="K68" i="3" s="1"/>
  <c r="R101" i="36" s="1"/>
  <c r="J88" i="3"/>
  <c r="J68" i="3" s="1"/>
  <c r="F204" i="16"/>
  <c r="A168" i="16"/>
  <c r="C168" i="16" s="1"/>
  <c r="A169" i="16"/>
  <c r="C169" i="16" s="1"/>
  <c r="A170" i="16"/>
  <c r="C170" i="16" s="1"/>
  <c r="A171" i="16"/>
  <c r="C171" i="16" s="1"/>
  <c r="A172" i="16"/>
  <c r="C172" i="16" s="1"/>
  <c r="A173" i="16"/>
  <c r="C173" i="16" s="1"/>
  <c r="A174" i="16"/>
  <c r="C174" i="16" s="1"/>
  <c r="A175" i="16"/>
  <c r="C175" i="16" s="1"/>
  <c r="A176" i="16"/>
  <c r="C176" i="16" s="1"/>
  <c r="A177" i="16"/>
  <c r="C177" i="16" s="1"/>
  <c r="A178" i="16"/>
  <c r="C178" i="16" s="1"/>
  <c r="A179" i="16"/>
  <c r="C179" i="16" s="1"/>
  <c r="A180" i="16"/>
  <c r="C180" i="16" s="1"/>
  <c r="A181" i="16"/>
  <c r="C181" i="16" s="1"/>
  <c r="A182" i="16"/>
  <c r="C182" i="16" s="1"/>
  <c r="A183" i="16"/>
  <c r="C183" i="16" s="1"/>
  <c r="A184" i="16"/>
  <c r="C184" i="16" s="1"/>
  <c r="A185" i="16"/>
  <c r="C185" i="16" s="1"/>
  <c r="A186" i="16"/>
  <c r="C186" i="16" s="1"/>
  <c r="A187" i="16"/>
  <c r="C187" i="16" s="1"/>
  <c r="A188" i="16"/>
  <c r="C188" i="16" s="1"/>
  <c r="A189" i="16"/>
  <c r="C189" i="16" s="1"/>
  <c r="A190" i="16"/>
  <c r="C190" i="16" s="1"/>
  <c r="A191" i="16"/>
  <c r="C191" i="16" s="1"/>
  <c r="A192" i="16"/>
  <c r="C192" i="16" s="1"/>
  <c r="A193" i="16"/>
  <c r="C193" i="16" s="1"/>
  <c r="A194" i="16"/>
  <c r="C194" i="16" s="1"/>
  <c r="A195" i="16"/>
  <c r="C195" i="16" s="1"/>
  <c r="A196" i="16"/>
  <c r="C196" i="16" s="1"/>
  <c r="A197" i="16"/>
  <c r="C197" i="16" s="1"/>
  <c r="A198" i="16"/>
  <c r="C198" i="16" s="1"/>
  <c r="A199" i="16"/>
  <c r="C199" i="16" s="1"/>
  <c r="A200" i="16"/>
  <c r="C200" i="16" s="1"/>
  <c r="A201" i="16"/>
  <c r="C201" i="16" s="1"/>
  <c r="A202" i="16"/>
  <c r="C202" i="16" s="1"/>
  <c r="A203" i="16"/>
  <c r="C203" i="16" s="1"/>
  <c r="A204" i="16"/>
  <c r="C204" i="16" s="1"/>
  <c r="A205" i="16"/>
  <c r="C205" i="16" s="1"/>
  <c r="A206" i="16"/>
  <c r="C206" i="16" s="1"/>
  <c r="A207" i="16"/>
  <c r="C207" i="16" s="1"/>
  <c r="A208" i="16"/>
  <c r="C208" i="16" s="1"/>
  <c r="A209" i="16"/>
  <c r="C209" i="16" s="1"/>
  <c r="A210" i="16"/>
  <c r="C210" i="16" s="1"/>
  <c r="A211" i="16"/>
  <c r="C211" i="16" s="1"/>
  <c r="A212" i="16"/>
  <c r="C212" i="16" s="1"/>
  <c r="A213" i="16"/>
  <c r="C213" i="16" s="1"/>
  <c r="A214" i="16"/>
  <c r="C214" i="16" s="1"/>
  <c r="A215" i="16"/>
  <c r="C215" i="16" s="1"/>
  <c r="A216" i="16"/>
  <c r="C216" i="16" s="1"/>
  <c r="A217" i="16"/>
  <c r="C217" i="16" s="1"/>
  <c r="A218" i="16"/>
  <c r="C218" i="16" s="1"/>
  <c r="A219" i="16"/>
  <c r="C219" i="16" s="1"/>
  <c r="A220" i="16"/>
  <c r="C220" i="16" s="1"/>
  <c r="A221" i="16"/>
  <c r="C221" i="16" s="1"/>
  <c r="A222" i="16"/>
  <c r="C222" i="16" s="1"/>
  <c r="A223" i="16"/>
  <c r="C223" i="16" s="1"/>
  <c r="A224" i="16"/>
  <c r="A167" i="16"/>
  <c r="C167" i="16" s="1"/>
  <c r="G167" i="16" s="1"/>
  <c r="A166" i="16"/>
  <c r="C166" i="16" s="1"/>
  <c r="G166" i="16" s="1"/>
  <c r="C165" i="16"/>
  <c r="G165" i="16" s="1"/>
  <c r="F8" i="12"/>
  <c r="G8" i="12" s="1"/>
  <c r="L264" i="21"/>
  <c r="G278" i="21"/>
  <c r="E17" i="23"/>
  <c r="I65" i="29"/>
  <c r="D36" i="29"/>
  <c r="D35" i="29"/>
  <c r="D30" i="29"/>
  <c r="G66" i="16"/>
  <c r="O142" i="6"/>
  <c r="O205" i="6" s="1"/>
  <c r="H205" i="6" s="1"/>
  <c r="H79" i="6" s="1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83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8" i="7"/>
  <c r="G31" i="4"/>
  <c r="E35" i="3"/>
  <c r="J33" i="3"/>
  <c r="G11" i="28"/>
  <c r="G13" i="5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G15" i="5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J83" i="6"/>
  <c r="B116" i="34"/>
  <c r="D116" i="34" s="1"/>
  <c r="D122" i="34" s="1"/>
  <c r="F28" i="20"/>
  <c r="F30" i="20" s="1"/>
  <c r="F68" i="20"/>
  <c r="F76" i="20" s="1"/>
  <c r="F43" i="20"/>
  <c r="H9" i="20"/>
  <c r="H11" i="20"/>
  <c r="H12" i="20"/>
  <c r="F8" i="20"/>
  <c r="H8" i="20" s="1"/>
  <c r="F95" i="10"/>
  <c r="F96" i="10"/>
  <c r="F94" i="10"/>
  <c r="F91" i="10"/>
  <c r="H79" i="10"/>
  <c r="H80" i="10"/>
  <c r="H78" i="10"/>
  <c r="F83" i="10"/>
  <c r="G81" i="10"/>
  <c r="G83" i="10" s="1"/>
  <c r="F67" i="10"/>
  <c r="G59" i="10"/>
  <c r="H59" i="10"/>
  <c r="I59" i="10"/>
  <c r="J59" i="10"/>
  <c r="K59" i="10"/>
  <c r="F50" i="10"/>
  <c r="F51" i="10"/>
  <c r="F52" i="10"/>
  <c r="F53" i="10"/>
  <c r="F54" i="10"/>
  <c r="F55" i="10"/>
  <c r="F56" i="10"/>
  <c r="F57" i="10"/>
  <c r="F49" i="10"/>
  <c r="Q55" i="14"/>
  <c r="P55" i="14"/>
  <c r="O55" i="14"/>
  <c r="N55" i="14"/>
  <c r="M55" i="14"/>
  <c r="L55" i="14"/>
  <c r="K55" i="14"/>
  <c r="J55" i="14"/>
  <c r="I55" i="14"/>
  <c r="H55" i="14"/>
  <c r="G55" i="14"/>
  <c r="F55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Q42" i="14"/>
  <c r="Q43" i="14" s="1"/>
  <c r="P42" i="14"/>
  <c r="P43" i="14" s="1"/>
  <c r="O42" i="14"/>
  <c r="O43" i="14" s="1"/>
  <c r="N42" i="14"/>
  <c r="N43" i="14" s="1"/>
  <c r="M42" i="14"/>
  <c r="M43" i="14" s="1"/>
  <c r="L42" i="14"/>
  <c r="L43" i="14" s="1"/>
  <c r="K42" i="14"/>
  <c r="K43" i="14" s="1"/>
  <c r="J42" i="14"/>
  <c r="J43" i="14" s="1"/>
  <c r="I42" i="14"/>
  <c r="I43" i="14" s="1"/>
  <c r="H42" i="14"/>
  <c r="H43" i="14" s="1"/>
  <c r="G42" i="14"/>
  <c r="G43" i="14" s="1"/>
  <c r="F42" i="14"/>
  <c r="F43" i="14" s="1"/>
  <c r="G23" i="28"/>
  <c r="H27" i="28"/>
  <c r="I27" i="28" s="1"/>
  <c r="G37" i="28" s="1"/>
  <c r="G41" i="28" s="1"/>
  <c r="G42" i="28" s="1"/>
  <c r="H28" i="28"/>
  <c r="I28" i="28" s="1"/>
  <c r="H39" i="28" s="1"/>
  <c r="H41" i="28" s="1"/>
  <c r="H42" i="28" s="1"/>
  <c r="H29" i="28"/>
  <c r="I29" i="28" s="1"/>
  <c r="F38" i="28" s="1"/>
  <c r="F41" i="28" s="1"/>
  <c r="F42" i="28" s="1"/>
  <c r="I32" i="28"/>
  <c r="I33" i="28"/>
  <c r="I34" i="28"/>
  <c r="F19" i="26"/>
  <c r="G19" i="26"/>
  <c r="H19" i="26"/>
  <c r="I19" i="26"/>
  <c r="J19" i="26"/>
  <c r="L19" i="26"/>
  <c r="M19" i="26"/>
  <c r="N19" i="26"/>
  <c r="O19" i="26"/>
  <c r="P19" i="26"/>
  <c r="R19" i="26"/>
  <c r="F27" i="26"/>
  <c r="G27" i="26"/>
  <c r="H27" i="26"/>
  <c r="I27" i="26"/>
  <c r="J27" i="26"/>
  <c r="L27" i="26"/>
  <c r="M27" i="26"/>
  <c r="N27" i="26"/>
  <c r="O27" i="26"/>
  <c r="P27" i="26"/>
  <c r="R27" i="26"/>
  <c r="F39" i="26"/>
  <c r="G39" i="26"/>
  <c r="H39" i="26"/>
  <c r="I39" i="26"/>
  <c r="J39" i="26"/>
  <c r="L39" i="26"/>
  <c r="M39" i="26"/>
  <c r="M41" i="26" s="1"/>
  <c r="N39" i="26"/>
  <c r="O39" i="26"/>
  <c r="O41" i="26" s="1"/>
  <c r="P39" i="26"/>
  <c r="R39" i="26"/>
  <c r="C21" i="25"/>
  <c r="C22" i="25" s="1"/>
  <c r="C23" i="25" s="1"/>
  <c r="C30" i="25" s="1"/>
  <c r="H10" i="24"/>
  <c r="F16" i="24"/>
  <c r="F25" i="24"/>
  <c r="F26" i="24"/>
  <c r="H8" i="10"/>
  <c r="F28" i="11"/>
  <c r="F29" i="11"/>
  <c r="F30" i="11"/>
  <c r="H30" i="11" s="1"/>
  <c r="F110" i="6" s="1"/>
  <c r="F31" i="11"/>
  <c r="F32" i="11"/>
  <c r="F33" i="11"/>
  <c r="F34" i="11"/>
  <c r="F35" i="11"/>
  <c r="F36" i="11"/>
  <c r="F37" i="11"/>
  <c r="H37" i="11" s="1"/>
  <c r="F117" i="6" s="1"/>
  <c r="F38" i="11"/>
  <c r="F39" i="11"/>
  <c r="F40" i="11"/>
  <c r="F41" i="11"/>
  <c r="F42" i="11"/>
  <c r="F54" i="11"/>
  <c r="H54" i="11" s="1"/>
  <c r="F86" i="6" s="1"/>
  <c r="C56" i="11"/>
  <c r="F8" i="9"/>
  <c r="F99" i="9" s="1"/>
  <c r="F10" i="9"/>
  <c r="F101" i="9" s="1"/>
  <c r="F11" i="9"/>
  <c r="F12" i="9"/>
  <c r="F13" i="9"/>
  <c r="F14" i="9"/>
  <c r="F15" i="9"/>
  <c r="F106" i="9" s="1"/>
  <c r="F16" i="9"/>
  <c r="F107" i="9" s="1"/>
  <c r="I21" i="9"/>
  <c r="K21" i="9"/>
  <c r="K60" i="9" s="1"/>
  <c r="K73" i="9" s="1"/>
  <c r="K86" i="9" s="1"/>
  <c r="K99" i="9" s="1"/>
  <c r="I22" i="9"/>
  <c r="K22" i="9"/>
  <c r="K35" i="9" s="1"/>
  <c r="K48" i="9" s="1"/>
  <c r="I23" i="9"/>
  <c r="I62" i="9" s="1"/>
  <c r="K23" i="9"/>
  <c r="K36" i="9" s="1"/>
  <c r="I24" i="9"/>
  <c r="I63" i="9" s="1"/>
  <c r="K24" i="9"/>
  <c r="K63" i="9" s="1"/>
  <c r="K76" i="9" s="1"/>
  <c r="K89" i="9" s="1"/>
  <c r="K102" i="9" s="1"/>
  <c r="I25" i="9"/>
  <c r="I38" i="9" s="1"/>
  <c r="I51" i="9" s="1"/>
  <c r="K25" i="9"/>
  <c r="K64" i="9" s="1"/>
  <c r="I26" i="9"/>
  <c r="I39" i="9" s="1"/>
  <c r="K26" i="9"/>
  <c r="K39" i="9" s="1"/>
  <c r="K52" i="9" s="1"/>
  <c r="I27" i="9"/>
  <c r="I40" i="9" s="1"/>
  <c r="I53" i="9" s="1"/>
  <c r="K27" i="9"/>
  <c r="K66" i="9" s="1"/>
  <c r="K79" i="9" s="1"/>
  <c r="K92" i="9" s="1"/>
  <c r="K105" i="9" s="1"/>
  <c r="I28" i="9"/>
  <c r="I67" i="9" s="1"/>
  <c r="K28" i="9"/>
  <c r="K41" i="9" s="1"/>
  <c r="K54" i="9" s="1"/>
  <c r="I29" i="9"/>
  <c r="K29" i="9"/>
  <c r="K68" i="9" s="1"/>
  <c r="K81" i="9" s="1"/>
  <c r="K94" i="9" s="1"/>
  <c r="K107" i="9" s="1"/>
  <c r="H34" i="9"/>
  <c r="H35" i="9"/>
  <c r="G35" i="9" s="1"/>
  <c r="H36" i="9"/>
  <c r="G36" i="9" s="1"/>
  <c r="H37" i="9"/>
  <c r="G37" i="9" s="1"/>
  <c r="G38" i="9"/>
  <c r="H39" i="9"/>
  <c r="G39" i="9" s="1"/>
  <c r="H40" i="9"/>
  <c r="G40" i="9" s="1"/>
  <c r="H41" i="9"/>
  <c r="G41" i="9" s="1"/>
  <c r="H42" i="9"/>
  <c r="G42" i="9" s="1"/>
  <c r="H47" i="9"/>
  <c r="H48" i="9"/>
  <c r="H49" i="9"/>
  <c r="H50" i="9"/>
  <c r="H51" i="9"/>
  <c r="H52" i="9"/>
  <c r="H53" i="9"/>
  <c r="H54" i="9"/>
  <c r="H55" i="9"/>
  <c r="H60" i="9"/>
  <c r="G60" i="9" s="1"/>
  <c r="H61" i="9"/>
  <c r="G61" i="9" s="1"/>
  <c r="H62" i="9"/>
  <c r="G62" i="9" s="1"/>
  <c r="H63" i="9"/>
  <c r="G63" i="9" s="1"/>
  <c r="H64" i="9"/>
  <c r="G64" i="9" s="1"/>
  <c r="H65" i="9"/>
  <c r="G65" i="9" s="1"/>
  <c r="H66" i="9"/>
  <c r="G66" i="9" s="1"/>
  <c r="H67" i="9"/>
  <c r="G67" i="9" s="1"/>
  <c r="H68" i="9"/>
  <c r="G68" i="9" s="1"/>
  <c r="F125" i="9"/>
  <c r="H125" i="9" s="1"/>
  <c r="J125" i="9" s="1"/>
  <c r="L125" i="9" s="1"/>
  <c r="F126" i="9"/>
  <c r="F175" i="9" s="1"/>
  <c r="H175" i="9" s="1"/>
  <c r="G175" i="9" s="1"/>
  <c r="F127" i="9"/>
  <c r="F176" i="9" s="1"/>
  <c r="H176" i="9" s="1"/>
  <c r="F128" i="9"/>
  <c r="F129" i="9"/>
  <c r="F178" i="9" s="1"/>
  <c r="H132" i="9"/>
  <c r="J132" i="9" s="1"/>
  <c r="I132" i="9"/>
  <c r="K132" i="9"/>
  <c r="K153" i="9" s="1"/>
  <c r="H133" i="9"/>
  <c r="J133" i="9" s="1"/>
  <c r="L133" i="9" s="1"/>
  <c r="I133" i="9"/>
  <c r="I140" i="9" s="1"/>
  <c r="I147" i="9" s="1"/>
  <c r="K133" i="9"/>
  <c r="K154" i="9" s="1"/>
  <c r="H134" i="9"/>
  <c r="I134" i="9"/>
  <c r="I155" i="9" s="1"/>
  <c r="K134" i="9"/>
  <c r="H135" i="9"/>
  <c r="I135" i="9"/>
  <c r="I142" i="9" s="1"/>
  <c r="I149" i="9" s="1"/>
  <c r="K135" i="9"/>
  <c r="K142" i="9" s="1"/>
  <c r="H136" i="9"/>
  <c r="I136" i="9"/>
  <c r="I157" i="9" s="1"/>
  <c r="I164" i="9" s="1"/>
  <c r="I171" i="9" s="1"/>
  <c r="I178" i="9" s="1"/>
  <c r="K136" i="9"/>
  <c r="K157" i="9" s="1"/>
  <c r="H139" i="9"/>
  <c r="H140" i="9"/>
  <c r="H141" i="9"/>
  <c r="G141" i="9" s="1"/>
  <c r="H142" i="9"/>
  <c r="G142" i="9" s="1"/>
  <c r="H143" i="9"/>
  <c r="G143" i="9" s="1"/>
  <c r="H146" i="9"/>
  <c r="H147" i="9"/>
  <c r="H148" i="9"/>
  <c r="H149" i="9"/>
  <c r="H150" i="9"/>
  <c r="H153" i="9"/>
  <c r="G153" i="9" s="1"/>
  <c r="H154" i="9"/>
  <c r="H155" i="9"/>
  <c r="G155" i="9" s="1"/>
  <c r="H156" i="9"/>
  <c r="G156" i="9" s="1"/>
  <c r="H157" i="9"/>
  <c r="H160" i="9"/>
  <c r="H161" i="9"/>
  <c r="H162" i="9"/>
  <c r="H163" i="9"/>
  <c r="H164" i="9"/>
  <c r="F192" i="9"/>
  <c r="F255" i="9" s="1"/>
  <c r="F195" i="9"/>
  <c r="F196" i="9"/>
  <c r="F259" i="9" s="1"/>
  <c r="F197" i="9"/>
  <c r="F260" i="9" s="1"/>
  <c r="F198" i="9"/>
  <c r="F261" i="9" s="1"/>
  <c r="I201" i="9"/>
  <c r="I210" i="9" s="1"/>
  <c r="K201" i="9"/>
  <c r="K228" i="9" s="1"/>
  <c r="I203" i="9"/>
  <c r="I212" i="9" s="1"/>
  <c r="K203" i="9"/>
  <c r="K230" i="9" s="1"/>
  <c r="K239" i="9" s="1"/>
  <c r="K248" i="9" s="1"/>
  <c r="K257" i="9" s="1"/>
  <c r="I204" i="9"/>
  <c r="K204" i="9"/>
  <c r="K213" i="9" s="1"/>
  <c r="K222" i="9" s="1"/>
  <c r="I205" i="9"/>
  <c r="I232" i="9" s="1"/>
  <c r="K205" i="9"/>
  <c r="I206" i="9"/>
  <c r="I215" i="9" s="1"/>
  <c r="K206" i="9"/>
  <c r="K215" i="9" s="1"/>
  <c r="K224" i="9" s="1"/>
  <c r="I207" i="9"/>
  <c r="I216" i="9" s="1"/>
  <c r="K207" i="9"/>
  <c r="K234" i="9" s="1"/>
  <c r="K243" i="9" s="1"/>
  <c r="K252" i="9" s="1"/>
  <c r="K261" i="9" s="1"/>
  <c r="H210" i="9"/>
  <c r="G210" i="9" s="1"/>
  <c r="H212" i="9"/>
  <c r="G212" i="9" s="1"/>
  <c r="H214" i="9"/>
  <c r="G214" i="9" s="1"/>
  <c r="H215" i="9"/>
  <c r="G215" i="9" s="1"/>
  <c r="H216" i="9"/>
  <c r="G216" i="9" s="1"/>
  <c r="H219" i="9"/>
  <c r="H221" i="9"/>
  <c r="H223" i="9"/>
  <c r="H224" i="9"/>
  <c r="H225" i="9"/>
  <c r="H228" i="9"/>
  <c r="G228" i="9" s="1"/>
  <c r="H230" i="9"/>
  <c r="G230" i="9" s="1"/>
  <c r="H232" i="9"/>
  <c r="G232" i="9" s="1"/>
  <c r="H233" i="9"/>
  <c r="G233" i="9" s="1"/>
  <c r="H234" i="9"/>
  <c r="G234" i="9" s="1"/>
  <c r="F275" i="9"/>
  <c r="F380" i="9" s="1"/>
  <c r="F276" i="9"/>
  <c r="F381" i="9" s="1"/>
  <c r="F277" i="9"/>
  <c r="F382" i="9" s="1"/>
  <c r="F278" i="9"/>
  <c r="F383" i="9" s="1"/>
  <c r="F280" i="9"/>
  <c r="F281" i="9"/>
  <c r="F386" i="9" s="1"/>
  <c r="F282" i="9"/>
  <c r="F387" i="9" s="1"/>
  <c r="F283" i="9"/>
  <c r="F388" i="9" s="1"/>
  <c r="F284" i="9"/>
  <c r="F389" i="9" s="1"/>
  <c r="F285" i="9"/>
  <c r="F390" i="9" s="1"/>
  <c r="F286" i="9"/>
  <c r="F391" i="9" s="1"/>
  <c r="H287" i="9"/>
  <c r="J287" i="9" s="1"/>
  <c r="L287" i="9" s="1"/>
  <c r="I290" i="9"/>
  <c r="K290" i="9"/>
  <c r="K305" i="9" s="1"/>
  <c r="K320" i="9" s="1"/>
  <c r="I291" i="9"/>
  <c r="I306" i="9" s="1"/>
  <c r="K291" i="9"/>
  <c r="K336" i="9" s="1"/>
  <c r="K351" i="9" s="1"/>
  <c r="K366" i="9" s="1"/>
  <c r="K381" i="9" s="1"/>
  <c r="I292" i="9"/>
  <c r="I307" i="9" s="1"/>
  <c r="I322" i="9" s="1"/>
  <c r="K292" i="9"/>
  <c r="K307" i="9" s="1"/>
  <c r="K322" i="9" s="1"/>
  <c r="H293" i="9"/>
  <c r="I293" i="9"/>
  <c r="I308" i="9" s="1"/>
  <c r="K293" i="9"/>
  <c r="K338" i="9" s="1"/>
  <c r="K353" i="9" s="1"/>
  <c r="K368" i="9" s="1"/>
  <c r="K383" i="9" s="1"/>
  <c r="I295" i="9"/>
  <c r="I340" i="9" s="1"/>
  <c r="I355" i="9" s="1"/>
  <c r="K295" i="9"/>
  <c r="K340" i="9" s="1"/>
  <c r="K355" i="9" s="1"/>
  <c r="K370" i="9" s="1"/>
  <c r="K385" i="9" s="1"/>
  <c r="I296" i="9"/>
  <c r="I311" i="9" s="1"/>
  <c r="I326" i="9" s="1"/>
  <c r="K296" i="9"/>
  <c r="K341" i="9" s="1"/>
  <c r="K356" i="9" s="1"/>
  <c r="K371" i="9" s="1"/>
  <c r="K386" i="9" s="1"/>
  <c r="I297" i="9"/>
  <c r="I342" i="9" s="1"/>
  <c r="I357" i="9" s="1"/>
  <c r="I372" i="9" s="1"/>
  <c r="I387" i="9" s="1"/>
  <c r="K297" i="9"/>
  <c r="K312" i="9" s="1"/>
  <c r="K327" i="9" s="1"/>
  <c r="I298" i="9"/>
  <c r="I313" i="9" s="1"/>
  <c r="I328" i="9" s="1"/>
  <c r="K298" i="9"/>
  <c r="I299" i="9"/>
  <c r="I344" i="9" s="1"/>
  <c r="I359" i="9" s="1"/>
  <c r="I374" i="9" s="1"/>
  <c r="I389" i="9" s="1"/>
  <c r="K299" i="9"/>
  <c r="K314" i="9" s="1"/>
  <c r="K329" i="9" s="1"/>
  <c r="I300" i="9"/>
  <c r="I345" i="9" s="1"/>
  <c r="I360" i="9" s="1"/>
  <c r="K300" i="9"/>
  <c r="K345" i="9" s="1"/>
  <c r="K360" i="9" s="1"/>
  <c r="K375" i="9" s="1"/>
  <c r="K390" i="9" s="1"/>
  <c r="I301" i="9"/>
  <c r="I316" i="9" s="1"/>
  <c r="I331" i="9" s="1"/>
  <c r="K301" i="9"/>
  <c r="K346" i="9" s="1"/>
  <c r="K361" i="9" s="1"/>
  <c r="K376" i="9" s="1"/>
  <c r="K391" i="9" s="1"/>
  <c r="I302" i="9"/>
  <c r="I347" i="9" s="1"/>
  <c r="I362" i="9" s="1"/>
  <c r="K302" i="9"/>
  <c r="K317" i="9" s="1"/>
  <c r="K332" i="9" s="1"/>
  <c r="H305" i="9"/>
  <c r="G305" i="9" s="1"/>
  <c r="H306" i="9"/>
  <c r="G306" i="9" s="1"/>
  <c r="H307" i="9"/>
  <c r="H308" i="9"/>
  <c r="G308" i="9" s="1"/>
  <c r="H310" i="9"/>
  <c r="G310" i="9" s="1"/>
  <c r="H311" i="9"/>
  <c r="G311" i="9" s="1"/>
  <c r="H312" i="9"/>
  <c r="G312" i="9" s="1"/>
  <c r="H313" i="9"/>
  <c r="G313" i="9" s="1"/>
  <c r="H314" i="9"/>
  <c r="H315" i="9"/>
  <c r="G315" i="9" s="1"/>
  <c r="H316" i="9"/>
  <c r="G316" i="9" s="1"/>
  <c r="H317" i="9"/>
  <c r="G317" i="9" s="1"/>
  <c r="H320" i="9"/>
  <c r="H321" i="9"/>
  <c r="H322" i="9"/>
  <c r="H323" i="9"/>
  <c r="H325" i="9"/>
  <c r="H326" i="9"/>
  <c r="H327" i="9"/>
  <c r="H328" i="9"/>
  <c r="H329" i="9"/>
  <c r="H330" i="9"/>
  <c r="H331" i="9"/>
  <c r="H332" i="9"/>
  <c r="H335" i="9"/>
  <c r="G335" i="9" s="1"/>
  <c r="H336" i="9"/>
  <c r="G336" i="9" s="1"/>
  <c r="H337" i="9"/>
  <c r="G337" i="9" s="1"/>
  <c r="H338" i="9"/>
  <c r="G338" i="9" s="1"/>
  <c r="H340" i="9"/>
  <c r="H341" i="9"/>
  <c r="G341" i="9" s="1"/>
  <c r="H342" i="9"/>
  <c r="G342" i="9" s="1"/>
  <c r="H343" i="9"/>
  <c r="G343" i="9" s="1"/>
  <c r="H344" i="9"/>
  <c r="H345" i="9"/>
  <c r="G345" i="9" s="1"/>
  <c r="H346" i="9"/>
  <c r="G346" i="9" s="1"/>
  <c r="H347" i="9"/>
  <c r="G347" i="9" s="1"/>
  <c r="F377" i="9"/>
  <c r="H377" i="9" s="1"/>
  <c r="G377" i="9" s="1"/>
  <c r="J406" i="9"/>
  <c r="F409" i="9"/>
  <c r="G409" i="9"/>
  <c r="F421" i="9"/>
  <c r="F442" i="9" s="1"/>
  <c r="K424" i="9"/>
  <c r="K427" i="9" s="1"/>
  <c r="K430" i="9" s="1"/>
  <c r="H427" i="9"/>
  <c r="G427" i="9" s="1"/>
  <c r="H430" i="9"/>
  <c r="H433" i="9"/>
  <c r="G433" i="9" s="1"/>
  <c r="H436" i="9"/>
  <c r="J436" i="9" s="1"/>
  <c r="E7" i="17"/>
  <c r="E8" i="17"/>
  <c r="E9" i="17"/>
  <c r="E11" i="17"/>
  <c r="E12" i="17"/>
  <c r="E13" i="17"/>
  <c r="E14" i="17"/>
  <c r="E15" i="17"/>
  <c r="E16" i="17"/>
  <c r="E17" i="17"/>
  <c r="E18" i="17"/>
  <c r="C22" i="17"/>
  <c r="D11" i="17" s="1"/>
  <c r="C25" i="17"/>
  <c r="F10" i="17" s="1"/>
  <c r="G10" i="17" s="1"/>
  <c r="H10" i="17" s="1"/>
  <c r="B26" i="17"/>
  <c r="C26" i="17" s="1"/>
  <c r="G8" i="21"/>
  <c r="J8" i="21"/>
  <c r="L11" i="21"/>
  <c r="G11" i="21"/>
  <c r="E72" i="21"/>
  <c r="G72" i="21"/>
  <c r="E73" i="21"/>
  <c r="L73" i="21" s="1"/>
  <c r="G73" i="21"/>
  <c r="I73" i="21" s="1"/>
  <c r="E74" i="21"/>
  <c r="L74" i="21" s="1"/>
  <c r="G74" i="21"/>
  <c r="I74" i="21" s="1"/>
  <c r="G75" i="21"/>
  <c r="I75" i="21" s="1"/>
  <c r="J75" i="21"/>
  <c r="G76" i="21"/>
  <c r="I76" i="21" s="1"/>
  <c r="J76" i="21"/>
  <c r="E87" i="21"/>
  <c r="G87" i="21"/>
  <c r="L88" i="21"/>
  <c r="G88" i="21"/>
  <c r="L89" i="21"/>
  <c r="G89" i="21"/>
  <c r="L90" i="21"/>
  <c r="G90" i="21"/>
  <c r="L91" i="21"/>
  <c r="G91" i="21"/>
  <c r="L92" i="21"/>
  <c r="G92" i="21"/>
  <c r="L93" i="21"/>
  <c r="G93" i="21"/>
  <c r="L94" i="21"/>
  <c r="G94" i="21"/>
  <c r="L95" i="21"/>
  <c r="G95" i="21"/>
  <c r="L96" i="21"/>
  <c r="G96" i="21"/>
  <c r="L97" i="21"/>
  <c r="G97" i="21"/>
  <c r="L98" i="21"/>
  <c r="G98" i="21"/>
  <c r="L99" i="21"/>
  <c r="G99" i="21"/>
  <c r="L100" i="21"/>
  <c r="G100" i="21"/>
  <c r="L101" i="21"/>
  <c r="G101" i="21"/>
  <c r="L102" i="21"/>
  <c r="G102" i="21"/>
  <c r="L103" i="21"/>
  <c r="G103" i="21"/>
  <c r="L104" i="21"/>
  <c r="G104" i="21"/>
  <c r="L105" i="21"/>
  <c r="G105" i="21"/>
  <c r="L106" i="21"/>
  <c r="G106" i="21"/>
  <c r="L107" i="21"/>
  <c r="G107" i="21"/>
  <c r="L108" i="21"/>
  <c r="G108" i="21"/>
  <c r="L109" i="21"/>
  <c r="G109" i="21"/>
  <c r="L110" i="21"/>
  <c r="G110" i="21"/>
  <c r="L111" i="21"/>
  <c r="G111" i="21"/>
  <c r="G112" i="21"/>
  <c r="E137" i="21"/>
  <c r="G137" i="21"/>
  <c r="E138" i="21"/>
  <c r="L138" i="21" s="1"/>
  <c r="G138" i="21"/>
  <c r="I138" i="21" s="1"/>
  <c r="E141" i="21"/>
  <c r="G141" i="21"/>
  <c r="L142" i="21"/>
  <c r="G142" i="21"/>
  <c r="I142" i="21" s="1"/>
  <c r="G143" i="21"/>
  <c r="I143" i="21" s="1"/>
  <c r="J143" i="21"/>
  <c r="G144" i="21"/>
  <c r="I144" i="21" s="1"/>
  <c r="J144" i="21"/>
  <c r="G145" i="21"/>
  <c r="I145" i="21" s="1"/>
  <c r="J145" i="21"/>
  <c r="E150" i="21"/>
  <c r="G150" i="21"/>
  <c r="L151" i="21"/>
  <c r="G151" i="21"/>
  <c r="G152" i="21"/>
  <c r="E155" i="21"/>
  <c r="G155" i="21"/>
  <c r="L156" i="21"/>
  <c r="G156" i="21"/>
  <c r="L157" i="21"/>
  <c r="G157" i="21"/>
  <c r="L158" i="21"/>
  <c r="G158" i="21"/>
  <c r="L159" i="21"/>
  <c r="G159" i="21"/>
  <c r="G160" i="21"/>
  <c r="G168" i="21"/>
  <c r="G169" i="21" s="1"/>
  <c r="E171" i="21"/>
  <c r="L171" i="21" s="1"/>
  <c r="G171" i="21"/>
  <c r="I171" i="21" s="1"/>
  <c r="E172" i="21"/>
  <c r="L172" i="21" s="1"/>
  <c r="G172" i="21"/>
  <c r="I172" i="21" s="1"/>
  <c r="E173" i="21"/>
  <c r="L173" i="21" s="1"/>
  <c r="G173" i="21"/>
  <c r="I173" i="21" s="1"/>
  <c r="E174" i="21"/>
  <c r="L174" i="21" s="1"/>
  <c r="G174" i="21"/>
  <c r="I174" i="21" s="1"/>
  <c r="E175" i="21"/>
  <c r="L175" i="21" s="1"/>
  <c r="G175" i="21"/>
  <c r="I175" i="21" s="1"/>
  <c r="E176" i="21"/>
  <c r="L176" i="21" s="1"/>
  <c r="G176" i="21"/>
  <c r="I176" i="21" s="1"/>
  <c r="E177" i="21"/>
  <c r="L177" i="21" s="1"/>
  <c r="G177" i="21"/>
  <c r="I177" i="21" s="1"/>
  <c r="E178" i="21"/>
  <c r="G178" i="21"/>
  <c r="G179" i="21"/>
  <c r="I179" i="21" s="1"/>
  <c r="J179" i="21"/>
  <c r="G180" i="21"/>
  <c r="I180" i="21" s="1"/>
  <c r="J180" i="21"/>
  <c r="E193" i="21"/>
  <c r="G193" i="21"/>
  <c r="G203" i="21"/>
  <c r="I203" i="21" s="1"/>
  <c r="J203" i="21"/>
  <c r="L204" i="21"/>
  <c r="G204" i="21"/>
  <c r="L205" i="21"/>
  <c r="G205" i="21"/>
  <c r="I205" i="21" s="1"/>
  <c r="G206" i="21"/>
  <c r="I206" i="21" s="1"/>
  <c r="J206" i="21"/>
  <c r="L207" i="21"/>
  <c r="G207" i="21"/>
  <c r="I207" i="21" s="1"/>
  <c r="L208" i="21"/>
  <c r="G208" i="21"/>
  <c r="I208" i="21" s="1"/>
  <c r="L209" i="21"/>
  <c r="G209" i="21"/>
  <c r="I209" i="21" s="1"/>
  <c r="G210" i="21"/>
  <c r="I210" i="21" s="1"/>
  <c r="J210" i="21"/>
  <c r="G211" i="21"/>
  <c r="I211" i="21" s="1"/>
  <c r="J211" i="21"/>
  <c r="G212" i="21"/>
  <c r="I212" i="21" s="1"/>
  <c r="J212" i="21"/>
  <c r="G213" i="21"/>
  <c r="I213" i="21" s="1"/>
  <c r="J213" i="21"/>
  <c r="G214" i="21"/>
  <c r="I214" i="21" s="1"/>
  <c r="J214" i="21"/>
  <c r="G215" i="21"/>
  <c r="I215" i="21" s="1"/>
  <c r="J215" i="21"/>
  <c r="G216" i="21"/>
  <c r="I216" i="21" s="1"/>
  <c r="J216" i="21"/>
  <c r="G217" i="21"/>
  <c r="I217" i="21" s="1"/>
  <c r="J217" i="21"/>
  <c r="G218" i="21"/>
  <c r="I218" i="21" s="1"/>
  <c r="J218" i="21"/>
  <c r="E235" i="21"/>
  <c r="E261" i="21" s="1"/>
  <c r="G235" i="21"/>
  <c r="L236" i="21"/>
  <c r="G236" i="21"/>
  <c r="L237" i="21"/>
  <c r="G237" i="21"/>
  <c r="L238" i="21"/>
  <c r="G238" i="21"/>
  <c r="G239" i="21"/>
  <c r="G240" i="21"/>
  <c r="L241" i="21"/>
  <c r="G241" i="21"/>
  <c r="L242" i="21"/>
  <c r="G242" i="21"/>
  <c r="L243" i="21"/>
  <c r="G243" i="21"/>
  <c r="L244" i="21"/>
  <c r="G244" i="21"/>
  <c r="L245" i="21"/>
  <c r="G245" i="21"/>
  <c r="L246" i="21"/>
  <c r="G246" i="21"/>
  <c r="L247" i="21"/>
  <c r="G247" i="21"/>
  <c r="L248" i="21"/>
  <c r="G248" i="21"/>
  <c r="L249" i="21"/>
  <c r="G249" i="21"/>
  <c r="L250" i="21"/>
  <c r="G250" i="21"/>
  <c r="G251" i="21"/>
  <c r="E263" i="21"/>
  <c r="G263" i="21"/>
  <c r="G264" i="21"/>
  <c r="I264" i="21" s="1"/>
  <c r="G265" i="21"/>
  <c r="I265" i="21" s="1"/>
  <c r="J265" i="21"/>
  <c r="E268" i="21"/>
  <c r="G268" i="21"/>
  <c r="E269" i="21"/>
  <c r="L269" i="21" s="1"/>
  <c r="G269" i="21"/>
  <c r="E270" i="21"/>
  <c r="L270" i="21" s="1"/>
  <c r="G270" i="21"/>
  <c r="L271" i="21"/>
  <c r="G271" i="21"/>
  <c r="L272" i="21"/>
  <c r="G272" i="21"/>
  <c r="E273" i="21"/>
  <c r="L273" i="21" s="1"/>
  <c r="G273" i="21"/>
  <c r="E274" i="21"/>
  <c r="L274" i="21" s="1"/>
  <c r="G274" i="21"/>
  <c r="E275" i="21"/>
  <c r="L275" i="21" s="1"/>
  <c r="G275" i="21"/>
  <c r="E276" i="21"/>
  <c r="L276" i="21" s="1"/>
  <c r="G276" i="21"/>
  <c r="E277" i="21"/>
  <c r="L277" i="21" s="1"/>
  <c r="G277" i="21"/>
  <c r="G279" i="21"/>
  <c r="G280" i="21"/>
  <c r="I280" i="21" s="1"/>
  <c r="J280" i="21"/>
  <c r="L284" i="21"/>
  <c r="G284" i="21"/>
  <c r="L285" i="21"/>
  <c r="G285" i="21"/>
  <c r="D294" i="21"/>
  <c r="F294" i="21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E43" i="16" s="1"/>
  <c r="E201" i="16" s="1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C264" i="7" s="1"/>
  <c r="P61" i="7"/>
  <c r="P62" i="7"/>
  <c r="P63" i="7"/>
  <c r="P64" i="7"/>
  <c r="P65" i="7"/>
  <c r="P66" i="7"/>
  <c r="C68" i="7"/>
  <c r="D68" i="7"/>
  <c r="E68" i="7"/>
  <c r="F68" i="7"/>
  <c r="G68" i="7"/>
  <c r="H68" i="7"/>
  <c r="I68" i="7"/>
  <c r="J68" i="7"/>
  <c r="K68" i="7"/>
  <c r="L68" i="7"/>
  <c r="M68" i="7"/>
  <c r="N68" i="7"/>
  <c r="C143" i="7"/>
  <c r="D143" i="7"/>
  <c r="D146" i="7" s="1"/>
  <c r="E143" i="7"/>
  <c r="E146" i="7" s="1"/>
  <c r="F143" i="7"/>
  <c r="G143" i="7"/>
  <c r="H143" i="7"/>
  <c r="I143" i="7"/>
  <c r="J143" i="7"/>
  <c r="K143" i="7"/>
  <c r="L143" i="7"/>
  <c r="M143" i="7"/>
  <c r="N143" i="7"/>
  <c r="K18" i="15"/>
  <c r="E7" i="18"/>
  <c r="E8" i="18"/>
  <c r="E9" i="18"/>
  <c r="E10" i="18"/>
  <c r="F9" i="6"/>
  <c r="J9" i="6" s="1"/>
  <c r="F10" i="6"/>
  <c r="J10" i="6" s="1"/>
  <c r="F11" i="6"/>
  <c r="I11" i="6" s="1"/>
  <c r="F12" i="6"/>
  <c r="I12" i="6" s="1"/>
  <c r="F14" i="6"/>
  <c r="J14" i="6" s="1"/>
  <c r="F15" i="6"/>
  <c r="J15" i="6" s="1"/>
  <c r="F16" i="6"/>
  <c r="J16" i="6" s="1"/>
  <c r="J17" i="6"/>
  <c r="F19" i="6"/>
  <c r="I19" i="6" s="1"/>
  <c r="F20" i="6"/>
  <c r="I20" i="6" s="1"/>
  <c r="F21" i="6"/>
  <c r="J21" i="6" s="1"/>
  <c r="F22" i="6"/>
  <c r="I22" i="6" s="1"/>
  <c r="F23" i="6"/>
  <c r="J23" i="6" s="1"/>
  <c r="F25" i="6"/>
  <c r="I25" i="6" s="1"/>
  <c r="F26" i="6"/>
  <c r="I26" i="6" s="1"/>
  <c r="F27" i="6"/>
  <c r="J27" i="6" s="1"/>
  <c r="F28" i="6"/>
  <c r="I28" i="6" s="1"/>
  <c r="F29" i="6"/>
  <c r="I29" i="6" s="1"/>
  <c r="F30" i="6"/>
  <c r="F31" i="6"/>
  <c r="J31" i="6" s="1"/>
  <c r="F32" i="6"/>
  <c r="I32" i="6" s="1"/>
  <c r="F33" i="6"/>
  <c r="F34" i="6"/>
  <c r="I34" i="6" s="1"/>
  <c r="F35" i="6"/>
  <c r="J35" i="6" s="1"/>
  <c r="F36" i="6"/>
  <c r="I36" i="6" s="1"/>
  <c r="F37" i="6"/>
  <c r="J37" i="6" s="1"/>
  <c r="F43" i="6"/>
  <c r="F50" i="6"/>
  <c r="I50" i="6" s="1"/>
  <c r="I75" i="6"/>
  <c r="J75" i="6"/>
  <c r="F76" i="6"/>
  <c r="I76" i="6" s="1"/>
  <c r="F77" i="6"/>
  <c r="I77" i="6" s="1"/>
  <c r="G10" i="14"/>
  <c r="F15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F25" i="14"/>
  <c r="F17" i="23"/>
  <c r="E16" i="29" s="1"/>
  <c r="G17" i="23"/>
  <c r="H17" i="23"/>
  <c r="I17" i="23"/>
  <c r="J17" i="23"/>
  <c r="K17" i="23"/>
  <c r="L17" i="23"/>
  <c r="M17" i="23"/>
  <c r="N17" i="23"/>
  <c r="O17" i="23"/>
  <c r="P17" i="23"/>
  <c r="E33" i="23"/>
  <c r="F9" i="5"/>
  <c r="F10" i="5"/>
  <c r="F53" i="6" s="1"/>
  <c r="F11" i="5"/>
  <c r="F12" i="5"/>
  <c r="F58" i="6" s="1"/>
  <c r="J58" i="6" s="1"/>
  <c r="J60" i="6" s="1"/>
  <c r="J18" i="3"/>
  <c r="K18" i="3"/>
  <c r="E9" i="3"/>
  <c r="G9" i="3" s="1"/>
  <c r="M9" i="3" s="1"/>
  <c r="E10" i="3"/>
  <c r="G10" i="3" s="1"/>
  <c r="E11" i="3"/>
  <c r="G11" i="3" s="1"/>
  <c r="M11" i="3" s="1"/>
  <c r="E12" i="3"/>
  <c r="E13" i="3"/>
  <c r="G13" i="3" s="1"/>
  <c r="M13" i="3" s="1"/>
  <c r="E14" i="3"/>
  <c r="G14" i="3" s="1"/>
  <c r="M14" i="3" s="1"/>
  <c r="E15" i="3"/>
  <c r="G15" i="3" s="1"/>
  <c r="M15" i="3" s="1"/>
  <c r="E16" i="3"/>
  <c r="G16" i="3" s="1"/>
  <c r="M16" i="3" s="1"/>
  <c r="C18" i="3"/>
  <c r="D18" i="3"/>
  <c r="F18" i="3"/>
  <c r="H18" i="3"/>
  <c r="I18" i="3"/>
  <c r="I33" i="3"/>
  <c r="K34" i="3"/>
  <c r="K37" i="3"/>
  <c r="C42" i="3"/>
  <c r="I30" i="34" s="1"/>
  <c r="F42" i="3"/>
  <c r="G42" i="3"/>
  <c r="H42" i="3"/>
  <c r="H44" i="3" s="1"/>
  <c r="H48" i="3" s="1"/>
  <c r="F71" i="3"/>
  <c r="G71" i="3"/>
  <c r="F78" i="3"/>
  <c r="G78" i="3"/>
  <c r="H78" i="3"/>
  <c r="E53" i="23" s="1"/>
  <c r="C7" i="11"/>
  <c r="F11" i="11"/>
  <c r="F12" i="11"/>
  <c r="H12" i="11" s="1"/>
  <c r="F94" i="6" s="1"/>
  <c r="F15" i="11"/>
  <c r="M21" i="2"/>
  <c r="E36" i="2"/>
  <c r="M41" i="2"/>
  <c r="M43" i="2"/>
  <c r="M44" i="2"/>
  <c r="E46" i="2"/>
  <c r="F63" i="2"/>
  <c r="G63" i="2"/>
  <c r="H63" i="2"/>
  <c r="I63" i="2"/>
  <c r="J63" i="2"/>
  <c r="K63" i="2"/>
  <c r="F110" i="2"/>
  <c r="G110" i="2"/>
  <c r="H110" i="2"/>
  <c r="I110" i="2"/>
  <c r="J110" i="2"/>
  <c r="K110" i="2"/>
  <c r="F161" i="2"/>
  <c r="AE161" i="2"/>
  <c r="AF161" i="2"/>
  <c r="AG161" i="2"/>
  <c r="AH161" i="2"/>
  <c r="AI161" i="2"/>
  <c r="AJ161" i="2"/>
  <c r="AK161" i="2"/>
  <c r="AL161" i="2"/>
  <c r="AM161" i="2"/>
  <c r="AN161" i="2"/>
  <c r="F162" i="2"/>
  <c r="F53" i="23" s="1"/>
  <c r="H10" i="4"/>
  <c r="E9" i="19" s="1"/>
  <c r="H14" i="4"/>
  <c r="H15" i="4"/>
  <c r="E14" i="19" s="1"/>
  <c r="G14" i="19" s="1"/>
  <c r="G16" i="4"/>
  <c r="G17" i="4"/>
  <c r="G19" i="4"/>
  <c r="H20" i="4"/>
  <c r="H21" i="4"/>
  <c r="E20" i="19" s="1"/>
  <c r="G20" i="19" s="1"/>
  <c r="H22" i="4"/>
  <c r="E21" i="19" s="1"/>
  <c r="G21" i="19" s="1"/>
  <c r="H25" i="4"/>
  <c r="E24" i="19" s="1"/>
  <c r="G24" i="19" s="1"/>
  <c r="G27" i="4"/>
  <c r="G28" i="4"/>
  <c r="H29" i="4"/>
  <c r="H32" i="4"/>
  <c r="H33" i="4"/>
  <c r="H34" i="4"/>
  <c r="E33" i="19" s="1"/>
  <c r="G33" i="19" s="1"/>
  <c r="H35" i="4"/>
  <c r="H36" i="4"/>
  <c r="F46" i="4"/>
  <c r="Q49" i="4"/>
  <c r="R49" i="4"/>
  <c r="H53" i="4"/>
  <c r="F55" i="4"/>
  <c r="F60" i="4"/>
  <c r="I62" i="4"/>
  <c r="E56" i="18" s="1"/>
  <c r="J62" i="4"/>
  <c r="F56" i="18" s="1"/>
  <c r="K62" i="4"/>
  <c r="G56" i="18" s="1"/>
  <c r="L62" i="4"/>
  <c r="H56" i="18" s="1"/>
  <c r="M62" i="4"/>
  <c r="I56" i="18" s="1"/>
  <c r="N62" i="4"/>
  <c r="J56" i="18" s="1"/>
  <c r="O62" i="4"/>
  <c r="K56" i="18" s="1"/>
  <c r="P62" i="4"/>
  <c r="L56" i="18" s="1"/>
  <c r="Q62" i="4"/>
  <c r="M56" i="18" s="1"/>
  <c r="R62" i="4"/>
  <c r="N56" i="18" s="1"/>
  <c r="D87" i="4"/>
  <c r="G87" i="4"/>
  <c r="D88" i="4"/>
  <c r="G88" i="4"/>
  <c r="D89" i="4"/>
  <c r="G89" i="4"/>
  <c r="D90" i="4"/>
  <c r="G90" i="4"/>
  <c r="D92" i="4"/>
  <c r="D93" i="4"/>
  <c r="G93" i="4"/>
  <c r="D94" i="4"/>
  <c r="G94" i="4"/>
  <c r="D95" i="4"/>
  <c r="G95" i="4"/>
  <c r="D96" i="4"/>
  <c r="G96" i="4"/>
  <c r="D97" i="4"/>
  <c r="D98" i="4"/>
  <c r="G98" i="4"/>
  <c r="D99" i="4"/>
  <c r="G99" i="4"/>
  <c r="D100" i="4"/>
  <c r="G100" i="4"/>
  <c r="D101" i="4"/>
  <c r="D102" i="4"/>
  <c r="D103" i="4"/>
  <c r="G103" i="4"/>
  <c r="D104" i="4"/>
  <c r="G104" i="4"/>
  <c r="D105" i="4"/>
  <c r="D106" i="4"/>
  <c r="D107" i="4"/>
  <c r="G107" i="4"/>
  <c r="D108" i="4"/>
  <c r="G108" i="4"/>
  <c r="D109" i="4"/>
  <c r="D110" i="4"/>
  <c r="G110" i="4"/>
  <c r="D111" i="4"/>
  <c r="D112" i="4"/>
  <c r="D113" i="4"/>
  <c r="G113" i="4"/>
  <c r="R132" i="4"/>
  <c r="R134" i="4" s="1"/>
  <c r="F134" i="4"/>
  <c r="G134" i="4"/>
  <c r="H134" i="4"/>
  <c r="I134" i="4"/>
  <c r="J134" i="4"/>
  <c r="K134" i="4"/>
  <c r="L134" i="4"/>
  <c r="M134" i="4"/>
  <c r="N134" i="4"/>
  <c r="O134" i="4"/>
  <c r="P134" i="4"/>
  <c r="Q134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F164" i="4"/>
  <c r="G164" i="4"/>
  <c r="H164" i="4"/>
  <c r="I164" i="4"/>
  <c r="J164" i="4"/>
  <c r="K164" i="4"/>
  <c r="K244" i="4" s="1"/>
  <c r="L164" i="4"/>
  <c r="L244" i="4" s="1"/>
  <c r="M164" i="4"/>
  <c r="N164" i="4"/>
  <c r="O164" i="4"/>
  <c r="O244" i="4" s="1"/>
  <c r="P164" i="4"/>
  <c r="P244" i="4" s="1"/>
  <c r="Q164" i="4"/>
  <c r="R168" i="4"/>
  <c r="R169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8" i="4"/>
  <c r="R179" i="4" s="1"/>
  <c r="F179" i="4"/>
  <c r="G179" i="4"/>
  <c r="H179" i="4"/>
  <c r="I179" i="4"/>
  <c r="J179" i="4"/>
  <c r="K179" i="4"/>
  <c r="L179" i="4"/>
  <c r="M179" i="4"/>
  <c r="N179" i="4"/>
  <c r="O179" i="4"/>
  <c r="P179" i="4"/>
  <c r="Q179" i="4"/>
  <c r="R182" i="4"/>
  <c r="R183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7" i="4"/>
  <c r="R188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N204" i="4"/>
  <c r="N213" i="4"/>
  <c r="N214" i="4"/>
  <c r="N217" i="4"/>
  <c r="O218" i="4"/>
  <c r="O241" i="4" s="1"/>
  <c r="L221" i="4"/>
  <c r="L241" i="4" s="1"/>
  <c r="R238" i="4"/>
  <c r="R241" i="4" s="1"/>
  <c r="F241" i="4"/>
  <c r="G241" i="4"/>
  <c r="H241" i="4"/>
  <c r="H242" i="4" s="1"/>
  <c r="I241" i="4"/>
  <c r="J241" i="4"/>
  <c r="K241" i="4"/>
  <c r="M241" i="4"/>
  <c r="P241" i="4"/>
  <c r="Q241" i="4"/>
  <c r="C7" i="16"/>
  <c r="I6" i="29" s="1"/>
  <c r="F7" i="16"/>
  <c r="A8" i="16"/>
  <c r="F8" i="16"/>
  <c r="A9" i="16"/>
  <c r="F9" i="16"/>
  <c r="A10" i="16"/>
  <c r="C10" i="16" s="1"/>
  <c r="F10" i="16"/>
  <c r="A11" i="16"/>
  <c r="F11" i="16"/>
  <c r="A12" i="16"/>
  <c r="C12" i="16" s="1"/>
  <c r="F12" i="16"/>
  <c r="A13" i="16"/>
  <c r="A93" i="16" s="1"/>
  <c r="F13" i="16"/>
  <c r="A14" i="16"/>
  <c r="C14" i="16" s="1"/>
  <c r="F14" i="16"/>
  <c r="A15" i="16"/>
  <c r="A95" i="16" s="1"/>
  <c r="A253" i="16" s="1"/>
  <c r="A325" i="16" s="1"/>
  <c r="F15" i="16"/>
  <c r="A16" i="16"/>
  <c r="F16" i="16"/>
  <c r="A17" i="16"/>
  <c r="F17" i="16"/>
  <c r="A18" i="16"/>
  <c r="C18" i="16" s="1"/>
  <c r="F18" i="16"/>
  <c r="A19" i="16"/>
  <c r="A99" i="16" s="1"/>
  <c r="F19" i="16"/>
  <c r="A20" i="16"/>
  <c r="A100" i="16" s="1"/>
  <c r="F20" i="16"/>
  <c r="A21" i="16"/>
  <c r="A101" i="16" s="1"/>
  <c r="F21" i="16"/>
  <c r="A22" i="16"/>
  <c r="A102" i="16" s="1"/>
  <c r="F22" i="16"/>
  <c r="A23" i="16"/>
  <c r="A103" i="16" s="1"/>
  <c r="A261" i="16" s="1"/>
  <c r="A333" i="16" s="1"/>
  <c r="F23" i="16"/>
  <c r="A24" i="16"/>
  <c r="C24" i="16" s="1"/>
  <c r="I23" i="29" s="1"/>
  <c r="F24" i="16"/>
  <c r="A25" i="16"/>
  <c r="C25" i="16" s="1"/>
  <c r="F25" i="16"/>
  <c r="A26" i="16"/>
  <c r="C26" i="16" s="1"/>
  <c r="F26" i="16"/>
  <c r="A27" i="16"/>
  <c r="A107" i="16" s="1"/>
  <c r="F27" i="16"/>
  <c r="A28" i="16"/>
  <c r="C28" i="16" s="1"/>
  <c r="I27" i="29" s="1"/>
  <c r="F28" i="16"/>
  <c r="A29" i="16"/>
  <c r="A109" i="16" s="1"/>
  <c r="A267" i="16" s="1"/>
  <c r="A339" i="16" s="1"/>
  <c r="F29" i="16"/>
  <c r="A30" i="16"/>
  <c r="A110" i="16" s="1"/>
  <c r="A268" i="16" s="1"/>
  <c r="A340" i="16" s="1"/>
  <c r="F30" i="16"/>
  <c r="A31" i="16"/>
  <c r="C31" i="16" s="1"/>
  <c r="F31" i="16"/>
  <c r="A32" i="16"/>
  <c r="C32" i="16" s="1"/>
  <c r="F32" i="16"/>
  <c r="A33" i="16"/>
  <c r="A113" i="16" s="1"/>
  <c r="F33" i="16"/>
  <c r="A34" i="16"/>
  <c r="C34" i="16" s="1"/>
  <c r="F34" i="16"/>
  <c r="A35" i="16"/>
  <c r="A115" i="16" s="1"/>
  <c r="F35" i="16"/>
  <c r="A36" i="16"/>
  <c r="A116" i="16" s="1"/>
  <c r="F36" i="16"/>
  <c r="A37" i="16"/>
  <c r="A117" i="16" s="1"/>
  <c r="A275" i="16" s="1"/>
  <c r="A347" i="16" s="1"/>
  <c r="F37" i="16"/>
  <c r="A38" i="16"/>
  <c r="C38" i="16" s="1"/>
  <c r="F38" i="16"/>
  <c r="A39" i="16"/>
  <c r="F39" i="16"/>
  <c r="A40" i="16"/>
  <c r="C40" i="16" s="1"/>
  <c r="I39" i="29" s="1"/>
  <c r="F40" i="16"/>
  <c r="A41" i="16"/>
  <c r="C41" i="16" s="1"/>
  <c r="F41" i="16"/>
  <c r="A42" i="16"/>
  <c r="A122" i="16" s="1"/>
  <c r="F42" i="16"/>
  <c r="A43" i="16"/>
  <c r="A123" i="16" s="1"/>
  <c r="F43" i="16"/>
  <c r="A44" i="16"/>
  <c r="C44" i="16" s="1"/>
  <c r="G44" i="16" s="1"/>
  <c r="F44" i="16"/>
  <c r="A45" i="16"/>
  <c r="C45" i="16" s="1"/>
  <c r="G45" i="16" s="1"/>
  <c r="F45" i="16"/>
  <c r="A46" i="16"/>
  <c r="C46" i="16" s="1"/>
  <c r="F46" i="16"/>
  <c r="A47" i="16"/>
  <c r="C47" i="16" s="1"/>
  <c r="F47" i="16"/>
  <c r="A48" i="16"/>
  <c r="C48" i="16" s="1"/>
  <c r="F48" i="16"/>
  <c r="A49" i="16"/>
  <c r="F49" i="16"/>
  <c r="A50" i="16"/>
  <c r="A130" i="16" s="1"/>
  <c r="A288" i="16" s="1"/>
  <c r="A360" i="16" s="1"/>
  <c r="F50" i="16"/>
  <c r="A51" i="16"/>
  <c r="C51" i="16" s="1"/>
  <c r="F51" i="16"/>
  <c r="A52" i="16"/>
  <c r="A132" i="16" s="1"/>
  <c r="A290" i="16" s="1"/>
  <c r="A362" i="16" s="1"/>
  <c r="F52" i="16"/>
  <c r="A53" i="16"/>
  <c r="F53" i="16"/>
  <c r="A54" i="16"/>
  <c r="A134" i="16" s="1"/>
  <c r="F54" i="16"/>
  <c r="A55" i="16"/>
  <c r="C55" i="16" s="1"/>
  <c r="F55" i="16"/>
  <c r="A56" i="16"/>
  <c r="C56" i="16" s="1"/>
  <c r="F56" i="16"/>
  <c r="A57" i="16"/>
  <c r="A137" i="16" s="1"/>
  <c r="A295" i="16" s="1"/>
  <c r="A367" i="16" s="1"/>
  <c r="F57" i="16"/>
  <c r="A58" i="16"/>
  <c r="C58" i="16" s="1"/>
  <c r="F58" i="16"/>
  <c r="A59" i="16"/>
  <c r="A139" i="16" s="1"/>
  <c r="F59" i="16"/>
  <c r="A60" i="16"/>
  <c r="C60" i="16" s="1"/>
  <c r="F60" i="16"/>
  <c r="A61" i="16"/>
  <c r="C61" i="16" s="1"/>
  <c r="G61" i="16" s="1"/>
  <c r="F61" i="16"/>
  <c r="A62" i="16"/>
  <c r="C62" i="16" s="1"/>
  <c r="F62" i="16"/>
  <c r="A63" i="16"/>
  <c r="A143" i="16" s="1"/>
  <c r="F63" i="16"/>
  <c r="A64" i="16"/>
  <c r="C64" i="16" s="1"/>
  <c r="F64" i="16"/>
  <c r="A65" i="16"/>
  <c r="A145" i="16" s="1"/>
  <c r="F65" i="16"/>
  <c r="A66" i="16"/>
  <c r="A146" i="16" s="1"/>
  <c r="A304" i="16" s="1"/>
  <c r="A376" i="16" s="1"/>
  <c r="E66" i="16"/>
  <c r="E224" i="16" s="1"/>
  <c r="F66" i="16"/>
  <c r="A87" i="16"/>
  <c r="A245" i="16" s="1"/>
  <c r="A317" i="16" s="1"/>
  <c r="B87" i="16"/>
  <c r="B88" i="16"/>
  <c r="B246" i="16" s="1"/>
  <c r="B318" i="16" s="1"/>
  <c r="B89" i="16"/>
  <c r="B247" i="16" s="1"/>
  <c r="B319" i="16" s="1"/>
  <c r="B90" i="16"/>
  <c r="B248" i="16" s="1"/>
  <c r="B320" i="16" s="1"/>
  <c r="B91" i="16"/>
  <c r="B249" i="16" s="1"/>
  <c r="B321" i="16" s="1"/>
  <c r="B92" i="16"/>
  <c r="B250" i="16" s="1"/>
  <c r="B322" i="16" s="1"/>
  <c r="B93" i="16"/>
  <c r="B251" i="16" s="1"/>
  <c r="B323" i="16" s="1"/>
  <c r="B94" i="16"/>
  <c r="B252" i="16" s="1"/>
  <c r="B324" i="16" s="1"/>
  <c r="B95" i="16"/>
  <c r="B253" i="16" s="1"/>
  <c r="B325" i="16" s="1"/>
  <c r="B96" i="16"/>
  <c r="B254" i="16" s="1"/>
  <c r="B326" i="16" s="1"/>
  <c r="B97" i="16"/>
  <c r="B255" i="16" s="1"/>
  <c r="B327" i="16" s="1"/>
  <c r="B98" i="16"/>
  <c r="B256" i="16" s="1"/>
  <c r="B328" i="16" s="1"/>
  <c r="B99" i="16"/>
  <c r="B257" i="16" s="1"/>
  <c r="B329" i="16" s="1"/>
  <c r="B100" i="16"/>
  <c r="B258" i="16" s="1"/>
  <c r="B330" i="16" s="1"/>
  <c r="B101" i="16"/>
  <c r="B259" i="16" s="1"/>
  <c r="B331" i="16" s="1"/>
  <c r="B102" i="16"/>
  <c r="B260" i="16" s="1"/>
  <c r="B332" i="16" s="1"/>
  <c r="B103" i="16"/>
  <c r="B261" i="16" s="1"/>
  <c r="B333" i="16" s="1"/>
  <c r="B104" i="16"/>
  <c r="B262" i="16" s="1"/>
  <c r="B334" i="16" s="1"/>
  <c r="B105" i="16"/>
  <c r="B106" i="16"/>
  <c r="B264" i="16" s="1"/>
  <c r="B336" i="16" s="1"/>
  <c r="B107" i="16"/>
  <c r="B265" i="16" s="1"/>
  <c r="B337" i="16" s="1"/>
  <c r="B108" i="16"/>
  <c r="B266" i="16" s="1"/>
  <c r="B338" i="16" s="1"/>
  <c r="B109" i="16"/>
  <c r="B267" i="16" s="1"/>
  <c r="B339" i="16" s="1"/>
  <c r="B110" i="16"/>
  <c r="B268" i="16" s="1"/>
  <c r="B340" i="16" s="1"/>
  <c r="B111" i="16"/>
  <c r="B112" i="16"/>
  <c r="B270" i="16" s="1"/>
  <c r="B342" i="16" s="1"/>
  <c r="B113" i="16"/>
  <c r="B271" i="16" s="1"/>
  <c r="B343" i="16" s="1"/>
  <c r="B114" i="16"/>
  <c r="B115" i="16"/>
  <c r="B273" i="16" s="1"/>
  <c r="B345" i="16" s="1"/>
  <c r="B116" i="16"/>
  <c r="B274" i="16" s="1"/>
  <c r="B346" i="16" s="1"/>
  <c r="B117" i="16"/>
  <c r="B118" i="16"/>
  <c r="B119" i="16"/>
  <c r="B277" i="16" s="1"/>
  <c r="B349" i="16" s="1"/>
  <c r="B120" i="16"/>
  <c r="B278" i="16" s="1"/>
  <c r="B350" i="16" s="1"/>
  <c r="B121" i="16"/>
  <c r="B279" i="16" s="1"/>
  <c r="B351" i="16" s="1"/>
  <c r="B122" i="16"/>
  <c r="B280" i="16" s="1"/>
  <c r="B352" i="16" s="1"/>
  <c r="B123" i="16"/>
  <c r="B281" i="16" s="1"/>
  <c r="B353" i="16" s="1"/>
  <c r="B124" i="16"/>
  <c r="B125" i="16"/>
  <c r="B283" i="16" s="1"/>
  <c r="B355" i="16" s="1"/>
  <c r="B126" i="16"/>
  <c r="B284" i="16" s="1"/>
  <c r="B356" i="16" s="1"/>
  <c r="B127" i="16"/>
  <c r="B285" i="16" s="1"/>
  <c r="B357" i="16" s="1"/>
  <c r="B128" i="16"/>
  <c r="B286" i="16" s="1"/>
  <c r="B358" i="16" s="1"/>
  <c r="B129" i="16"/>
  <c r="B287" i="16" s="1"/>
  <c r="B359" i="16" s="1"/>
  <c r="B130" i="16"/>
  <c r="B288" i="16" s="1"/>
  <c r="B360" i="16" s="1"/>
  <c r="B131" i="16"/>
  <c r="B289" i="16" s="1"/>
  <c r="B361" i="16" s="1"/>
  <c r="B132" i="16"/>
  <c r="B290" i="16" s="1"/>
  <c r="B362" i="16" s="1"/>
  <c r="B133" i="16"/>
  <c r="B291" i="16" s="1"/>
  <c r="B363" i="16" s="1"/>
  <c r="B134" i="16"/>
  <c r="B292" i="16" s="1"/>
  <c r="B364" i="16" s="1"/>
  <c r="B135" i="16"/>
  <c r="B293" i="16" s="1"/>
  <c r="B365" i="16" s="1"/>
  <c r="B136" i="16"/>
  <c r="B294" i="16" s="1"/>
  <c r="B366" i="16" s="1"/>
  <c r="B137" i="16"/>
  <c r="B138" i="16"/>
  <c r="B296" i="16" s="1"/>
  <c r="B368" i="16" s="1"/>
  <c r="B139" i="16"/>
  <c r="B297" i="16" s="1"/>
  <c r="B369" i="16" s="1"/>
  <c r="B140" i="16"/>
  <c r="B298" i="16" s="1"/>
  <c r="B370" i="16" s="1"/>
  <c r="B141" i="16"/>
  <c r="B299" i="16" s="1"/>
  <c r="B371" i="16" s="1"/>
  <c r="B142" i="16"/>
  <c r="B300" i="16" s="1"/>
  <c r="B372" i="16" s="1"/>
  <c r="B143" i="16"/>
  <c r="B301" i="16" s="1"/>
  <c r="B373" i="16" s="1"/>
  <c r="B144" i="16"/>
  <c r="B302" i="16" s="1"/>
  <c r="B374" i="16" s="1"/>
  <c r="B145" i="16"/>
  <c r="B303" i="16" s="1"/>
  <c r="B375" i="16" s="1"/>
  <c r="B146" i="16"/>
  <c r="B304" i="16" s="1"/>
  <c r="B376" i="16" s="1"/>
  <c r="B263" i="16"/>
  <c r="B335" i="16" s="1"/>
  <c r="C304" i="16"/>
  <c r="C376" i="16" s="1"/>
  <c r="F16" i="13"/>
  <c r="F21" i="13"/>
  <c r="A13" i="34" s="1"/>
  <c r="F32" i="13"/>
  <c r="F51" i="14"/>
  <c r="G39" i="14"/>
  <c r="H10" i="20"/>
  <c r="G58" i="4"/>
  <c r="I74" i="6"/>
  <c r="J74" i="6"/>
  <c r="H26" i="4"/>
  <c r="E25" i="19" s="1"/>
  <c r="U17" i="13"/>
  <c r="I73" i="6"/>
  <c r="J73" i="6"/>
  <c r="F31" i="14"/>
  <c r="F58" i="14" s="1"/>
  <c r="K35" i="3"/>
  <c r="D42" i="3"/>
  <c r="I16" i="34" s="1"/>
  <c r="L18" i="3"/>
  <c r="I41" i="9"/>
  <c r="I54" i="9" s="1"/>
  <c r="I60" i="9"/>
  <c r="I73" i="9" s="1"/>
  <c r="I143" i="9"/>
  <c r="I150" i="9" s="1"/>
  <c r="G16" i="9"/>
  <c r="H16" i="9" s="1"/>
  <c r="J16" i="9" s="1"/>
  <c r="L16" i="9" s="1"/>
  <c r="K34" i="9"/>
  <c r="K47" i="9" s="1"/>
  <c r="I141" i="9"/>
  <c r="I148" i="9" s="1"/>
  <c r="I310" i="9"/>
  <c r="I325" i="9" s="1"/>
  <c r="G340" i="9"/>
  <c r="G157" i="9"/>
  <c r="H178" i="9"/>
  <c r="G178" i="9" s="1"/>
  <c r="J430" i="9"/>
  <c r="I35" i="9"/>
  <c r="H409" i="9"/>
  <c r="I312" i="9"/>
  <c r="I327" i="9" s="1"/>
  <c r="K233" i="9"/>
  <c r="K242" i="9" s="1"/>
  <c r="K251" i="9" s="1"/>
  <c r="K260" i="9" s="1"/>
  <c r="I346" i="9"/>
  <c r="I361" i="9" s="1"/>
  <c r="I376" i="9" s="1"/>
  <c r="I391" i="9" s="1"/>
  <c r="I153" i="9"/>
  <c r="I139" i="9"/>
  <c r="I146" i="9" s="1"/>
  <c r="G34" i="9"/>
  <c r="K311" i="9"/>
  <c r="K326" i="9" s="1"/>
  <c r="K315" i="9"/>
  <c r="K330" i="9" s="1"/>
  <c r="I317" i="9"/>
  <c r="I332" i="9" s="1"/>
  <c r="F46" i="2"/>
  <c r="K347" i="9" l="1"/>
  <c r="K362" i="9" s="1"/>
  <c r="K377" i="9" s="1"/>
  <c r="K392" i="9" s="1"/>
  <c r="I228" i="9"/>
  <c r="I237" i="9" s="1"/>
  <c r="I246" i="9" s="1"/>
  <c r="I255" i="9" s="1"/>
  <c r="I156" i="9"/>
  <c r="I163" i="9" s="1"/>
  <c r="K62" i="9"/>
  <c r="K75" i="9" s="1"/>
  <c r="K88" i="9" s="1"/>
  <c r="K101" i="9" s="1"/>
  <c r="J135" i="9"/>
  <c r="L135" i="9" s="1"/>
  <c r="K40" i="9"/>
  <c r="K53" i="9" s="1"/>
  <c r="G153" i="21"/>
  <c r="I233" i="9"/>
  <c r="J233" i="9" s="1"/>
  <c r="L233" i="9" s="1"/>
  <c r="F17" i="17"/>
  <c r="G17" i="17" s="1"/>
  <c r="H17" i="17" s="1"/>
  <c r="J136" i="9"/>
  <c r="J134" i="9"/>
  <c r="R41" i="26"/>
  <c r="H41" i="26"/>
  <c r="J147" i="9"/>
  <c r="J41" i="26"/>
  <c r="F41" i="26"/>
  <c r="H9" i="11"/>
  <c r="F91" i="6" s="1"/>
  <c r="J327" i="9"/>
  <c r="L327" i="9" s="1"/>
  <c r="I336" i="9"/>
  <c r="I351" i="9" s="1"/>
  <c r="I366" i="9" s="1"/>
  <c r="I381" i="9" s="1"/>
  <c r="I314" i="9"/>
  <c r="I329" i="9" s="1"/>
  <c r="J329" i="9" s="1"/>
  <c r="I154" i="9"/>
  <c r="I161" i="9" s="1"/>
  <c r="I168" i="9" s="1"/>
  <c r="I175" i="9" s="1"/>
  <c r="K342" i="9"/>
  <c r="K357" i="9" s="1"/>
  <c r="K372" i="9" s="1"/>
  <c r="K387" i="9" s="1"/>
  <c r="K242" i="4"/>
  <c r="P242" i="4"/>
  <c r="O173" i="4"/>
  <c r="K173" i="4"/>
  <c r="G173" i="4"/>
  <c r="Q173" i="4"/>
  <c r="I173" i="4"/>
  <c r="H11" i="11"/>
  <c r="F93" i="6" s="1"/>
  <c r="H129" i="9"/>
  <c r="J129" i="9" s="1"/>
  <c r="L129" i="9" s="1"/>
  <c r="F103" i="9"/>
  <c r="G12" i="9"/>
  <c r="F21" i="24"/>
  <c r="F17" i="24"/>
  <c r="J433" i="9"/>
  <c r="F171" i="9"/>
  <c r="H171" i="9" s="1"/>
  <c r="G171" i="9" s="1"/>
  <c r="K310" i="9"/>
  <c r="K325" i="9" s="1"/>
  <c r="I64" i="9"/>
  <c r="I77" i="9" s="1"/>
  <c r="C87" i="16"/>
  <c r="C245" i="16" s="1"/>
  <c r="C317" i="16" s="1"/>
  <c r="F97" i="6"/>
  <c r="I97" i="6" s="1"/>
  <c r="H15" i="11"/>
  <c r="N41" i="26"/>
  <c r="I41" i="26"/>
  <c r="S101" i="36"/>
  <c r="S103" i="36" s="1"/>
  <c r="S108" i="36" s="1"/>
  <c r="R103" i="36"/>
  <c r="R108" i="36" s="1"/>
  <c r="N24" i="13"/>
  <c r="J92" i="6"/>
  <c r="I92" i="6"/>
  <c r="U33" i="13"/>
  <c r="N26" i="13"/>
  <c r="U35" i="13"/>
  <c r="I94" i="6"/>
  <c r="J94" i="6"/>
  <c r="H17" i="4"/>
  <c r="E16" i="19" s="1"/>
  <c r="G16" i="19" s="1"/>
  <c r="G22" i="36"/>
  <c r="H22" i="36" s="1"/>
  <c r="H37" i="4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G42" i="36"/>
  <c r="H42" i="36" s="1"/>
  <c r="H19" i="4"/>
  <c r="E18" i="19" s="1"/>
  <c r="G18" i="19" s="1"/>
  <c r="G24" i="36"/>
  <c r="H24" i="36" s="1"/>
  <c r="H31" i="4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G36" i="36"/>
  <c r="H36" i="36" s="1"/>
  <c r="H27" i="4"/>
  <c r="E26" i="19" s="1"/>
  <c r="G26" i="19" s="1"/>
  <c r="G32" i="36"/>
  <c r="H32" i="36" s="1"/>
  <c r="H28" i="4"/>
  <c r="E27" i="19" s="1"/>
  <c r="G27" i="19" s="1"/>
  <c r="G33" i="36"/>
  <c r="H33" i="36" s="1"/>
  <c r="H16" i="4"/>
  <c r="E15" i="19" s="1"/>
  <c r="G15" i="19" s="1"/>
  <c r="G21" i="36"/>
  <c r="H21" i="36" s="1"/>
  <c r="F51" i="6"/>
  <c r="I51" i="6" s="1"/>
  <c r="F10" i="36"/>
  <c r="F13" i="17"/>
  <c r="G13" i="17" s="1"/>
  <c r="H13" i="17" s="1"/>
  <c r="F15" i="17"/>
  <c r="G15" i="17" s="1"/>
  <c r="H15" i="17" s="1"/>
  <c r="F11" i="17"/>
  <c r="G11" i="17" s="1"/>
  <c r="H11" i="17" s="1"/>
  <c r="V35" i="26"/>
  <c r="V33" i="26"/>
  <c r="V17" i="26"/>
  <c r="V24" i="26"/>
  <c r="V23" i="26"/>
  <c r="V34" i="26"/>
  <c r="V25" i="26"/>
  <c r="M191" i="4"/>
  <c r="D16" i="17"/>
  <c r="F9" i="17"/>
  <c r="G9" i="17" s="1"/>
  <c r="H9" i="17" s="1"/>
  <c r="M43" i="26"/>
  <c r="I341" i="9"/>
  <c r="I356" i="9" s="1"/>
  <c r="I371" i="9" s="1"/>
  <c r="I386" i="9" s="1"/>
  <c r="J242" i="4"/>
  <c r="I146" i="7"/>
  <c r="G282" i="21"/>
  <c r="D12" i="17"/>
  <c r="J293" i="9"/>
  <c r="J157" i="9"/>
  <c r="L157" i="9" s="1"/>
  <c r="J175" i="9"/>
  <c r="D14" i="17"/>
  <c r="K306" i="9"/>
  <c r="K321" i="9" s="1"/>
  <c r="G289" i="21"/>
  <c r="L268" i="21"/>
  <c r="E282" i="21"/>
  <c r="I263" i="21"/>
  <c r="G266" i="21"/>
  <c r="I137" i="21"/>
  <c r="G139" i="21"/>
  <c r="F18" i="17"/>
  <c r="G18" i="17" s="1"/>
  <c r="H18" i="17" s="1"/>
  <c r="F8" i="17"/>
  <c r="G8" i="17" s="1"/>
  <c r="H8" i="17" s="1"/>
  <c r="J28" i="9"/>
  <c r="L28" i="9" s="1"/>
  <c r="J204" i="9"/>
  <c r="J301" i="9"/>
  <c r="J292" i="9"/>
  <c r="L292" i="9" s="1"/>
  <c r="I8" i="21"/>
  <c r="G9" i="21"/>
  <c r="F12" i="17"/>
  <c r="G12" i="17" s="1"/>
  <c r="H12" i="17" s="1"/>
  <c r="I338" i="9"/>
  <c r="F368" i="9"/>
  <c r="H368" i="9" s="1"/>
  <c r="G368" i="9" s="1"/>
  <c r="K316" i="9"/>
  <c r="K331" i="9" s="1"/>
  <c r="K40" i="3"/>
  <c r="K38" i="3"/>
  <c r="F71" i="7"/>
  <c r="D18" i="17"/>
  <c r="F16" i="17"/>
  <c r="G16" i="17" s="1"/>
  <c r="H16" i="17" s="1"/>
  <c r="F14" i="17"/>
  <c r="G14" i="17" s="1"/>
  <c r="H14" i="17" s="1"/>
  <c r="F7" i="17"/>
  <c r="G7" i="17" s="1"/>
  <c r="P41" i="26"/>
  <c r="P43" i="26" s="1"/>
  <c r="L41" i="26"/>
  <c r="G41" i="26"/>
  <c r="J203" i="9"/>
  <c r="L203" i="9" s="1"/>
  <c r="F376" i="9"/>
  <c r="H376" i="9" s="1"/>
  <c r="J376" i="9" s="1"/>
  <c r="L376" i="9" s="1"/>
  <c r="F372" i="9"/>
  <c r="H372" i="9" s="1"/>
  <c r="G372" i="9" s="1"/>
  <c r="I20" i="4"/>
  <c r="J20" i="4" s="1"/>
  <c r="K20" i="4" s="1"/>
  <c r="L20" i="4" s="1"/>
  <c r="M20" i="4" s="1"/>
  <c r="N20" i="4" s="1"/>
  <c r="O20" i="4" s="1"/>
  <c r="P20" i="4" s="1"/>
  <c r="Q20" i="4" s="1"/>
  <c r="R20" i="4" s="1"/>
  <c r="E19" i="19"/>
  <c r="G19" i="19" s="1"/>
  <c r="I36" i="4"/>
  <c r="J36" i="4" s="1"/>
  <c r="K36" i="4" s="1"/>
  <c r="L36" i="4" s="1"/>
  <c r="M36" i="4" s="1"/>
  <c r="N36" i="4" s="1"/>
  <c r="O36" i="4" s="1"/>
  <c r="P36" i="4" s="1"/>
  <c r="Q36" i="4" s="1"/>
  <c r="R36" i="4" s="1"/>
  <c r="E35" i="19"/>
  <c r="G35" i="19" s="1"/>
  <c r="I32" i="4"/>
  <c r="J32" i="4" s="1"/>
  <c r="K32" i="4" s="1"/>
  <c r="L32" i="4" s="1"/>
  <c r="M32" i="4" s="1"/>
  <c r="N32" i="4" s="1"/>
  <c r="O32" i="4" s="1"/>
  <c r="P32" i="4" s="1"/>
  <c r="Q32" i="4" s="1"/>
  <c r="R32" i="4" s="1"/>
  <c r="E31" i="19"/>
  <c r="G31" i="19" s="1"/>
  <c r="I14" i="4"/>
  <c r="J14" i="4" s="1"/>
  <c r="K14" i="4" s="1"/>
  <c r="L14" i="4" s="1"/>
  <c r="M14" i="4" s="1"/>
  <c r="N14" i="4" s="1"/>
  <c r="O14" i="4" s="1"/>
  <c r="P14" i="4" s="1"/>
  <c r="Q14" i="4" s="1"/>
  <c r="R14" i="4" s="1"/>
  <c r="E13" i="19"/>
  <c r="G13" i="19" s="1"/>
  <c r="I33" i="4"/>
  <c r="J33" i="4" s="1"/>
  <c r="K33" i="4" s="1"/>
  <c r="L33" i="4" s="1"/>
  <c r="M33" i="4" s="1"/>
  <c r="N33" i="4" s="1"/>
  <c r="O33" i="4" s="1"/>
  <c r="P33" i="4" s="1"/>
  <c r="Q33" i="4" s="1"/>
  <c r="R33" i="4" s="1"/>
  <c r="E32" i="19"/>
  <c r="G32" i="19" s="1"/>
  <c r="I35" i="4"/>
  <c r="J35" i="4" s="1"/>
  <c r="K35" i="4" s="1"/>
  <c r="L35" i="4" s="1"/>
  <c r="M35" i="4" s="1"/>
  <c r="N35" i="4" s="1"/>
  <c r="O35" i="4" s="1"/>
  <c r="P35" i="4" s="1"/>
  <c r="Q35" i="4" s="1"/>
  <c r="R35" i="4" s="1"/>
  <c r="E34" i="19"/>
  <c r="G34" i="19" s="1"/>
  <c r="I29" i="4"/>
  <c r="J29" i="4" s="1"/>
  <c r="K29" i="4" s="1"/>
  <c r="L29" i="4" s="1"/>
  <c r="M29" i="4" s="1"/>
  <c r="N29" i="4" s="1"/>
  <c r="O29" i="4" s="1"/>
  <c r="P29" i="4" s="1"/>
  <c r="Q29" i="4" s="1"/>
  <c r="R29" i="4" s="1"/>
  <c r="E28" i="19"/>
  <c r="G28" i="19" s="1"/>
  <c r="G15" i="9"/>
  <c r="H15" i="9" s="1"/>
  <c r="J15" i="9" s="1"/>
  <c r="L15" i="9" s="1"/>
  <c r="F86" i="9"/>
  <c r="H86" i="9" s="1"/>
  <c r="G86" i="9" s="1"/>
  <c r="F176" i="16"/>
  <c r="L263" i="21"/>
  <c r="E266" i="21"/>
  <c r="G261" i="21"/>
  <c r="I204" i="21"/>
  <c r="G233" i="21"/>
  <c r="I193" i="21"/>
  <c r="G201" i="21"/>
  <c r="L193" i="21"/>
  <c r="E201" i="21"/>
  <c r="L178" i="21"/>
  <c r="E191" i="21"/>
  <c r="I178" i="21"/>
  <c r="G191" i="21"/>
  <c r="L155" i="21"/>
  <c r="E166" i="21"/>
  <c r="G166" i="21"/>
  <c r="L150" i="21"/>
  <c r="E153" i="21"/>
  <c r="L141" i="21"/>
  <c r="E148" i="21"/>
  <c r="I141" i="21"/>
  <c r="G148" i="21"/>
  <c r="L137" i="21"/>
  <c r="E139" i="21"/>
  <c r="L87" i="21"/>
  <c r="E135" i="21"/>
  <c r="G135" i="21"/>
  <c r="I72" i="21"/>
  <c r="G85" i="21"/>
  <c r="L72" i="21"/>
  <c r="F87" i="6" s="1"/>
  <c r="E85" i="21"/>
  <c r="I11" i="21"/>
  <c r="G70" i="21"/>
  <c r="L235" i="21"/>
  <c r="I42" i="28"/>
  <c r="Q191" i="4"/>
  <c r="M244" i="4"/>
  <c r="M173" i="4"/>
  <c r="V18" i="26"/>
  <c r="L301" i="9"/>
  <c r="V38" i="26"/>
  <c r="I315" i="9"/>
  <c r="I330" i="9" s="1"/>
  <c r="J330" i="9" s="1"/>
  <c r="L330" i="9" s="1"/>
  <c r="F374" i="9"/>
  <c r="H374" i="9" s="1"/>
  <c r="G374" i="9" s="1"/>
  <c r="F71" i="20"/>
  <c r="F77" i="20" s="1"/>
  <c r="F78" i="20" s="1"/>
  <c r="F22" i="11"/>
  <c r="I191" i="4"/>
  <c r="I42" i="3"/>
  <c r="I335" i="9"/>
  <c r="I305" i="9"/>
  <c r="F370" i="9"/>
  <c r="H370" i="9" s="1"/>
  <c r="G370" i="9" s="1"/>
  <c r="F385" i="9"/>
  <c r="H385" i="9" s="1"/>
  <c r="K232" i="9"/>
  <c r="K241" i="9" s="1"/>
  <c r="K250" i="9" s="1"/>
  <c r="K259" i="9" s="1"/>
  <c r="K214" i="9"/>
  <c r="K223" i="9" s="1"/>
  <c r="F45" i="20"/>
  <c r="F48" i="20" s="1"/>
  <c r="F54" i="20" s="1"/>
  <c r="F53" i="20"/>
  <c r="V36" i="26"/>
  <c r="V31" i="26"/>
  <c r="V16" i="26"/>
  <c r="V14" i="26"/>
  <c r="V22" i="26"/>
  <c r="R164" i="4"/>
  <c r="I41" i="28"/>
  <c r="J142" i="9"/>
  <c r="L142" i="9" s="1"/>
  <c r="V13" i="26"/>
  <c r="V32" i="26"/>
  <c r="V12" i="26"/>
  <c r="V30" i="26"/>
  <c r="I44" i="9"/>
  <c r="I57" i="9" s="1"/>
  <c r="A104" i="16"/>
  <c r="C104" i="16" s="1"/>
  <c r="C262" i="16" s="1"/>
  <c r="C334" i="16" s="1"/>
  <c r="B245" i="16"/>
  <c r="B317" i="16" s="1"/>
  <c r="V37" i="26"/>
  <c r="V10" i="26"/>
  <c r="V41" i="26" s="1"/>
  <c r="V26" i="26"/>
  <c r="V15" i="26"/>
  <c r="V11" i="26"/>
  <c r="G7" i="16"/>
  <c r="K343" i="9"/>
  <c r="K358" i="9" s="1"/>
  <c r="K373" i="9" s="1"/>
  <c r="K388" i="9" s="1"/>
  <c r="K313" i="9"/>
  <c r="K328" i="9" s="1"/>
  <c r="I231" i="9"/>
  <c r="I213" i="9"/>
  <c r="I222" i="9" s="1"/>
  <c r="J222" i="9" s="1"/>
  <c r="L222" i="9" s="1"/>
  <c r="F174" i="9"/>
  <c r="H174" i="9" s="1"/>
  <c r="G174" i="9" s="1"/>
  <c r="F167" i="9"/>
  <c r="H167" i="9" s="1"/>
  <c r="G167" i="9" s="1"/>
  <c r="R184" i="4"/>
  <c r="N173" i="4"/>
  <c r="J173" i="4"/>
  <c r="F173" i="4"/>
  <c r="D10" i="17"/>
  <c r="D8" i="17"/>
  <c r="F177" i="9"/>
  <c r="H177" i="9" s="1"/>
  <c r="G177" i="9" s="1"/>
  <c r="G13" i="9"/>
  <c r="H13" i="9" s="1"/>
  <c r="J13" i="9" s="1"/>
  <c r="L13" i="9" s="1"/>
  <c r="F104" i="9"/>
  <c r="H104" i="9" s="1"/>
  <c r="I117" i="6"/>
  <c r="J117" i="6"/>
  <c r="N49" i="13"/>
  <c r="N55" i="13"/>
  <c r="I123" i="6"/>
  <c r="J123" i="6"/>
  <c r="C19" i="11"/>
  <c r="F19" i="11" s="1"/>
  <c r="F7" i="11"/>
  <c r="G81" i="3"/>
  <c r="D9" i="17"/>
  <c r="D7" i="17"/>
  <c r="J328" i="9"/>
  <c r="J140" i="9"/>
  <c r="F89" i="9"/>
  <c r="H89" i="9" s="1"/>
  <c r="F102" i="9"/>
  <c r="C21" i="11"/>
  <c r="F21" i="11" s="1"/>
  <c r="J300" i="9"/>
  <c r="L300" i="9" s="1"/>
  <c r="R189" i="4"/>
  <c r="P173" i="4"/>
  <c r="L173" i="4"/>
  <c r="H173" i="4"/>
  <c r="R171" i="4"/>
  <c r="N29" i="13"/>
  <c r="F81" i="3"/>
  <c r="F146" i="7"/>
  <c r="E71" i="7"/>
  <c r="D20" i="17"/>
  <c r="D17" i="17"/>
  <c r="D15" i="17"/>
  <c r="D13" i="17"/>
  <c r="J161" i="9"/>
  <c r="J139" i="9"/>
  <c r="G14" i="9"/>
  <c r="H14" i="9" s="1"/>
  <c r="J14" i="9" s="1"/>
  <c r="L14" i="9" s="1"/>
  <c r="F105" i="9"/>
  <c r="H105" i="9" s="1"/>
  <c r="G105" i="9" s="1"/>
  <c r="N42" i="13"/>
  <c r="J110" i="6"/>
  <c r="I110" i="6"/>
  <c r="F59" i="10"/>
  <c r="J60" i="10" s="1"/>
  <c r="O172" i="6"/>
  <c r="H172" i="6" s="1"/>
  <c r="H38" i="6" s="1"/>
  <c r="O245" i="6"/>
  <c r="H245" i="6" s="1"/>
  <c r="O247" i="6"/>
  <c r="H247" i="6" s="1"/>
  <c r="O249" i="6"/>
  <c r="H249" i="6" s="1"/>
  <c r="H123" i="6" s="1"/>
  <c r="O251" i="6"/>
  <c r="H251" i="6" s="1"/>
  <c r="H125" i="6" s="1"/>
  <c r="O246" i="6"/>
  <c r="H246" i="6" s="1"/>
  <c r="O250" i="6"/>
  <c r="H250" i="6" s="1"/>
  <c r="O248" i="6"/>
  <c r="H248" i="6" s="1"/>
  <c r="O252" i="6"/>
  <c r="H252" i="6" s="1"/>
  <c r="H126" i="6" s="1"/>
  <c r="C20" i="11"/>
  <c r="J31" i="9"/>
  <c r="L31" i="9" s="1"/>
  <c r="J290" i="9"/>
  <c r="L290" i="9" s="1"/>
  <c r="J299" i="9"/>
  <c r="L299" i="9" s="1"/>
  <c r="J295" i="9"/>
  <c r="L295" i="9" s="1"/>
  <c r="O231" i="6"/>
  <c r="H231" i="6" s="1"/>
  <c r="H105" i="6" s="1"/>
  <c r="H31" i="11"/>
  <c r="F111" i="6" s="1"/>
  <c r="H29" i="11"/>
  <c r="F109" i="6" s="1"/>
  <c r="H28" i="11"/>
  <c r="F108" i="6" s="1"/>
  <c r="H44" i="11"/>
  <c r="F124" i="6" s="1"/>
  <c r="H42" i="11"/>
  <c r="F122" i="6" s="1"/>
  <c r="H41" i="11"/>
  <c r="F121" i="6" s="1"/>
  <c r="H40" i="11"/>
  <c r="F120" i="6" s="1"/>
  <c r="H39" i="11"/>
  <c r="F119" i="6" s="1"/>
  <c r="H38" i="11"/>
  <c r="F118" i="6" s="1"/>
  <c r="H36" i="11"/>
  <c r="F116" i="6" s="1"/>
  <c r="H35" i="11"/>
  <c r="F115" i="6" s="1"/>
  <c r="H34" i="11"/>
  <c r="F114" i="6" s="1"/>
  <c r="H33" i="11"/>
  <c r="F113" i="6" s="1"/>
  <c r="H32" i="11"/>
  <c r="F112" i="6" s="1"/>
  <c r="G421" i="9"/>
  <c r="H421" i="9" s="1"/>
  <c r="J421" i="9" s="1"/>
  <c r="L421" i="9" s="1"/>
  <c r="J332" i="9"/>
  <c r="L332" i="9" s="1"/>
  <c r="H391" i="9"/>
  <c r="J391" i="9" s="1"/>
  <c r="L391" i="9" s="1"/>
  <c r="G286" i="9"/>
  <c r="H286" i="9" s="1"/>
  <c r="J286" i="9" s="1"/>
  <c r="L286" i="9" s="1"/>
  <c r="F373" i="9"/>
  <c r="H373" i="9" s="1"/>
  <c r="G373" i="9" s="1"/>
  <c r="H388" i="9"/>
  <c r="G283" i="9"/>
  <c r="G285" i="9"/>
  <c r="H285" i="9" s="1"/>
  <c r="J285" i="9" s="1"/>
  <c r="H390" i="9"/>
  <c r="G390" i="9" s="1"/>
  <c r="G284" i="9"/>
  <c r="H389" i="9"/>
  <c r="G389" i="9" s="1"/>
  <c r="G282" i="9"/>
  <c r="H282" i="9" s="1"/>
  <c r="J282" i="9" s="1"/>
  <c r="L282" i="9" s="1"/>
  <c r="H387" i="9"/>
  <c r="G387" i="9" s="1"/>
  <c r="H386" i="9"/>
  <c r="G281" i="9"/>
  <c r="H281" i="9" s="1"/>
  <c r="J281" i="9" s="1"/>
  <c r="L281" i="9" s="1"/>
  <c r="I323" i="9"/>
  <c r="J323" i="9" s="1"/>
  <c r="J308" i="9"/>
  <c r="I370" i="9"/>
  <c r="I385" i="9" s="1"/>
  <c r="J355" i="9"/>
  <c r="L355" i="9" s="1"/>
  <c r="G195" i="9"/>
  <c r="F258" i="9"/>
  <c r="H258" i="9" s="1"/>
  <c r="G258" i="9" s="1"/>
  <c r="J325" i="9"/>
  <c r="J340" i="9"/>
  <c r="L340" i="9" s="1"/>
  <c r="I343" i="9"/>
  <c r="J296" i="9"/>
  <c r="L296" i="9" s="1"/>
  <c r="J344" i="9"/>
  <c r="L293" i="9"/>
  <c r="K308" i="9"/>
  <c r="K323" i="9" s="1"/>
  <c r="J297" i="9"/>
  <c r="L297" i="9" s="1"/>
  <c r="G280" i="9"/>
  <c r="H280" i="9" s="1"/>
  <c r="J280" i="9" s="1"/>
  <c r="L280" i="9" s="1"/>
  <c r="G278" i="9"/>
  <c r="H278" i="9" s="1"/>
  <c r="J278" i="9" s="1"/>
  <c r="L278" i="9" s="1"/>
  <c r="H383" i="9"/>
  <c r="H382" i="9"/>
  <c r="G382" i="9" s="1"/>
  <c r="G277" i="9"/>
  <c r="H277" i="9" s="1"/>
  <c r="J277" i="9" s="1"/>
  <c r="L277" i="9" s="1"/>
  <c r="G276" i="9"/>
  <c r="H276" i="9" s="1"/>
  <c r="J276" i="9" s="1"/>
  <c r="L276" i="9" s="1"/>
  <c r="H381" i="9"/>
  <c r="G381" i="9" s="1"/>
  <c r="H380" i="9"/>
  <c r="G275" i="9"/>
  <c r="H275" i="9" s="1"/>
  <c r="J275" i="9" s="1"/>
  <c r="L275" i="9" s="1"/>
  <c r="F365" i="9"/>
  <c r="H365" i="9" s="1"/>
  <c r="G365" i="9" s="1"/>
  <c r="K212" i="9"/>
  <c r="K221" i="9" s="1"/>
  <c r="F252" i="9"/>
  <c r="H252" i="9" s="1"/>
  <c r="G252" i="9" s="1"/>
  <c r="H261" i="9"/>
  <c r="G198" i="9"/>
  <c r="H198" i="9" s="1"/>
  <c r="J198" i="9" s="1"/>
  <c r="L198" i="9" s="1"/>
  <c r="F251" i="9"/>
  <c r="H251" i="9" s="1"/>
  <c r="G251" i="9" s="1"/>
  <c r="H260" i="9"/>
  <c r="G197" i="9"/>
  <c r="H197" i="9" s="1"/>
  <c r="J197" i="9" s="1"/>
  <c r="L197" i="9" s="1"/>
  <c r="H259" i="9"/>
  <c r="G259" i="9" s="1"/>
  <c r="G196" i="9"/>
  <c r="H196" i="9" s="1"/>
  <c r="J196" i="9" s="1"/>
  <c r="L196" i="9" s="1"/>
  <c r="F250" i="9"/>
  <c r="H250" i="9" s="1"/>
  <c r="G250" i="9" s="1"/>
  <c r="H257" i="9"/>
  <c r="G257" i="9" s="1"/>
  <c r="G194" i="9"/>
  <c r="H194" i="9" s="1"/>
  <c r="J194" i="9" s="1"/>
  <c r="L194" i="9" s="1"/>
  <c r="H255" i="9"/>
  <c r="G255" i="9" s="1"/>
  <c r="G192" i="9"/>
  <c r="L132" i="9"/>
  <c r="J156" i="9"/>
  <c r="J155" i="9"/>
  <c r="J153" i="9"/>
  <c r="L153" i="9" s="1"/>
  <c r="J150" i="9"/>
  <c r="J146" i="9"/>
  <c r="J311" i="9"/>
  <c r="L311" i="9" s="1"/>
  <c r="J62" i="9"/>
  <c r="L62" i="9" s="1"/>
  <c r="E63" i="16"/>
  <c r="I63" i="16" s="1"/>
  <c r="C268" i="7"/>
  <c r="E55" i="16"/>
  <c r="D55" i="16" s="1"/>
  <c r="D213" i="16" s="1"/>
  <c r="C260" i="7"/>
  <c r="E47" i="16"/>
  <c r="E205" i="16" s="1"/>
  <c r="C252" i="7"/>
  <c r="E39" i="16"/>
  <c r="D39" i="16" s="1"/>
  <c r="D119" i="16" s="1"/>
  <c r="D277" i="16" s="1"/>
  <c r="D349" i="16" s="1"/>
  <c r="C244" i="7"/>
  <c r="E31" i="16"/>
  <c r="E111" i="16" s="1"/>
  <c r="E269" i="16" s="1"/>
  <c r="E341" i="16" s="1"/>
  <c r="C236" i="7"/>
  <c r="C228" i="7"/>
  <c r="E15" i="16"/>
  <c r="I15" i="16" s="1"/>
  <c r="C220" i="7"/>
  <c r="E11" i="16"/>
  <c r="E91" i="16" s="1"/>
  <c r="E249" i="16" s="1"/>
  <c r="E321" i="16" s="1"/>
  <c r="C216" i="7"/>
  <c r="E60" i="16"/>
  <c r="D60" i="16" s="1"/>
  <c r="C265" i="7"/>
  <c r="E56" i="16"/>
  <c r="D56" i="16" s="1"/>
  <c r="D136" i="16" s="1"/>
  <c r="D294" i="16" s="1"/>
  <c r="D366" i="16" s="1"/>
  <c r="C261" i="7"/>
  <c r="E48" i="16"/>
  <c r="E206" i="16" s="1"/>
  <c r="C253" i="7"/>
  <c r="E44" i="16"/>
  <c r="E124" i="16" s="1"/>
  <c r="E282" i="16" s="1"/>
  <c r="E354" i="16" s="1"/>
  <c r="C249" i="7"/>
  <c r="E40" i="16"/>
  <c r="I40" i="16" s="1"/>
  <c r="C245" i="7"/>
  <c r="E36" i="16"/>
  <c r="E194" i="16" s="1"/>
  <c r="C241" i="7"/>
  <c r="E32" i="16"/>
  <c r="E112" i="16" s="1"/>
  <c r="E270" i="16" s="1"/>
  <c r="E342" i="16" s="1"/>
  <c r="C237" i="7"/>
  <c r="E28" i="16"/>
  <c r="D28" i="16" s="1"/>
  <c r="C233" i="7"/>
  <c r="E24" i="16"/>
  <c r="D24" i="16" s="1"/>
  <c r="D104" i="16" s="1"/>
  <c r="D262" i="16" s="1"/>
  <c r="D334" i="16" s="1"/>
  <c r="C229" i="7"/>
  <c r="E20" i="16"/>
  <c r="E178" i="16" s="1"/>
  <c r="C225" i="7"/>
  <c r="E12" i="16"/>
  <c r="D12" i="16" s="1"/>
  <c r="D92" i="16" s="1"/>
  <c r="D250" i="16" s="1"/>
  <c r="D322" i="16" s="1"/>
  <c r="C217" i="7"/>
  <c r="C213" i="7"/>
  <c r="E65" i="16"/>
  <c r="E223" i="16" s="1"/>
  <c r="C270" i="7"/>
  <c r="D270" i="7" s="1"/>
  <c r="E61" i="16"/>
  <c r="E141" i="16" s="1"/>
  <c r="E299" i="16" s="1"/>
  <c r="E371" i="16" s="1"/>
  <c r="C266" i="7"/>
  <c r="E57" i="16"/>
  <c r="E215" i="16" s="1"/>
  <c r="C262" i="7"/>
  <c r="E53" i="16"/>
  <c r="E133" i="16" s="1"/>
  <c r="E291" i="16" s="1"/>
  <c r="E363" i="16" s="1"/>
  <c r="C258" i="7"/>
  <c r="E49" i="16"/>
  <c r="E129" i="16" s="1"/>
  <c r="E287" i="16" s="1"/>
  <c r="E359" i="16" s="1"/>
  <c r="C254" i="7"/>
  <c r="E45" i="16"/>
  <c r="E203" i="16" s="1"/>
  <c r="C250" i="7"/>
  <c r="E41" i="16"/>
  <c r="D41" i="16" s="1"/>
  <c r="C246" i="7"/>
  <c r="E37" i="16"/>
  <c r="D37" i="16" s="1"/>
  <c r="D117" i="16" s="1"/>
  <c r="D275" i="16" s="1"/>
  <c r="D347" i="16" s="1"/>
  <c r="C242" i="7"/>
  <c r="E33" i="16"/>
  <c r="E113" i="16" s="1"/>
  <c r="E271" i="16" s="1"/>
  <c r="E343" i="16" s="1"/>
  <c r="C238" i="7"/>
  <c r="E29" i="16"/>
  <c r="E109" i="16" s="1"/>
  <c r="E267" i="16" s="1"/>
  <c r="E339" i="16" s="1"/>
  <c r="C234" i="7"/>
  <c r="E25" i="16"/>
  <c r="I25" i="16" s="1"/>
  <c r="C230" i="7"/>
  <c r="E21" i="16"/>
  <c r="D21" i="16" s="1"/>
  <c r="C226" i="7"/>
  <c r="E17" i="16"/>
  <c r="E175" i="16" s="1"/>
  <c r="C222" i="7"/>
  <c r="E13" i="16"/>
  <c r="E171" i="16" s="1"/>
  <c r="C218" i="7"/>
  <c r="D89" i="16"/>
  <c r="D247" i="16" s="1"/>
  <c r="D319" i="16" s="1"/>
  <c r="C214" i="7"/>
  <c r="E59" i="16"/>
  <c r="I59" i="16" s="1"/>
  <c r="E51" i="16"/>
  <c r="E209" i="16" s="1"/>
  <c r="C256" i="7"/>
  <c r="C248" i="7"/>
  <c r="E35" i="16"/>
  <c r="I35" i="16" s="1"/>
  <c r="C240" i="7"/>
  <c r="E27" i="16"/>
  <c r="E185" i="16" s="1"/>
  <c r="C232" i="7"/>
  <c r="E19" i="16"/>
  <c r="E99" i="16" s="1"/>
  <c r="E257" i="16" s="1"/>
  <c r="E329" i="16" s="1"/>
  <c r="C224" i="7"/>
  <c r="C212" i="7"/>
  <c r="E64" i="16"/>
  <c r="I64" i="16" s="1"/>
  <c r="C269" i="7"/>
  <c r="E52" i="16"/>
  <c r="E210" i="16" s="1"/>
  <c r="C257" i="7"/>
  <c r="E16" i="16"/>
  <c r="E174" i="16" s="1"/>
  <c r="C221" i="7"/>
  <c r="E62" i="16"/>
  <c r="I62" i="16" s="1"/>
  <c r="C267" i="7"/>
  <c r="E58" i="16"/>
  <c r="E138" i="16" s="1"/>
  <c r="E296" i="16" s="1"/>
  <c r="E368" i="16" s="1"/>
  <c r="C263" i="7"/>
  <c r="E54" i="16"/>
  <c r="D54" i="16" s="1"/>
  <c r="C259" i="7"/>
  <c r="E50" i="16"/>
  <c r="D50" i="16" s="1"/>
  <c r="D130" i="16" s="1"/>
  <c r="D288" i="16" s="1"/>
  <c r="D360" i="16" s="1"/>
  <c r="C255" i="7"/>
  <c r="E46" i="16"/>
  <c r="E204" i="16" s="1"/>
  <c r="I204" i="16" s="1"/>
  <c r="C251" i="7"/>
  <c r="E42" i="16"/>
  <c r="D42" i="16" s="1"/>
  <c r="D122" i="16" s="1"/>
  <c r="D280" i="16" s="1"/>
  <c r="D352" i="16" s="1"/>
  <c r="C247" i="7"/>
  <c r="E38" i="16"/>
  <c r="E118" i="16" s="1"/>
  <c r="E276" i="16" s="1"/>
  <c r="E348" i="16" s="1"/>
  <c r="C243" i="7"/>
  <c r="E34" i="16"/>
  <c r="E114" i="16" s="1"/>
  <c r="E272" i="16" s="1"/>
  <c r="E344" i="16" s="1"/>
  <c r="C239" i="7"/>
  <c r="E30" i="16"/>
  <c r="I30" i="16" s="1"/>
  <c r="C235" i="7"/>
  <c r="E26" i="16"/>
  <c r="E106" i="16" s="1"/>
  <c r="E264" i="16" s="1"/>
  <c r="E336" i="16" s="1"/>
  <c r="C231" i="7"/>
  <c r="E22" i="16"/>
  <c r="E102" i="16" s="1"/>
  <c r="E260" i="16" s="1"/>
  <c r="E332" i="16" s="1"/>
  <c r="C227" i="7"/>
  <c r="E18" i="16"/>
  <c r="E98" i="16" s="1"/>
  <c r="E256" i="16" s="1"/>
  <c r="E328" i="16" s="1"/>
  <c r="C223" i="7"/>
  <c r="E14" i="16"/>
  <c r="D14" i="16" s="1"/>
  <c r="D172" i="16" s="1"/>
  <c r="C219" i="7"/>
  <c r="E10" i="16"/>
  <c r="C215" i="7"/>
  <c r="F90" i="6"/>
  <c r="F163" i="2"/>
  <c r="F30" i="23" s="1"/>
  <c r="E48" i="2"/>
  <c r="H65" i="2"/>
  <c r="L83" i="2" s="1"/>
  <c r="H112" i="2"/>
  <c r="H115" i="2" s="1"/>
  <c r="H117" i="2" s="1"/>
  <c r="V135" i="2" s="1"/>
  <c r="F65" i="2"/>
  <c r="X69" i="2" s="1"/>
  <c r="M49" i="4"/>
  <c r="L63" i="3"/>
  <c r="L191" i="4"/>
  <c r="N244" i="4"/>
  <c r="Q242" i="4"/>
  <c r="G242" i="4"/>
  <c r="N191" i="4"/>
  <c r="J191" i="4"/>
  <c r="F191" i="4"/>
  <c r="P191" i="4"/>
  <c r="H191" i="4"/>
  <c r="I242" i="4"/>
  <c r="L242" i="4"/>
  <c r="N241" i="4"/>
  <c r="N242" i="4" s="1"/>
  <c r="O191" i="4"/>
  <c r="K191" i="4"/>
  <c r="G191" i="4"/>
  <c r="M242" i="4"/>
  <c r="R191" i="4"/>
  <c r="O158" i="6"/>
  <c r="H158" i="6" s="1"/>
  <c r="H24" i="6" s="1"/>
  <c r="O152" i="6"/>
  <c r="H152" i="6" s="1"/>
  <c r="H18" i="6" s="1"/>
  <c r="O155" i="6"/>
  <c r="H155" i="6" s="1"/>
  <c r="H21" i="6" s="1"/>
  <c r="O211" i="6"/>
  <c r="H211" i="6" s="1"/>
  <c r="H85" i="6" s="1"/>
  <c r="E24" i="23"/>
  <c r="E49" i="23" s="1"/>
  <c r="F10" i="13"/>
  <c r="A112" i="16"/>
  <c r="A270" i="16" s="1"/>
  <c r="A342" i="16" s="1"/>
  <c r="A108" i="16"/>
  <c r="A266" i="16" s="1"/>
  <c r="A338" i="16" s="1"/>
  <c r="I15" i="4"/>
  <c r="J15" i="4" s="1"/>
  <c r="K15" i="4" s="1"/>
  <c r="L15" i="4" s="1"/>
  <c r="M15" i="4" s="1"/>
  <c r="N15" i="4" s="1"/>
  <c r="O15" i="4" s="1"/>
  <c r="P15" i="4" s="1"/>
  <c r="Q15" i="4" s="1"/>
  <c r="R15" i="4" s="1"/>
  <c r="A92" i="16"/>
  <c r="A250" i="16" s="1"/>
  <c r="A322" i="16" s="1"/>
  <c r="I10" i="4"/>
  <c r="J10" i="4" s="1"/>
  <c r="K10" i="4" s="1"/>
  <c r="L10" i="4" s="1"/>
  <c r="M10" i="4" s="1"/>
  <c r="N10" i="4" s="1"/>
  <c r="O10" i="4" s="1"/>
  <c r="P10" i="4" s="1"/>
  <c r="Q10" i="4" s="1"/>
  <c r="R10" i="4" s="1"/>
  <c r="G8" i="10"/>
  <c r="F78" i="6" s="1"/>
  <c r="I78" i="6" s="1"/>
  <c r="T50" i="35"/>
  <c r="A94" i="16"/>
  <c r="C94" i="16" s="1"/>
  <c r="C252" i="16" s="1"/>
  <c r="C324" i="16" s="1"/>
  <c r="C30" i="16"/>
  <c r="I29" i="29" s="1"/>
  <c r="A114" i="16"/>
  <c r="A272" i="16" s="1"/>
  <c r="A344" i="16" s="1"/>
  <c r="A106" i="16"/>
  <c r="A264" i="16" s="1"/>
  <c r="A336" i="16" s="1"/>
  <c r="A90" i="16"/>
  <c r="A248" i="16" s="1"/>
  <c r="A320" i="16" s="1"/>
  <c r="C59" i="16"/>
  <c r="I58" i="29" s="1"/>
  <c r="A127" i="16"/>
  <c r="A285" i="16" s="1"/>
  <c r="A357" i="16" s="1"/>
  <c r="C139" i="16"/>
  <c r="C297" i="16" s="1"/>
  <c r="C369" i="16" s="1"/>
  <c r="A131" i="16"/>
  <c r="A289" i="16" s="1"/>
  <c r="A361" i="16" s="1"/>
  <c r="A125" i="16"/>
  <c r="A283" i="16" s="1"/>
  <c r="A355" i="16" s="1"/>
  <c r="A141" i="16"/>
  <c r="C141" i="16" s="1"/>
  <c r="C57" i="16"/>
  <c r="G57" i="16" s="1"/>
  <c r="H57" i="16" s="1"/>
  <c r="A135" i="16"/>
  <c r="C135" i="16" s="1"/>
  <c r="C293" i="16" s="1"/>
  <c r="C365" i="16" s="1"/>
  <c r="I26" i="4"/>
  <c r="J26" i="4" s="1"/>
  <c r="K26" i="4" s="1"/>
  <c r="L26" i="4" s="1"/>
  <c r="M26" i="4" s="1"/>
  <c r="N26" i="4" s="1"/>
  <c r="O26" i="4" s="1"/>
  <c r="P26" i="4" s="1"/>
  <c r="Q26" i="4" s="1"/>
  <c r="R26" i="4" s="1"/>
  <c r="G24" i="16"/>
  <c r="A126" i="16"/>
  <c r="C126" i="16" s="1"/>
  <c r="A138" i="16"/>
  <c r="C138" i="16" s="1"/>
  <c r="C296" i="16" s="1"/>
  <c r="C368" i="16" s="1"/>
  <c r="O241" i="6"/>
  <c r="H241" i="6" s="1"/>
  <c r="O243" i="6"/>
  <c r="H243" i="6" s="1"/>
  <c r="H117" i="6" s="1"/>
  <c r="O253" i="6"/>
  <c r="H253" i="6" s="1"/>
  <c r="H127" i="6" s="1"/>
  <c r="O244" i="6"/>
  <c r="H244" i="6" s="1"/>
  <c r="O242" i="6"/>
  <c r="H242" i="6" s="1"/>
  <c r="O167" i="6"/>
  <c r="H167" i="6" s="1"/>
  <c r="H33" i="6" s="1"/>
  <c r="O164" i="6"/>
  <c r="H164" i="6" s="1"/>
  <c r="H30" i="6" s="1"/>
  <c r="O207" i="6"/>
  <c r="H207" i="6" s="1"/>
  <c r="A121" i="16"/>
  <c r="A279" i="16" s="1"/>
  <c r="A351" i="16" s="1"/>
  <c r="C43" i="16"/>
  <c r="G43" i="16" s="1"/>
  <c r="J43" i="16" s="1"/>
  <c r="C37" i="16"/>
  <c r="I36" i="29" s="1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F52" i="6"/>
  <c r="I52" i="6" s="1"/>
  <c r="F81" i="6"/>
  <c r="H14" i="20"/>
  <c r="A97" i="30"/>
  <c r="F178" i="16"/>
  <c r="F193" i="16"/>
  <c r="H12" i="5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C36" i="16"/>
  <c r="I35" i="29" s="1"/>
  <c r="I44" i="29"/>
  <c r="K71" i="3"/>
  <c r="O71" i="3"/>
  <c r="I71" i="3"/>
  <c r="F57" i="23" s="1"/>
  <c r="F59" i="23" s="1"/>
  <c r="I83" i="2"/>
  <c r="O83" i="2"/>
  <c r="J65" i="2"/>
  <c r="V96" i="2" s="1"/>
  <c r="J112" i="2"/>
  <c r="J115" i="2" s="1"/>
  <c r="J117" i="2" s="1"/>
  <c r="F112" i="2"/>
  <c r="F115" i="2" s="1"/>
  <c r="F117" i="2" s="1"/>
  <c r="C50" i="16"/>
  <c r="I49" i="29" s="1"/>
  <c r="C52" i="16"/>
  <c r="I51" i="29" s="1"/>
  <c r="A124" i="16"/>
  <c r="A282" i="16" s="1"/>
  <c r="A354" i="16" s="1"/>
  <c r="G30" i="16"/>
  <c r="H30" i="16" s="1"/>
  <c r="J29" i="29" s="1"/>
  <c r="C117" i="16"/>
  <c r="C275" i="16" s="1"/>
  <c r="C347" i="16" s="1"/>
  <c r="O208" i="6"/>
  <c r="H208" i="6" s="1"/>
  <c r="O210" i="6"/>
  <c r="H210" i="6" s="1"/>
  <c r="H84" i="6" s="1"/>
  <c r="J19" i="6"/>
  <c r="J50" i="6"/>
  <c r="I17" i="6"/>
  <c r="I60" i="10"/>
  <c r="G60" i="10"/>
  <c r="H60" i="10"/>
  <c r="F97" i="10"/>
  <c r="F99" i="10" s="1"/>
  <c r="F72" i="10" s="1"/>
  <c r="H81" i="10"/>
  <c r="H83" i="10" s="1"/>
  <c r="L71" i="3"/>
  <c r="J222" i="21"/>
  <c r="J178" i="21"/>
  <c r="J73" i="21"/>
  <c r="J204" i="21"/>
  <c r="J72" i="21"/>
  <c r="J175" i="21"/>
  <c r="J171" i="21"/>
  <c r="J264" i="21"/>
  <c r="J74" i="21"/>
  <c r="J174" i="21"/>
  <c r="J172" i="21"/>
  <c r="J196" i="21"/>
  <c r="J78" i="21"/>
  <c r="J225" i="21"/>
  <c r="J207" i="21"/>
  <c r="J181" i="21"/>
  <c r="G294" i="21"/>
  <c r="J176" i="21"/>
  <c r="J141" i="21"/>
  <c r="J138" i="21"/>
  <c r="J194" i="21"/>
  <c r="J220" i="21"/>
  <c r="J263" i="21"/>
  <c r="J77" i="21"/>
  <c r="J223" i="21"/>
  <c r="J146" i="21"/>
  <c r="J177" i="21"/>
  <c r="J142" i="21"/>
  <c r="J137" i="21"/>
  <c r="J79" i="21"/>
  <c r="J219" i="21"/>
  <c r="J224" i="21"/>
  <c r="J221" i="21"/>
  <c r="J205" i="21"/>
  <c r="J195" i="21"/>
  <c r="J209" i="21"/>
  <c r="J208" i="21"/>
  <c r="J193" i="21"/>
  <c r="J173" i="21"/>
  <c r="J182" i="21"/>
  <c r="J71" i="3"/>
  <c r="N71" i="3"/>
  <c r="M71" i="3"/>
  <c r="F53" i="14"/>
  <c r="F59" i="14" s="1"/>
  <c r="F60" i="14" s="1"/>
  <c r="J29" i="6"/>
  <c r="H9" i="5"/>
  <c r="J34" i="6"/>
  <c r="I83" i="6"/>
  <c r="I16" i="6"/>
  <c r="J11" i="6"/>
  <c r="I10" i="6"/>
  <c r="O200" i="6"/>
  <c r="H200" i="6" s="1"/>
  <c r="H74" i="6" s="1"/>
  <c r="O229" i="6"/>
  <c r="H229" i="6" s="1"/>
  <c r="O149" i="6"/>
  <c r="H149" i="6" s="1"/>
  <c r="H15" i="6" s="1"/>
  <c r="O169" i="6"/>
  <c r="H169" i="6" s="1"/>
  <c r="H35" i="6" s="1"/>
  <c r="O166" i="6"/>
  <c r="H166" i="6" s="1"/>
  <c r="H32" i="6" s="1"/>
  <c r="O227" i="6"/>
  <c r="H227" i="6" s="1"/>
  <c r="O161" i="6"/>
  <c r="H161" i="6" s="1"/>
  <c r="H27" i="6" s="1"/>
  <c r="O222" i="6"/>
  <c r="H222" i="6" s="1"/>
  <c r="O230" i="6"/>
  <c r="H230" i="6" s="1"/>
  <c r="O201" i="6"/>
  <c r="H201" i="6" s="1"/>
  <c r="H75" i="6" s="1"/>
  <c r="O232" i="6"/>
  <c r="H232" i="6" s="1"/>
  <c r="H106" i="6" s="1"/>
  <c r="O237" i="6"/>
  <c r="H237" i="6" s="1"/>
  <c r="O220" i="6"/>
  <c r="H220" i="6" s="1"/>
  <c r="H94" i="6" s="1"/>
  <c r="O168" i="6"/>
  <c r="H168" i="6" s="1"/>
  <c r="H34" i="6" s="1"/>
  <c r="O181" i="6"/>
  <c r="H181" i="6" s="1"/>
  <c r="O209" i="6"/>
  <c r="H209" i="6" s="1"/>
  <c r="H83" i="6" s="1"/>
  <c r="O147" i="6"/>
  <c r="H147" i="6" s="1"/>
  <c r="H13" i="6" s="1"/>
  <c r="O185" i="6"/>
  <c r="H185" i="6" s="1"/>
  <c r="H58" i="6" s="1"/>
  <c r="H60" i="6" s="1"/>
  <c r="O154" i="6"/>
  <c r="H154" i="6" s="1"/>
  <c r="H20" i="6" s="1"/>
  <c r="O221" i="6"/>
  <c r="H221" i="6" s="1"/>
  <c r="H95" i="6" s="1"/>
  <c r="O196" i="6"/>
  <c r="H196" i="6" s="1"/>
  <c r="O236" i="6"/>
  <c r="H236" i="6" s="1"/>
  <c r="H110" i="6" s="1"/>
  <c r="O153" i="6"/>
  <c r="H153" i="6" s="1"/>
  <c r="H19" i="6" s="1"/>
  <c r="O160" i="6"/>
  <c r="H160" i="6" s="1"/>
  <c r="H26" i="6" s="1"/>
  <c r="O216" i="6"/>
  <c r="H216" i="6" s="1"/>
  <c r="O198" i="6"/>
  <c r="H198" i="6" s="1"/>
  <c r="O226" i="6"/>
  <c r="H226" i="6" s="1"/>
  <c r="H100" i="6" s="1"/>
  <c r="O151" i="6"/>
  <c r="H151" i="6" s="1"/>
  <c r="H17" i="6" s="1"/>
  <c r="O163" i="6"/>
  <c r="H163" i="6" s="1"/>
  <c r="H29" i="6" s="1"/>
  <c r="O206" i="6"/>
  <c r="H206" i="6" s="1"/>
  <c r="H8" i="31"/>
  <c r="F82" i="6"/>
  <c r="J82" i="6" s="1"/>
  <c r="L430" i="9"/>
  <c r="F439" i="9"/>
  <c r="H439" i="9" s="1"/>
  <c r="G439" i="9" s="1"/>
  <c r="J409" i="9"/>
  <c r="L406" i="9"/>
  <c r="L409" i="9" s="1"/>
  <c r="J346" i="9"/>
  <c r="L346" i="9" s="1"/>
  <c r="J331" i="9"/>
  <c r="L331" i="9" s="1"/>
  <c r="J326" i="9"/>
  <c r="L326" i="9" s="1"/>
  <c r="J322" i="9"/>
  <c r="L322" i="9" s="1"/>
  <c r="J305" i="9"/>
  <c r="L305" i="9" s="1"/>
  <c r="K344" i="9"/>
  <c r="K359" i="9" s="1"/>
  <c r="K374" i="9" s="1"/>
  <c r="K389" i="9" s="1"/>
  <c r="L204" i="9"/>
  <c r="J237" i="9"/>
  <c r="J351" i="9"/>
  <c r="L351" i="9" s="1"/>
  <c r="J360" i="9"/>
  <c r="L360" i="9" s="1"/>
  <c r="I375" i="9"/>
  <c r="I390" i="9" s="1"/>
  <c r="I377" i="9"/>
  <c r="I392" i="9" s="1"/>
  <c r="J392" i="9" s="1"/>
  <c r="L392" i="9" s="1"/>
  <c r="J362" i="9"/>
  <c r="L362" i="9" s="1"/>
  <c r="J320" i="9"/>
  <c r="L320" i="9" s="1"/>
  <c r="L329" i="9"/>
  <c r="J149" i="9"/>
  <c r="I321" i="9"/>
  <c r="J321" i="9" s="1"/>
  <c r="L321" i="9" s="1"/>
  <c r="J306" i="9"/>
  <c r="L306" i="9" s="1"/>
  <c r="I170" i="9"/>
  <c r="I177" i="9" s="1"/>
  <c r="J163" i="9"/>
  <c r="I80" i="9"/>
  <c r="I93" i="9" s="1"/>
  <c r="I106" i="9" s="1"/>
  <c r="J67" i="9"/>
  <c r="G9" i="9"/>
  <c r="H9" i="9" s="1"/>
  <c r="J9" i="9" s="1"/>
  <c r="L9" i="9" s="1"/>
  <c r="H100" i="9"/>
  <c r="G100" i="9" s="1"/>
  <c r="F87" i="9"/>
  <c r="H87" i="9" s="1"/>
  <c r="G87" i="9" s="1"/>
  <c r="F92" i="9"/>
  <c r="H92" i="9" s="1"/>
  <c r="G92" i="9" s="1"/>
  <c r="F94" i="9"/>
  <c r="H94" i="9" s="1"/>
  <c r="G94" i="9" s="1"/>
  <c r="H107" i="9"/>
  <c r="G107" i="9" s="1"/>
  <c r="J12" i="9"/>
  <c r="L12" i="9" s="1"/>
  <c r="F90" i="9"/>
  <c r="G90" i="9" s="1"/>
  <c r="G103" i="9"/>
  <c r="H99" i="9"/>
  <c r="K335" i="9"/>
  <c r="K350" i="9" s="1"/>
  <c r="J359" i="9"/>
  <c r="G344" i="9"/>
  <c r="I160" i="9"/>
  <c r="F367" i="9"/>
  <c r="H367" i="9" s="1"/>
  <c r="J342" i="9"/>
  <c r="K337" i="9"/>
  <c r="K352" i="9" s="1"/>
  <c r="K367" i="9" s="1"/>
  <c r="K382" i="9" s="1"/>
  <c r="J164" i="9"/>
  <c r="K433" i="9"/>
  <c r="K436" i="9" s="1"/>
  <c r="K439" i="9" s="1"/>
  <c r="K442" i="9" s="1"/>
  <c r="J314" i="9"/>
  <c r="L314" i="9" s="1"/>
  <c r="I320" i="9"/>
  <c r="G154" i="9"/>
  <c r="J291" i="9"/>
  <c r="L291" i="9" s="1"/>
  <c r="H442" i="9"/>
  <c r="J357" i="9"/>
  <c r="J361" i="9"/>
  <c r="L361" i="9" s="1"/>
  <c r="J57" i="9"/>
  <c r="L57" i="9" s="1"/>
  <c r="F168" i="9"/>
  <c r="G140" i="9"/>
  <c r="H284" i="9"/>
  <c r="J284" i="9" s="1"/>
  <c r="L284" i="9" s="1"/>
  <c r="J347" i="9"/>
  <c r="L347" i="9" s="1"/>
  <c r="H127" i="9"/>
  <c r="J127" i="9" s="1"/>
  <c r="L127" i="9" s="1"/>
  <c r="I162" i="9"/>
  <c r="J427" i="9"/>
  <c r="L427" i="9" s="1"/>
  <c r="K156" i="9"/>
  <c r="K163" i="9" s="1"/>
  <c r="K170" i="9" s="1"/>
  <c r="K177" i="9" s="1"/>
  <c r="I337" i="9"/>
  <c r="I352" i="9" s="1"/>
  <c r="I367" i="9" s="1"/>
  <c r="I382" i="9" s="1"/>
  <c r="K231" i="9"/>
  <c r="K240" i="9" s="1"/>
  <c r="K249" i="9" s="1"/>
  <c r="K258" i="9" s="1"/>
  <c r="K140" i="9"/>
  <c r="K147" i="9" s="1"/>
  <c r="K139" i="9"/>
  <c r="K146" i="9" s="1"/>
  <c r="L424" i="9"/>
  <c r="J307" i="9"/>
  <c r="L307" i="9" s="1"/>
  <c r="J302" i="9"/>
  <c r="L302" i="9" s="1"/>
  <c r="J148" i="9"/>
  <c r="J23" i="9"/>
  <c r="L23" i="9" s="1"/>
  <c r="F91" i="9"/>
  <c r="H91" i="9" s="1"/>
  <c r="G91" i="9" s="1"/>
  <c r="F88" i="9"/>
  <c r="H88" i="9" s="1"/>
  <c r="G88" i="9" s="1"/>
  <c r="F96" i="9"/>
  <c r="H96" i="9" s="1"/>
  <c r="G96" i="9" s="1"/>
  <c r="H109" i="9"/>
  <c r="G109" i="9" s="1"/>
  <c r="H106" i="9"/>
  <c r="G106" i="9" s="1"/>
  <c r="F93" i="9"/>
  <c r="H93" i="9" s="1"/>
  <c r="J313" i="9"/>
  <c r="K216" i="9"/>
  <c r="K225" i="9" s="1"/>
  <c r="L134" i="9"/>
  <c r="J317" i="9"/>
  <c r="L317" i="9" s="1"/>
  <c r="G176" i="9"/>
  <c r="J345" i="9"/>
  <c r="L345" i="9" s="1"/>
  <c r="H128" i="9"/>
  <c r="J128" i="9" s="1"/>
  <c r="L128" i="9" s="1"/>
  <c r="J40" i="9"/>
  <c r="F371" i="9"/>
  <c r="H371" i="9" s="1"/>
  <c r="G371" i="9" s="1"/>
  <c r="F170" i="9"/>
  <c r="H170" i="9" s="1"/>
  <c r="F366" i="9"/>
  <c r="H366" i="9" s="1"/>
  <c r="K37" i="9"/>
  <c r="K50" i="9" s="1"/>
  <c r="I36" i="9"/>
  <c r="I49" i="9" s="1"/>
  <c r="J49" i="9" s="1"/>
  <c r="J298" i="9"/>
  <c r="L298" i="9" s="1"/>
  <c r="F169" i="9"/>
  <c r="H169" i="9" s="1"/>
  <c r="H126" i="9"/>
  <c r="J126" i="9" s="1"/>
  <c r="L126" i="9" s="1"/>
  <c r="J216" i="9"/>
  <c r="I225" i="9"/>
  <c r="J225" i="9" s="1"/>
  <c r="K237" i="9"/>
  <c r="I224" i="9"/>
  <c r="J224" i="9" s="1"/>
  <c r="L224" i="9" s="1"/>
  <c r="J215" i="9"/>
  <c r="L215" i="9" s="1"/>
  <c r="J212" i="9"/>
  <c r="I221" i="9"/>
  <c r="J221" i="9" s="1"/>
  <c r="J232" i="9"/>
  <c r="L232" i="9" s="1"/>
  <c r="I241" i="9"/>
  <c r="J210" i="9"/>
  <c r="I219" i="9"/>
  <c r="J219" i="9" s="1"/>
  <c r="J206" i="9"/>
  <c r="L206" i="9" s="1"/>
  <c r="J207" i="9"/>
  <c r="L207" i="9" s="1"/>
  <c r="I242" i="9"/>
  <c r="I234" i="9"/>
  <c r="I214" i="9"/>
  <c r="I230" i="9"/>
  <c r="K210" i="9"/>
  <c r="K219" i="9" s="1"/>
  <c r="J201" i="9"/>
  <c r="L201" i="9" s="1"/>
  <c r="J205" i="9"/>
  <c r="L205" i="9" s="1"/>
  <c r="O143" i="7"/>
  <c r="C145" i="7" s="1"/>
  <c r="H146" i="7"/>
  <c r="M146" i="7"/>
  <c r="L146" i="7"/>
  <c r="G71" i="7"/>
  <c r="K71" i="7"/>
  <c r="J71" i="7"/>
  <c r="I71" i="7"/>
  <c r="O68" i="7"/>
  <c r="E70" i="7" s="1"/>
  <c r="L71" i="7"/>
  <c r="H71" i="7"/>
  <c r="D71" i="7"/>
  <c r="J178" i="9"/>
  <c r="K164" i="9"/>
  <c r="K143" i="9"/>
  <c r="K150" i="9" s="1"/>
  <c r="L136" i="9"/>
  <c r="K149" i="9"/>
  <c r="L149" i="9" s="1"/>
  <c r="K141" i="9"/>
  <c r="K148" i="9" s="1"/>
  <c r="K155" i="9"/>
  <c r="K161" i="9"/>
  <c r="K160" i="9"/>
  <c r="K70" i="9"/>
  <c r="K83" i="9" s="1"/>
  <c r="K96" i="9" s="1"/>
  <c r="K42" i="9"/>
  <c r="K55" i="9" s="1"/>
  <c r="H102" i="9"/>
  <c r="G102" i="9" s="1"/>
  <c r="J53" i="9"/>
  <c r="J51" i="9"/>
  <c r="J54" i="9"/>
  <c r="L54" i="9" s="1"/>
  <c r="J312" i="9"/>
  <c r="L312" i="9" s="1"/>
  <c r="J316" i="9"/>
  <c r="L316" i="9" s="1"/>
  <c r="J143" i="9"/>
  <c r="G307" i="9"/>
  <c r="J141" i="9"/>
  <c r="L141" i="9" s="1"/>
  <c r="J35" i="9"/>
  <c r="L35" i="9" s="1"/>
  <c r="J310" i="9"/>
  <c r="G139" i="9"/>
  <c r="G314" i="9"/>
  <c r="K67" i="9"/>
  <c r="K80" i="9" s="1"/>
  <c r="K93" i="9" s="1"/>
  <c r="K106" i="9" s="1"/>
  <c r="J77" i="9"/>
  <c r="I90" i="9"/>
  <c r="I103" i="9" s="1"/>
  <c r="J64" i="9"/>
  <c r="L64" i="9" s="1"/>
  <c r="J25" i="9"/>
  <c r="L25" i="9" s="1"/>
  <c r="J22" i="9"/>
  <c r="L22" i="9" s="1"/>
  <c r="J29" i="9"/>
  <c r="L29" i="9" s="1"/>
  <c r="J27" i="9"/>
  <c r="L27" i="9" s="1"/>
  <c r="J21" i="9"/>
  <c r="L21" i="9" s="1"/>
  <c r="X135" i="2"/>
  <c r="M134" i="2"/>
  <c r="V82" i="2"/>
  <c r="J49" i="4"/>
  <c r="J42" i="3"/>
  <c r="L49" i="4"/>
  <c r="K39" i="3"/>
  <c r="E18" i="3"/>
  <c r="K33" i="3"/>
  <c r="E42" i="3"/>
  <c r="E44" i="3" s="1"/>
  <c r="E48" i="3" s="1"/>
  <c r="E50" i="3" s="1"/>
  <c r="E52" i="3" s="1"/>
  <c r="M10" i="3"/>
  <c r="G12" i="3"/>
  <c r="M12" i="3" s="1"/>
  <c r="K36" i="3"/>
  <c r="F64" i="4"/>
  <c r="F11" i="13"/>
  <c r="J25" i="6"/>
  <c r="I15" i="6"/>
  <c r="D115" i="4"/>
  <c r="I14" i="6"/>
  <c r="F27" i="14"/>
  <c r="K21" i="13"/>
  <c r="H45" i="16"/>
  <c r="F283" i="16" s="1"/>
  <c r="F355" i="16" s="1"/>
  <c r="G28" i="16"/>
  <c r="A297" i="16"/>
  <c r="A369" i="16" s="1"/>
  <c r="C65" i="16"/>
  <c r="I64" i="29" s="1"/>
  <c r="F18" i="5"/>
  <c r="E14" i="23" s="1"/>
  <c r="E15" i="23" s="1"/>
  <c r="C35" i="16"/>
  <c r="I34" i="29" s="1"/>
  <c r="I53" i="6"/>
  <c r="I9" i="6"/>
  <c r="B275" i="16"/>
  <c r="B347" i="16" s="1"/>
  <c r="J32" i="6"/>
  <c r="J36" i="6"/>
  <c r="C123" i="16"/>
  <c r="C281" i="16" s="1"/>
  <c r="C353" i="16" s="1"/>
  <c r="C137" i="16"/>
  <c r="C295" i="16" s="1"/>
  <c r="C367" i="16" s="1"/>
  <c r="F216" i="16"/>
  <c r="F209" i="16"/>
  <c r="F171" i="16"/>
  <c r="F180" i="16"/>
  <c r="F223" i="16"/>
  <c r="F212" i="16"/>
  <c r="F201" i="16"/>
  <c r="I201" i="16" s="1"/>
  <c r="F189" i="16"/>
  <c r="F194" i="16"/>
  <c r="F165" i="16"/>
  <c r="H165" i="16" s="1"/>
  <c r="G317" i="16" s="1"/>
  <c r="F220" i="16"/>
  <c r="F172" i="16"/>
  <c r="J12" i="6"/>
  <c r="U10" i="13"/>
  <c r="G24" i="13" s="1"/>
  <c r="H24" i="13" s="1"/>
  <c r="H54" i="13" s="1"/>
  <c r="J22" i="6"/>
  <c r="J77" i="6"/>
  <c r="I27" i="6"/>
  <c r="I35" i="6"/>
  <c r="I31" i="6"/>
  <c r="I37" i="6"/>
  <c r="I21" i="6"/>
  <c r="K77" i="9"/>
  <c r="K90" i="9" s="1"/>
  <c r="K103" i="9" s="1"/>
  <c r="K49" i="9"/>
  <c r="K65" i="9"/>
  <c r="K78" i="9" s="1"/>
  <c r="K91" i="9" s="1"/>
  <c r="K104" i="9" s="1"/>
  <c r="K38" i="9"/>
  <c r="K51" i="9" s="1"/>
  <c r="K61" i="9"/>
  <c r="K74" i="9" s="1"/>
  <c r="K87" i="9" s="1"/>
  <c r="K100" i="9" s="1"/>
  <c r="I52" i="9"/>
  <c r="J52" i="9" s="1"/>
  <c r="L52" i="9" s="1"/>
  <c r="J39" i="9"/>
  <c r="L39" i="9" s="1"/>
  <c r="I76" i="9"/>
  <c r="J63" i="9"/>
  <c r="L63" i="9" s="1"/>
  <c r="I86" i="9"/>
  <c r="I99" i="9" s="1"/>
  <c r="J73" i="9"/>
  <c r="L73" i="9" s="1"/>
  <c r="J60" i="9"/>
  <c r="L60" i="9" s="1"/>
  <c r="I65" i="9"/>
  <c r="J38" i="9"/>
  <c r="J41" i="9"/>
  <c r="L41" i="9" s="1"/>
  <c r="I75" i="9"/>
  <c r="I61" i="9"/>
  <c r="I83" i="9"/>
  <c r="J44" i="9"/>
  <c r="L44" i="9" s="1"/>
  <c r="I37" i="9"/>
  <c r="J24" i="9"/>
  <c r="L24" i="9" s="1"/>
  <c r="I66" i="9"/>
  <c r="I48" i="9"/>
  <c r="J48" i="9" s="1"/>
  <c r="L48" i="9" s="1"/>
  <c r="J26" i="9"/>
  <c r="L26" i="9" s="1"/>
  <c r="I42" i="9"/>
  <c r="I68" i="9"/>
  <c r="I34" i="9"/>
  <c r="H101" i="9"/>
  <c r="G101" i="9" s="1"/>
  <c r="G18" i="9"/>
  <c r="H18" i="9" s="1"/>
  <c r="J18" i="9" s="1"/>
  <c r="L18" i="9" s="1"/>
  <c r="H8" i="9"/>
  <c r="G10" i="9"/>
  <c r="H10" i="9" s="1"/>
  <c r="J10" i="9" s="1"/>
  <c r="L10" i="9" s="1"/>
  <c r="J372" i="9"/>
  <c r="L372" i="9" s="1"/>
  <c r="H283" i="9"/>
  <c r="J283" i="9" s="1"/>
  <c r="L283" i="9" s="1"/>
  <c r="F375" i="9"/>
  <c r="H375" i="9" s="1"/>
  <c r="H192" i="9"/>
  <c r="F249" i="9"/>
  <c r="H249" i="9" s="1"/>
  <c r="G249" i="9" s="1"/>
  <c r="F248" i="9"/>
  <c r="H248" i="9" s="1"/>
  <c r="F246" i="9"/>
  <c r="H246" i="9" s="1"/>
  <c r="G11" i="9"/>
  <c r="H11" i="9" s="1"/>
  <c r="J11" i="9" s="1"/>
  <c r="L11" i="9" s="1"/>
  <c r="G178" i="16"/>
  <c r="G46" i="16"/>
  <c r="H46" i="16" s="1"/>
  <c r="I45" i="29"/>
  <c r="I60" i="29"/>
  <c r="A128" i="16"/>
  <c r="A286" i="16" s="1"/>
  <c r="A358" i="16" s="1"/>
  <c r="A136" i="16"/>
  <c r="C136" i="16" s="1"/>
  <c r="C42" i="16"/>
  <c r="I41" i="29" s="1"/>
  <c r="I43" i="29"/>
  <c r="C27" i="16"/>
  <c r="I26" i="29" s="1"/>
  <c r="C63" i="16"/>
  <c r="A301" i="16"/>
  <c r="A373" i="16" s="1"/>
  <c r="C143" i="16"/>
  <c r="C301" i="16" s="1"/>
  <c r="C373" i="16" s="1"/>
  <c r="I30" i="29"/>
  <c r="G31" i="16"/>
  <c r="H31" i="16" s="1"/>
  <c r="J30" i="29" s="1"/>
  <c r="C107" i="16"/>
  <c r="C265" i="16" s="1"/>
  <c r="C337" i="16" s="1"/>
  <c r="A265" i="16"/>
  <c r="A337" i="16" s="1"/>
  <c r="G25" i="16"/>
  <c r="H25" i="16" s="1"/>
  <c r="F263" i="16" s="1"/>
  <c r="F335" i="16" s="1"/>
  <c r="I24" i="29"/>
  <c r="A251" i="16"/>
  <c r="A323" i="16" s="1"/>
  <c r="C93" i="16"/>
  <c r="C251" i="16" s="1"/>
  <c r="C323" i="16" s="1"/>
  <c r="G9" i="16"/>
  <c r="H9" i="16" s="1"/>
  <c r="J8" i="29" s="1"/>
  <c r="I8" i="29"/>
  <c r="A274" i="16"/>
  <c r="A346" i="16" s="1"/>
  <c r="C116" i="16"/>
  <c r="C274" i="16" s="1"/>
  <c r="C346" i="16" s="1"/>
  <c r="J20" i="6"/>
  <c r="J76" i="6"/>
  <c r="J26" i="6"/>
  <c r="A105" i="16"/>
  <c r="C95" i="16"/>
  <c r="C253" i="16" s="1"/>
  <c r="C325" i="16" s="1"/>
  <c r="U19" i="13"/>
  <c r="J28" i="6"/>
  <c r="I23" i="6"/>
  <c r="A120" i="16"/>
  <c r="C120" i="16" s="1"/>
  <c r="A111" i="16"/>
  <c r="A269" i="16" s="1"/>
  <c r="A341" i="16" s="1"/>
  <c r="B295" i="16"/>
  <c r="B367" i="16" s="1"/>
  <c r="B282" i="16"/>
  <c r="B354" i="16" s="1"/>
  <c r="C110" i="16"/>
  <c r="C268" i="16" s="1"/>
  <c r="C340" i="16" s="1"/>
  <c r="H66" i="16"/>
  <c r="F304" i="16" s="1"/>
  <c r="F376" i="16" s="1"/>
  <c r="I58" i="6"/>
  <c r="I60" i="6" s="1"/>
  <c r="A89" i="16"/>
  <c r="G40" i="16"/>
  <c r="C13" i="16"/>
  <c r="G13" i="16" s="1"/>
  <c r="H13" i="16" s="1"/>
  <c r="I22" i="4"/>
  <c r="J22" i="4" s="1"/>
  <c r="K22" i="4" s="1"/>
  <c r="L22" i="4" s="1"/>
  <c r="M22" i="4" s="1"/>
  <c r="N22" i="4" s="1"/>
  <c r="O22" i="4" s="1"/>
  <c r="P22" i="4" s="1"/>
  <c r="Q22" i="4" s="1"/>
  <c r="R22" i="4" s="1"/>
  <c r="C29" i="16"/>
  <c r="I34" i="4"/>
  <c r="J34" i="4" s="1"/>
  <c r="K34" i="4" s="1"/>
  <c r="L34" i="4" s="1"/>
  <c r="M34" i="4" s="1"/>
  <c r="N34" i="4" s="1"/>
  <c r="O34" i="4" s="1"/>
  <c r="P34" i="4" s="1"/>
  <c r="Q34" i="4" s="1"/>
  <c r="R34" i="4" s="1"/>
  <c r="C15" i="16"/>
  <c r="F60" i="6"/>
  <c r="C130" i="16"/>
  <c r="C288" i="16" s="1"/>
  <c r="C360" i="16" s="1"/>
  <c r="A118" i="16"/>
  <c r="A276" i="16" s="1"/>
  <c r="A348" i="16" s="1"/>
  <c r="G49" i="14"/>
  <c r="G51" i="14" s="1"/>
  <c r="G53" i="14" s="1"/>
  <c r="G59" i="14" s="1"/>
  <c r="O203" i="6"/>
  <c r="H203" i="6" s="1"/>
  <c r="H77" i="6" s="1"/>
  <c r="O180" i="6"/>
  <c r="H180" i="6" s="1"/>
  <c r="O165" i="6"/>
  <c r="H165" i="6" s="1"/>
  <c r="H31" i="6" s="1"/>
  <c r="O197" i="6"/>
  <c r="H197" i="6" s="1"/>
  <c r="O157" i="6"/>
  <c r="H157" i="6" s="1"/>
  <c r="H23" i="6" s="1"/>
  <c r="O202" i="6"/>
  <c r="H202" i="6" s="1"/>
  <c r="H76" i="6" s="1"/>
  <c r="O212" i="6"/>
  <c r="H212" i="6" s="1"/>
  <c r="H86" i="6" s="1"/>
  <c r="O162" i="6"/>
  <c r="H162" i="6" s="1"/>
  <c r="H28" i="6" s="1"/>
  <c r="O145" i="6"/>
  <c r="H145" i="6" s="1"/>
  <c r="H11" i="6" s="1"/>
  <c r="O204" i="6"/>
  <c r="H204" i="6" s="1"/>
  <c r="O175" i="6"/>
  <c r="H175" i="6" s="1"/>
  <c r="H43" i="6" s="1"/>
  <c r="H45" i="6" s="1"/>
  <c r="O144" i="6"/>
  <c r="H144" i="6" s="1"/>
  <c r="H10" i="6" s="1"/>
  <c r="O170" i="6"/>
  <c r="H170" i="6" s="1"/>
  <c r="H36" i="6" s="1"/>
  <c r="O148" i="6"/>
  <c r="H148" i="6" s="1"/>
  <c r="H14" i="6" s="1"/>
  <c r="O199" i="6"/>
  <c r="H199" i="6" s="1"/>
  <c r="H73" i="6" s="1"/>
  <c r="O178" i="6"/>
  <c r="H178" i="6" s="1"/>
  <c r="H50" i="6" s="1"/>
  <c r="O224" i="6"/>
  <c r="H224" i="6" s="1"/>
  <c r="H98" i="6" s="1"/>
  <c r="O239" i="6"/>
  <c r="H239" i="6" s="1"/>
  <c r="O217" i="6"/>
  <c r="H217" i="6" s="1"/>
  <c r="O225" i="6"/>
  <c r="H225" i="6" s="1"/>
  <c r="H99" i="6" s="1"/>
  <c r="O233" i="6"/>
  <c r="H233" i="6" s="1"/>
  <c r="H107" i="6" s="1"/>
  <c r="O240" i="6"/>
  <c r="H240" i="6" s="1"/>
  <c r="O150" i="6"/>
  <c r="H150" i="6" s="1"/>
  <c r="H16" i="6" s="1"/>
  <c r="O195" i="6"/>
  <c r="H195" i="6" s="1"/>
  <c r="O228" i="6"/>
  <c r="H228" i="6" s="1"/>
  <c r="O219" i="6"/>
  <c r="H219" i="6" s="1"/>
  <c r="O235" i="6"/>
  <c r="H235" i="6" s="1"/>
  <c r="O213" i="6"/>
  <c r="H213" i="6" s="1"/>
  <c r="O218" i="6"/>
  <c r="H218" i="6" s="1"/>
  <c r="H92" i="6" s="1"/>
  <c r="O234" i="6"/>
  <c r="H234" i="6" s="1"/>
  <c r="O146" i="6"/>
  <c r="H146" i="6" s="1"/>
  <c r="H12" i="6" s="1"/>
  <c r="O156" i="6"/>
  <c r="H156" i="6" s="1"/>
  <c r="H22" i="6" s="1"/>
  <c r="O171" i="6"/>
  <c r="H171" i="6" s="1"/>
  <c r="H37" i="6" s="1"/>
  <c r="O182" i="6"/>
  <c r="H182" i="6" s="1"/>
  <c r="O143" i="6"/>
  <c r="H143" i="6" s="1"/>
  <c r="H9" i="6" s="1"/>
  <c r="O223" i="6"/>
  <c r="H223" i="6" s="1"/>
  <c r="N142" i="6"/>
  <c r="N205" i="6" s="1"/>
  <c r="G205" i="6" s="1"/>
  <c r="O159" i="6"/>
  <c r="H159" i="6" s="1"/>
  <c r="H25" i="6" s="1"/>
  <c r="O179" i="6"/>
  <c r="H179" i="6" s="1"/>
  <c r="O238" i="6"/>
  <c r="H238" i="6" s="1"/>
  <c r="O215" i="6"/>
  <c r="H215" i="6" s="1"/>
  <c r="G179" i="16"/>
  <c r="G62" i="4"/>
  <c r="H62" i="4" s="1"/>
  <c r="N19" i="13"/>
  <c r="H56" i="11"/>
  <c r="E123" i="16"/>
  <c r="E281" i="16" s="1"/>
  <c r="E353" i="16" s="1"/>
  <c r="C160" i="7"/>
  <c r="D160" i="7"/>
  <c r="E160" i="7" s="1"/>
  <c r="P68" i="7"/>
  <c r="D161" i="7"/>
  <c r="E7" i="16"/>
  <c r="K7" i="16" s="1"/>
  <c r="H145" i="7"/>
  <c r="F263" i="6"/>
  <c r="G263" i="6" s="1"/>
  <c r="N146" i="7"/>
  <c r="J146" i="7"/>
  <c r="M145" i="7"/>
  <c r="K146" i="7"/>
  <c r="G146" i="7"/>
  <c r="P143" i="7"/>
  <c r="M71" i="7"/>
  <c r="N71" i="7"/>
  <c r="C161" i="7"/>
  <c r="E161" i="7" s="1"/>
  <c r="E8" i="16"/>
  <c r="E23" i="16"/>
  <c r="D57" i="28"/>
  <c r="D58" i="28" s="1"/>
  <c r="E56" i="28" s="1"/>
  <c r="I63" i="29"/>
  <c r="G64" i="16"/>
  <c r="G56" i="16"/>
  <c r="I55" i="29"/>
  <c r="I47" i="29"/>
  <c r="G48" i="16"/>
  <c r="C113" i="16"/>
  <c r="C271" i="16" s="1"/>
  <c r="C343" i="16" s="1"/>
  <c r="A271" i="16"/>
  <c r="A343" i="16" s="1"/>
  <c r="G26" i="16"/>
  <c r="I25" i="29"/>
  <c r="A260" i="16"/>
  <c r="A332" i="16" s="1"/>
  <c r="C102" i="16"/>
  <c r="C260" i="16" s="1"/>
  <c r="C332" i="16" s="1"/>
  <c r="G58" i="16"/>
  <c r="I57" i="29"/>
  <c r="I54" i="29"/>
  <c r="G55" i="16"/>
  <c r="H55" i="16" s="1"/>
  <c r="C101" i="16"/>
  <c r="C259" i="16" s="1"/>
  <c r="C331" i="16" s="1"/>
  <c r="A259" i="16"/>
  <c r="A331" i="16" s="1"/>
  <c r="H58" i="4"/>
  <c r="H60" i="4" s="1"/>
  <c r="G60" i="4"/>
  <c r="G51" i="16"/>
  <c r="I50" i="29"/>
  <c r="I46" i="29"/>
  <c r="G47" i="16"/>
  <c r="C100" i="16"/>
  <c r="C258" i="16" s="1"/>
  <c r="C330" i="16" s="1"/>
  <c r="A258" i="16"/>
  <c r="A330" i="16" s="1"/>
  <c r="I9" i="29"/>
  <c r="C145" i="16"/>
  <c r="C303" i="16" s="1"/>
  <c r="C375" i="16" s="1"/>
  <c r="A303" i="16"/>
  <c r="A375" i="16" s="1"/>
  <c r="A292" i="16"/>
  <c r="A364" i="16" s="1"/>
  <c r="C134" i="16"/>
  <c r="C292" i="16" s="1"/>
  <c r="C364" i="16" s="1"/>
  <c r="G38" i="16"/>
  <c r="I37" i="29"/>
  <c r="C115" i="16"/>
  <c r="C273" i="16" s="1"/>
  <c r="C345" i="16" s="1"/>
  <c r="A273" i="16"/>
  <c r="A345" i="16" s="1"/>
  <c r="A257" i="16"/>
  <c r="A329" i="16" s="1"/>
  <c r="C99" i="16"/>
  <c r="C257" i="16" s="1"/>
  <c r="C329" i="16" s="1"/>
  <c r="G18" i="16"/>
  <c r="I17" i="29"/>
  <c r="G14" i="16"/>
  <c r="I13" i="29"/>
  <c r="I13" i="4"/>
  <c r="J13" i="4" s="1"/>
  <c r="K13" i="4" s="1"/>
  <c r="L13" i="4" s="1"/>
  <c r="M13" i="4" s="1"/>
  <c r="N13" i="4" s="1"/>
  <c r="O13" i="4" s="1"/>
  <c r="P13" i="4" s="1"/>
  <c r="Q13" i="4" s="1"/>
  <c r="R13" i="4" s="1"/>
  <c r="C33" i="16"/>
  <c r="J13" i="6"/>
  <c r="I43" i="16"/>
  <c r="D43" i="16"/>
  <c r="C109" i="16"/>
  <c r="C267" i="16" s="1"/>
  <c r="C339" i="16" s="1"/>
  <c r="C23" i="16"/>
  <c r="I22" i="29" s="1"/>
  <c r="A281" i="16"/>
  <c r="A353" i="16" s="1"/>
  <c r="C54" i="16"/>
  <c r="A144" i="16"/>
  <c r="A140" i="16"/>
  <c r="C22" i="16"/>
  <c r="G22" i="16" s="1"/>
  <c r="C21" i="16"/>
  <c r="C20" i="16"/>
  <c r="C19" i="16"/>
  <c r="J33" i="6"/>
  <c r="G49" i="4"/>
  <c r="H49" i="4" s="1"/>
  <c r="I13" i="6"/>
  <c r="I33" i="6"/>
  <c r="A98" i="16"/>
  <c r="F40" i="6"/>
  <c r="H44" i="16"/>
  <c r="C103" i="16"/>
  <c r="C261" i="16" s="1"/>
  <c r="C333" i="16" s="1"/>
  <c r="A142" i="16"/>
  <c r="C142" i="16" s="1"/>
  <c r="G171" i="16"/>
  <c r="F14" i="11"/>
  <c r="F48" i="2"/>
  <c r="H71" i="3"/>
  <c r="E57" i="23" s="1"/>
  <c r="E59" i="23" s="1"/>
  <c r="K49" i="4"/>
  <c r="O49" i="4"/>
  <c r="N49" i="4"/>
  <c r="F182" i="16"/>
  <c r="F190" i="16"/>
  <c r="F219" i="16"/>
  <c r="F205" i="16"/>
  <c r="F173" i="16"/>
  <c r="F174" i="16"/>
  <c r="F175" i="16"/>
  <c r="F188" i="16"/>
  <c r="F184" i="16"/>
  <c r="F208" i="16"/>
  <c r="F210" i="16"/>
  <c r="F195" i="16"/>
  <c r="F170" i="16"/>
  <c r="F167" i="16"/>
  <c r="H167" i="16" s="1"/>
  <c r="G319" i="16" s="1"/>
  <c r="F185" i="16"/>
  <c r="F217" i="16"/>
  <c r="F224" i="16"/>
  <c r="I224" i="16" s="1"/>
  <c r="F191" i="16"/>
  <c r="F199" i="16"/>
  <c r="F198" i="16"/>
  <c r="F187" i="16"/>
  <c r="F222" i="16"/>
  <c r="F214" i="16"/>
  <c r="F179" i="16"/>
  <c r="F202" i="16"/>
  <c r="F215" i="16"/>
  <c r="F169" i="16"/>
  <c r="F177" i="16"/>
  <c r="F206" i="16"/>
  <c r="F196" i="16"/>
  <c r="F213" i="16"/>
  <c r="F181" i="16"/>
  <c r="F197" i="16"/>
  <c r="F200" i="16"/>
  <c r="F192" i="16"/>
  <c r="F186" i="16"/>
  <c r="F166" i="16"/>
  <c r="F218" i="16"/>
  <c r="F207" i="16"/>
  <c r="F221" i="16"/>
  <c r="F203" i="16"/>
  <c r="F168" i="16"/>
  <c r="F183" i="16"/>
  <c r="F211" i="16"/>
  <c r="G169" i="16"/>
  <c r="G172" i="16"/>
  <c r="G177" i="16"/>
  <c r="G180" i="16"/>
  <c r="G168" i="16"/>
  <c r="G173" i="16"/>
  <c r="G175" i="16"/>
  <c r="G174" i="16"/>
  <c r="G176" i="16"/>
  <c r="G170" i="16"/>
  <c r="H61" i="16"/>
  <c r="I40" i="29"/>
  <c r="G41" i="16"/>
  <c r="I66" i="16"/>
  <c r="J66" i="16"/>
  <c r="D66" i="16"/>
  <c r="E146" i="16"/>
  <c r="E304" i="16" s="1"/>
  <c r="E376" i="16" s="1"/>
  <c r="B276" i="16"/>
  <c r="B348" i="16" s="1"/>
  <c r="B272" i="16"/>
  <c r="B344" i="16" s="1"/>
  <c r="G32" i="16"/>
  <c r="I31" i="29"/>
  <c r="A280" i="16"/>
  <c r="A352" i="16" s="1"/>
  <c r="C122" i="16"/>
  <c r="A129" i="16"/>
  <c r="C49" i="16"/>
  <c r="G34" i="16"/>
  <c r="I33" i="29"/>
  <c r="C17" i="16"/>
  <c r="A97" i="16"/>
  <c r="I11" i="29"/>
  <c r="G12" i="16"/>
  <c r="A91" i="16"/>
  <c r="C11" i="16"/>
  <c r="I25" i="4"/>
  <c r="J25" i="4" s="1"/>
  <c r="K25" i="4" s="1"/>
  <c r="L25" i="4" s="1"/>
  <c r="M25" i="4" s="1"/>
  <c r="N25" i="4" s="1"/>
  <c r="O25" i="4" s="1"/>
  <c r="P25" i="4" s="1"/>
  <c r="Q25" i="4" s="1"/>
  <c r="R25" i="4" s="1"/>
  <c r="J43" i="6"/>
  <c r="J45" i="6" s="1"/>
  <c r="I43" i="6"/>
  <c r="I45" i="6" s="1"/>
  <c r="F45" i="6"/>
  <c r="I30" i="6"/>
  <c r="J30" i="6"/>
  <c r="G62" i="16"/>
  <c r="I61" i="29"/>
  <c r="G60" i="16"/>
  <c r="I59" i="29"/>
  <c r="C53" i="16"/>
  <c r="A133" i="16"/>
  <c r="A119" i="16"/>
  <c r="C39" i="16"/>
  <c r="A88" i="16"/>
  <c r="I86" i="6"/>
  <c r="J86" i="6"/>
  <c r="C132" i="16"/>
  <c r="B269" i="16"/>
  <c r="B341" i="16" s="1"/>
  <c r="A96" i="16"/>
  <c r="C16" i="16"/>
  <c r="I21" i="4"/>
  <c r="J21" i="4" s="1"/>
  <c r="K21" i="4" s="1"/>
  <c r="L21" i="4" s="1"/>
  <c r="M21" i="4" s="1"/>
  <c r="N21" i="4" s="1"/>
  <c r="O21" i="4" s="1"/>
  <c r="P21" i="4" s="1"/>
  <c r="Q21" i="4" s="1"/>
  <c r="R21" i="4" s="1"/>
  <c r="H13" i="5"/>
  <c r="G51" i="4"/>
  <c r="P73" i="7" l="1"/>
  <c r="R8" i="7"/>
  <c r="S8" i="7" s="1"/>
  <c r="L147" i="9"/>
  <c r="D145" i="7"/>
  <c r="X70" i="2"/>
  <c r="J377" i="9"/>
  <c r="L377" i="9" s="1"/>
  <c r="H43" i="26"/>
  <c r="W69" i="2"/>
  <c r="L342" i="9"/>
  <c r="G82" i="3"/>
  <c r="J171" i="9"/>
  <c r="C112" i="16"/>
  <c r="C270" i="16" s="1"/>
  <c r="C342" i="16" s="1"/>
  <c r="R173" i="4"/>
  <c r="R193" i="4" s="1"/>
  <c r="E145" i="7"/>
  <c r="L359" i="9"/>
  <c r="L328" i="9"/>
  <c r="J154" i="9"/>
  <c r="L154" i="9" s="1"/>
  <c r="F145" i="7"/>
  <c r="J80" i="9"/>
  <c r="J51" i="6"/>
  <c r="I145" i="7"/>
  <c r="L40" i="9"/>
  <c r="A262" i="16"/>
  <c r="A334" i="16" s="1"/>
  <c r="J228" i="9"/>
  <c r="L228" i="9" s="1"/>
  <c r="N23" i="13"/>
  <c r="I91" i="6"/>
  <c r="J91" i="6"/>
  <c r="J93" i="6"/>
  <c r="N25" i="13"/>
  <c r="I93" i="6"/>
  <c r="O242" i="4"/>
  <c r="F96" i="6"/>
  <c r="I96" i="6" s="1"/>
  <c r="H14" i="11"/>
  <c r="J177" i="9"/>
  <c r="L177" i="9" s="1"/>
  <c r="N82" i="2"/>
  <c r="F103" i="6"/>
  <c r="N35" i="13" s="1"/>
  <c r="H21" i="11"/>
  <c r="E36" i="19"/>
  <c r="G36" i="19" s="1"/>
  <c r="G43" i="26"/>
  <c r="J43" i="26"/>
  <c r="N145" i="7"/>
  <c r="H51" i="6"/>
  <c r="H91" i="6"/>
  <c r="U82" i="2"/>
  <c r="L310" i="9"/>
  <c r="L357" i="9"/>
  <c r="K60" i="10"/>
  <c r="K63" i="10" s="1"/>
  <c r="F69" i="10"/>
  <c r="M82" i="2"/>
  <c r="Q83" i="2"/>
  <c r="L325" i="9"/>
  <c r="E30" i="19"/>
  <c r="G30" i="19" s="1"/>
  <c r="O43" i="26"/>
  <c r="H93" i="6"/>
  <c r="N70" i="7"/>
  <c r="G145" i="7"/>
  <c r="L216" i="9"/>
  <c r="J336" i="9"/>
  <c r="L336" i="9" s="1"/>
  <c r="W83" i="2"/>
  <c r="J97" i="6"/>
  <c r="H7" i="11"/>
  <c r="F89" i="6" s="1"/>
  <c r="I43" i="26"/>
  <c r="F22" i="17"/>
  <c r="H22" i="11"/>
  <c r="F104" i="6" s="1"/>
  <c r="J145" i="7"/>
  <c r="L145" i="7"/>
  <c r="H97" i="6"/>
  <c r="M18" i="3"/>
  <c r="J315" i="9"/>
  <c r="L315" i="9" s="1"/>
  <c r="AA82" i="2"/>
  <c r="H19" i="11"/>
  <c r="F101" i="6" s="1"/>
  <c r="N43" i="26"/>
  <c r="I16" i="4"/>
  <c r="J16" i="4" s="1"/>
  <c r="K16" i="4" s="1"/>
  <c r="L16" i="4" s="1"/>
  <c r="M16" i="4" s="1"/>
  <c r="N16" i="4" s="1"/>
  <c r="O16" i="4" s="1"/>
  <c r="P16" i="4" s="1"/>
  <c r="Q16" i="4" s="1"/>
  <c r="R16" i="4" s="1"/>
  <c r="I28" i="4"/>
  <c r="J28" i="4" s="1"/>
  <c r="K28" i="4" s="1"/>
  <c r="L28" i="4" s="1"/>
  <c r="M28" i="4" s="1"/>
  <c r="N28" i="4" s="1"/>
  <c r="O28" i="4" s="1"/>
  <c r="P28" i="4" s="1"/>
  <c r="Q28" i="4" s="1"/>
  <c r="R28" i="4" s="1"/>
  <c r="C125" i="16"/>
  <c r="C283" i="16" s="1"/>
  <c r="C355" i="16" s="1"/>
  <c r="H10" i="36"/>
  <c r="F11" i="36"/>
  <c r="F47" i="36" s="1"/>
  <c r="F51" i="36" s="1"/>
  <c r="F61" i="36" s="1"/>
  <c r="F68" i="36" s="1"/>
  <c r="I17" i="4"/>
  <c r="J17" i="4" s="1"/>
  <c r="K17" i="4" s="1"/>
  <c r="L17" i="4" s="1"/>
  <c r="M17" i="4" s="1"/>
  <c r="N17" i="4" s="1"/>
  <c r="O17" i="4" s="1"/>
  <c r="P17" i="4" s="1"/>
  <c r="Q17" i="4" s="1"/>
  <c r="R17" i="4" s="1"/>
  <c r="I19" i="4"/>
  <c r="J19" i="4" s="1"/>
  <c r="K19" i="4" s="1"/>
  <c r="L19" i="4" s="1"/>
  <c r="M19" i="4" s="1"/>
  <c r="N19" i="4" s="1"/>
  <c r="O19" i="4" s="1"/>
  <c r="P19" i="4" s="1"/>
  <c r="Q19" i="4" s="1"/>
  <c r="R19" i="4" s="1"/>
  <c r="I27" i="4"/>
  <c r="J27" i="4" s="1"/>
  <c r="K27" i="4" s="1"/>
  <c r="L27" i="4" s="1"/>
  <c r="M27" i="4" s="1"/>
  <c r="N27" i="4" s="1"/>
  <c r="O27" i="4" s="1"/>
  <c r="P27" i="4" s="1"/>
  <c r="Q27" i="4" s="1"/>
  <c r="R27" i="4" s="1"/>
  <c r="E193" i="16"/>
  <c r="I193" i="16" s="1"/>
  <c r="E211" i="16"/>
  <c r="I211" i="16" s="1"/>
  <c r="I37" i="16"/>
  <c r="E117" i="16"/>
  <c r="E275" i="16" s="1"/>
  <c r="E347" i="16" s="1"/>
  <c r="D29" i="16"/>
  <c r="D187" i="16" s="1"/>
  <c r="E101" i="16"/>
  <c r="E259" i="16" s="1"/>
  <c r="E331" i="16" s="1"/>
  <c r="I353" i="9"/>
  <c r="J338" i="9"/>
  <c r="L338" i="9" s="1"/>
  <c r="I18" i="16"/>
  <c r="T96" i="2"/>
  <c r="J213" i="9"/>
  <c r="L213" i="9" s="1"/>
  <c r="L323" i="9"/>
  <c r="J64" i="16"/>
  <c r="K64" i="16" s="1"/>
  <c r="G52" i="16"/>
  <c r="H52" i="16" s="1"/>
  <c r="J356" i="9"/>
  <c r="L356" i="9" s="1"/>
  <c r="F101" i="10"/>
  <c r="D64" i="16"/>
  <c r="D222" i="16" s="1"/>
  <c r="K145" i="7"/>
  <c r="J341" i="9"/>
  <c r="L341" i="9" s="1"/>
  <c r="I11" i="16"/>
  <c r="D11" i="16"/>
  <c r="D91" i="16" s="1"/>
  <c r="D249" i="16" s="1"/>
  <c r="D321" i="16" s="1"/>
  <c r="E172" i="16"/>
  <c r="J172" i="16" s="1"/>
  <c r="G376" i="9"/>
  <c r="I55" i="16"/>
  <c r="I24" i="16"/>
  <c r="D182" i="16"/>
  <c r="C49" i="11"/>
  <c r="R92" i="36" s="1"/>
  <c r="G59" i="16"/>
  <c r="H59" i="16" s="1"/>
  <c r="J374" i="9"/>
  <c r="L374" i="9" s="1"/>
  <c r="J439" i="9"/>
  <c r="L439" i="9" s="1"/>
  <c r="K205" i="6"/>
  <c r="G79" i="6"/>
  <c r="E134" i="16"/>
  <c r="E292" i="16" s="1"/>
  <c r="E364" i="16" s="1"/>
  <c r="J44" i="16"/>
  <c r="J60" i="16"/>
  <c r="I39" i="16"/>
  <c r="J174" i="16"/>
  <c r="E184" i="16"/>
  <c r="I184" i="16" s="1"/>
  <c r="D200" i="16"/>
  <c r="I26" i="16"/>
  <c r="E200" i="16"/>
  <c r="I200" i="16" s="1"/>
  <c r="E183" i="16"/>
  <c r="I183" i="16" s="1"/>
  <c r="D26" i="16"/>
  <c r="D106" i="16" s="1"/>
  <c r="D264" i="16" s="1"/>
  <c r="D336" i="16" s="1"/>
  <c r="D62" i="16"/>
  <c r="D220" i="16" s="1"/>
  <c r="D57" i="16"/>
  <c r="D137" i="16" s="1"/>
  <c r="D295" i="16" s="1"/>
  <c r="D367" i="16" s="1"/>
  <c r="E94" i="16"/>
  <c r="E252" i="16" s="1"/>
  <c r="E324" i="16" s="1"/>
  <c r="E105" i="16"/>
  <c r="E263" i="16" s="1"/>
  <c r="E335" i="16" s="1"/>
  <c r="E220" i="16"/>
  <c r="I220" i="16" s="1"/>
  <c r="D33" i="16"/>
  <c r="D191" i="16" s="1"/>
  <c r="I28" i="16"/>
  <c r="J14" i="16"/>
  <c r="I56" i="16"/>
  <c r="D46" i="16"/>
  <c r="D204" i="16" s="1"/>
  <c r="E202" i="16"/>
  <c r="I202" i="16" s="1"/>
  <c r="E167" i="16"/>
  <c r="I167" i="16" s="1"/>
  <c r="K167" i="16" s="1"/>
  <c r="E169" i="16"/>
  <c r="J169" i="16" s="1"/>
  <c r="D65" i="16"/>
  <c r="D145" i="16" s="1"/>
  <c r="D303" i="16" s="1"/>
  <c r="D375" i="16" s="1"/>
  <c r="D17" i="16"/>
  <c r="D97" i="16" s="1"/>
  <c r="D255" i="16" s="1"/>
  <c r="D327" i="16" s="1"/>
  <c r="E104" i="16"/>
  <c r="E262" i="16" s="1"/>
  <c r="E334" i="16" s="1"/>
  <c r="E135" i="16"/>
  <c r="E293" i="16" s="1"/>
  <c r="E365" i="16" s="1"/>
  <c r="D18" i="16"/>
  <c r="D176" i="16" s="1"/>
  <c r="I9" i="16"/>
  <c r="K9" i="16" s="1"/>
  <c r="E128" i="16"/>
  <c r="E286" i="16" s="1"/>
  <c r="E358" i="16" s="1"/>
  <c r="D16" i="16"/>
  <c r="D96" i="16" s="1"/>
  <c r="D254" i="16" s="1"/>
  <c r="D326" i="16" s="1"/>
  <c r="E89" i="16"/>
  <c r="E247" i="16" s="1"/>
  <c r="E319" i="16" s="1"/>
  <c r="D49" i="16"/>
  <c r="D129" i="16" s="1"/>
  <c r="D287" i="16" s="1"/>
  <c r="D359" i="16" s="1"/>
  <c r="E173" i="16"/>
  <c r="J173" i="16" s="1"/>
  <c r="I60" i="16"/>
  <c r="E199" i="16"/>
  <c r="I199" i="16" s="1"/>
  <c r="I48" i="16"/>
  <c r="J24" i="16"/>
  <c r="E137" i="16"/>
  <c r="E295" i="16" s="1"/>
  <c r="E367" i="16" s="1"/>
  <c r="I57" i="16"/>
  <c r="D27" i="16"/>
  <c r="D185" i="16" s="1"/>
  <c r="E213" i="16"/>
  <c r="I213" i="16" s="1"/>
  <c r="E176" i="16"/>
  <c r="I176" i="16" s="1"/>
  <c r="D34" i="16"/>
  <c r="D192" i="16" s="1"/>
  <c r="E207" i="16"/>
  <c r="I207" i="16" s="1"/>
  <c r="I17" i="16"/>
  <c r="I41" i="16"/>
  <c r="E140" i="16"/>
  <c r="E298" i="16" s="1"/>
  <c r="E370" i="16" s="1"/>
  <c r="G23" i="4"/>
  <c r="N20" i="13"/>
  <c r="E290" i="21"/>
  <c r="G290" i="21"/>
  <c r="J103" i="6"/>
  <c r="J96" i="6"/>
  <c r="R64" i="7"/>
  <c r="N46" i="13"/>
  <c r="J114" i="6"/>
  <c r="H114" i="6"/>
  <c r="I114" i="6"/>
  <c r="I46" i="16"/>
  <c r="I27" i="16"/>
  <c r="E107" i="16"/>
  <c r="E265" i="16" s="1"/>
  <c r="E337" i="16" s="1"/>
  <c r="J370" i="9"/>
  <c r="L370" i="9" s="1"/>
  <c r="N47" i="13"/>
  <c r="H115" i="6"/>
  <c r="I115" i="6"/>
  <c r="J115" i="6"/>
  <c r="H120" i="6"/>
  <c r="I120" i="6"/>
  <c r="J120" i="6"/>
  <c r="N52" i="13"/>
  <c r="H108" i="6"/>
  <c r="I108" i="6"/>
  <c r="N40" i="13"/>
  <c r="J108" i="6"/>
  <c r="H124" i="6"/>
  <c r="I124" i="6"/>
  <c r="N56" i="13"/>
  <c r="J124" i="6"/>
  <c r="E126" i="16"/>
  <c r="E284" i="16" s="1"/>
  <c r="E356" i="16" s="1"/>
  <c r="N172" i="6"/>
  <c r="G172" i="6" s="1"/>
  <c r="G38" i="6" s="1"/>
  <c r="N246" i="6"/>
  <c r="G246" i="6" s="1"/>
  <c r="G120" i="6" s="1"/>
  <c r="N248" i="6"/>
  <c r="G248" i="6" s="1"/>
  <c r="G122" i="6" s="1"/>
  <c r="N250" i="6"/>
  <c r="G250" i="6" s="1"/>
  <c r="G124" i="6" s="1"/>
  <c r="N252" i="6"/>
  <c r="G252" i="6" s="1"/>
  <c r="G126" i="6" s="1"/>
  <c r="N249" i="6"/>
  <c r="G249" i="6" s="1"/>
  <c r="G123" i="6" s="1"/>
  <c r="N247" i="6"/>
  <c r="G247" i="6" s="1"/>
  <c r="G121" i="6" s="1"/>
  <c r="N251" i="6"/>
  <c r="G251" i="6" s="1"/>
  <c r="G125" i="6" s="1"/>
  <c r="N245" i="6"/>
  <c r="G245" i="6" s="1"/>
  <c r="G119" i="6" s="1"/>
  <c r="L70" i="9"/>
  <c r="K42" i="3"/>
  <c r="L313" i="9"/>
  <c r="H444" i="9"/>
  <c r="N22" i="13"/>
  <c r="J90" i="6"/>
  <c r="I90" i="6"/>
  <c r="H90" i="6"/>
  <c r="R47" i="7"/>
  <c r="R51" i="7"/>
  <c r="R9" i="7"/>
  <c r="H112" i="6"/>
  <c r="I112" i="6"/>
  <c r="J112" i="6"/>
  <c r="N44" i="13"/>
  <c r="H116" i="6"/>
  <c r="I116" i="6"/>
  <c r="N48" i="13"/>
  <c r="J116" i="6"/>
  <c r="I121" i="6"/>
  <c r="J121" i="6"/>
  <c r="H121" i="6"/>
  <c r="N53" i="13"/>
  <c r="I109" i="6"/>
  <c r="J109" i="6"/>
  <c r="N41" i="13"/>
  <c r="H109" i="6"/>
  <c r="J335" i="9"/>
  <c r="L335" i="9" s="1"/>
  <c r="I350" i="9"/>
  <c r="N51" i="13"/>
  <c r="H119" i="6"/>
  <c r="I119" i="6"/>
  <c r="J119" i="6"/>
  <c r="C92" i="16"/>
  <c r="C250" i="16" s="1"/>
  <c r="C322" i="16" s="1"/>
  <c r="D47" i="16"/>
  <c r="D127" i="16" s="1"/>
  <c r="D285" i="16" s="1"/>
  <c r="D357" i="16" s="1"/>
  <c r="J366" i="9"/>
  <c r="L366" i="9" s="1"/>
  <c r="L146" i="9"/>
  <c r="J367" i="9"/>
  <c r="L367" i="9" s="1"/>
  <c r="I113" i="6"/>
  <c r="J113" i="6"/>
  <c r="H113" i="6"/>
  <c r="N45" i="13"/>
  <c r="N50" i="13"/>
  <c r="J118" i="6"/>
  <c r="H118" i="6"/>
  <c r="I118" i="6"/>
  <c r="N54" i="13"/>
  <c r="J122" i="6"/>
  <c r="I122" i="6"/>
  <c r="H122" i="6"/>
  <c r="N43" i="13"/>
  <c r="H111" i="6"/>
  <c r="J111" i="6"/>
  <c r="I111" i="6"/>
  <c r="F20" i="11"/>
  <c r="D22" i="17"/>
  <c r="I240" i="9"/>
  <c r="J231" i="9"/>
  <c r="L231" i="9" s="1"/>
  <c r="G22" i="17"/>
  <c r="H7" i="17"/>
  <c r="F56" i="20"/>
  <c r="G380" i="9"/>
  <c r="J381" i="9"/>
  <c r="L381" i="9" s="1"/>
  <c r="G386" i="9"/>
  <c r="J386" i="9"/>
  <c r="L386" i="9" s="1"/>
  <c r="J385" i="9"/>
  <c r="L385" i="9" s="1"/>
  <c r="L308" i="9"/>
  <c r="G391" i="9"/>
  <c r="J389" i="9"/>
  <c r="L389" i="9" s="1"/>
  <c r="J387" i="9"/>
  <c r="L387" i="9" s="1"/>
  <c r="J390" i="9"/>
  <c r="L390" i="9" s="1"/>
  <c r="J343" i="9"/>
  <c r="L343" i="9" s="1"/>
  <c r="I358" i="9"/>
  <c r="G385" i="9"/>
  <c r="G383" i="9"/>
  <c r="J382" i="9"/>
  <c r="L382" i="9" s="1"/>
  <c r="J255" i="9"/>
  <c r="L212" i="9"/>
  <c r="L221" i="9"/>
  <c r="L163" i="9"/>
  <c r="L150" i="9"/>
  <c r="J103" i="9"/>
  <c r="L103" i="9" s="1"/>
  <c r="E130" i="16"/>
  <c r="E288" i="16" s="1"/>
  <c r="E360" i="16" s="1"/>
  <c r="I29" i="16"/>
  <c r="D59" i="16"/>
  <c r="D217" i="16" s="1"/>
  <c r="E195" i="16"/>
  <c r="I195" i="16" s="1"/>
  <c r="I53" i="16"/>
  <c r="E186" i="16"/>
  <c r="I186" i="16" s="1"/>
  <c r="D208" i="16"/>
  <c r="E208" i="16"/>
  <c r="I208" i="16" s="1"/>
  <c r="E219" i="16"/>
  <c r="I219" i="16" s="1"/>
  <c r="E110" i="16"/>
  <c r="E268" i="16" s="1"/>
  <c r="E340" i="16" s="1"/>
  <c r="I61" i="16"/>
  <c r="D53" i="16"/>
  <c r="D133" i="16" s="1"/>
  <c r="D291" i="16" s="1"/>
  <c r="D363" i="16" s="1"/>
  <c r="D31" i="16"/>
  <c r="D189" i="16" s="1"/>
  <c r="D20" i="16"/>
  <c r="D100" i="16" s="1"/>
  <c r="D258" i="16" s="1"/>
  <c r="D330" i="16" s="1"/>
  <c r="E198" i="16"/>
  <c r="I198" i="16" s="1"/>
  <c r="E168" i="16"/>
  <c r="J168" i="16" s="1"/>
  <c r="E108" i="16"/>
  <c r="E266" i="16" s="1"/>
  <c r="E338" i="16" s="1"/>
  <c r="E116" i="16"/>
  <c r="E274" i="16" s="1"/>
  <c r="E346" i="16" s="1"/>
  <c r="E218" i="16"/>
  <c r="I218" i="16" s="1"/>
  <c r="J28" i="16"/>
  <c r="R15" i="7"/>
  <c r="R19" i="7"/>
  <c r="R41" i="7"/>
  <c r="I58" i="16"/>
  <c r="E125" i="16"/>
  <c r="E283" i="16" s="1"/>
  <c r="E355" i="16" s="1"/>
  <c r="E222" i="16"/>
  <c r="I222" i="16" s="1"/>
  <c r="E93" i="16"/>
  <c r="E251" i="16" s="1"/>
  <c r="I50" i="16"/>
  <c r="I174" i="16"/>
  <c r="E120" i="16"/>
  <c r="E278" i="16" s="1"/>
  <c r="E350" i="16" s="1"/>
  <c r="E96" i="16"/>
  <c r="E254" i="16" s="1"/>
  <c r="E326" i="16" s="1"/>
  <c r="I14" i="16"/>
  <c r="I31" i="16"/>
  <c r="E100" i="16"/>
  <c r="E258" i="16" s="1"/>
  <c r="E330" i="16" s="1"/>
  <c r="I16" i="16"/>
  <c r="D40" i="16"/>
  <c r="D198" i="16" s="1"/>
  <c r="D38" i="16"/>
  <c r="D118" i="16" s="1"/>
  <c r="D276" i="16" s="1"/>
  <c r="D348" i="16" s="1"/>
  <c r="J40" i="16"/>
  <c r="K40" i="16" s="1"/>
  <c r="R61" i="7"/>
  <c r="R12" i="7"/>
  <c r="D35" i="16"/>
  <c r="D115" i="16" s="1"/>
  <c r="D273" i="16" s="1"/>
  <c r="D345" i="16" s="1"/>
  <c r="E188" i="16"/>
  <c r="I188" i="16" s="1"/>
  <c r="I21" i="16"/>
  <c r="D214" i="16"/>
  <c r="E143" i="16"/>
  <c r="E301" i="16" s="1"/>
  <c r="E373" i="16" s="1"/>
  <c r="E139" i="16"/>
  <c r="E297" i="16" s="1"/>
  <c r="E369" i="16" s="1"/>
  <c r="E95" i="16"/>
  <c r="E253" i="16" s="1"/>
  <c r="E325" i="16" s="1"/>
  <c r="E217" i="16"/>
  <c r="I217" i="16" s="1"/>
  <c r="J47" i="16"/>
  <c r="E221" i="16"/>
  <c r="I221" i="16" s="1"/>
  <c r="I44" i="16"/>
  <c r="I12" i="16"/>
  <c r="E189" i="16"/>
  <c r="I189" i="16" s="1"/>
  <c r="E142" i="16"/>
  <c r="E300" i="16" s="1"/>
  <c r="E372" i="16" s="1"/>
  <c r="E191" i="16"/>
  <c r="I191" i="16" s="1"/>
  <c r="E115" i="16"/>
  <c r="E273" i="16" s="1"/>
  <c r="E345" i="16" s="1"/>
  <c r="I34" i="16"/>
  <c r="D30" i="16"/>
  <c r="D110" i="16" s="1"/>
  <c r="D268" i="16" s="1"/>
  <c r="D340" i="16" s="1"/>
  <c r="E121" i="16"/>
  <c r="E279" i="16" s="1"/>
  <c r="E351" i="16" s="1"/>
  <c r="E179" i="16"/>
  <c r="J179" i="16" s="1"/>
  <c r="I51" i="16"/>
  <c r="D25" i="16"/>
  <c r="D183" i="16" s="1"/>
  <c r="R31" i="7"/>
  <c r="R35" i="7"/>
  <c r="R44" i="7"/>
  <c r="R26" i="7"/>
  <c r="R25" i="7"/>
  <c r="R32" i="7"/>
  <c r="I19" i="16"/>
  <c r="E131" i="16"/>
  <c r="E289" i="16" s="1"/>
  <c r="E361" i="16" s="1"/>
  <c r="E182" i="16"/>
  <c r="I182" i="16" s="1"/>
  <c r="I13" i="16"/>
  <c r="D63" i="16"/>
  <c r="D221" i="16" s="1"/>
  <c r="D44" i="16"/>
  <c r="D202" i="16" s="1"/>
  <c r="E192" i="16"/>
  <c r="I192" i="16" s="1"/>
  <c r="E132" i="16"/>
  <c r="E290" i="16" s="1"/>
  <c r="E362" i="16" s="1"/>
  <c r="R60" i="7"/>
  <c r="R10" i="7"/>
  <c r="R130" i="7"/>
  <c r="R118" i="7"/>
  <c r="R110" i="7"/>
  <c r="R102" i="7"/>
  <c r="R94" i="7"/>
  <c r="R86" i="7"/>
  <c r="R135" i="7"/>
  <c r="R123" i="7"/>
  <c r="R115" i="7"/>
  <c r="R107" i="7"/>
  <c r="R99" i="7"/>
  <c r="R91" i="7"/>
  <c r="R138" i="7"/>
  <c r="R134" i="7"/>
  <c r="R126" i="7"/>
  <c r="R122" i="7"/>
  <c r="R114" i="7"/>
  <c r="R106" i="7"/>
  <c r="R98" i="7"/>
  <c r="R90" i="7"/>
  <c r="R139" i="7"/>
  <c r="R131" i="7"/>
  <c r="R127" i="7"/>
  <c r="R119" i="7"/>
  <c r="R111" i="7"/>
  <c r="R103" i="7"/>
  <c r="R95" i="7"/>
  <c r="R87" i="7"/>
  <c r="R105" i="7"/>
  <c r="R121" i="7"/>
  <c r="R128" i="7"/>
  <c r="R112" i="7"/>
  <c r="R96" i="7"/>
  <c r="R109" i="7"/>
  <c r="R136" i="7"/>
  <c r="R85" i="7"/>
  <c r="R120" i="7"/>
  <c r="R88" i="7"/>
  <c r="R125" i="7"/>
  <c r="R93" i="7"/>
  <c r="R124" i="7"/>
  <c r="R92" i="7"/>
  <c r="R117" i="7"/>
  <c r="R140" i="7"/>
  <c r="R141" i="7"/>
  <c r="R129" i="7"/>
  <c r="R132" i="7"/>
  <c r="R116" i="7"/>
  <c r="R100" i="7"/>
  <c r="R84" i="7"/>
  <c r="S84" i="7" s="1"/>
  <c r="R97" i="7"/>
  <c r="R133" i="7"/>
  <c r="R137" i="7"/>
  <c r="R101" i="7"/>
  <c r="R104" i="7"/>
  <c r="R89" i="7"/>
  <c r="R113" i="7"/>
  <c r="R108" i="7"/>
  <c r="P148" i="7"/>
  <c r="D13" i="16"/>
  <c r="D93" i="16" s="1"/>
  <c r="D251" i="16" s="1"/>
  <c r="D323" i="16" s="1"/>
  <c r="D19" i="16"/>
  <c r="D99" i="16" s="1"/>
  <c r="D257" i="16" s="1"/>
  <c r="D329" i="16" s="1"/>
  <c r="I210" i="16"/>
  <c r="I38" i="16"/>
  <c r="D32" i="16"/>
  <c r="D190" i="16" s="1"/>
  <c r="I22" i="16"/>
  <c r="D15" i="16"/>
  <c r="D95" i="16" s="1"/>
  <c r="D253" i="16" s="1"/>
  <c r="D325" i="16" s="1"/>
  <c r="E119" i="16"/>
  <c r="E277" i="16" s="1"/>
  <c r="E349" i="16" s="1"/>
  <c r="D45" i="16"/>
  <c r="D125" i="16" s="1"/>
  <c r="D283" i="16" s="1"/>
  <c r="D355" i="16" s="1"/>
  <c r="I54" i="16"/>
  <c r="E190" i="16"/>
  <c r="I190" i="16" s="1"/>
  <c r="D48" i="16"/>
  <c r="D128" i="16" s="1"/>
  <c r="D286" i="16" s="1"/>
  <c r="D358" i="16" s="1"/>
  <c r="I171" i="16"/>
  <c r="R17" i="7"/>
  <c r="R20" i="7"/>
  <c r="R14" i="7"/>
  <c r="R30" i="7"/>
  <c r="R42" i="7"/>
  <c r="R46" i="7"/>
  <c r="R58" i="7"/>
  <c r="R29" i="7"/>
  <c r="R45" i="7"/>
  <c r="R16" i="7"/>
  <c r="R40" i="7"/>
  <c r="E177" i="16"/>
  <c r="I177" i="16" s="1"/>
  <c r="J61" i="16"/>
  <c r="K61" i="16" s="1"/>
  <c r="J171" i="16"/>
  <c r="D58" i="16"/>
  <c r="D138" i="16" s="1"/>
  <c r="D296" i="16" s="1"/>
  <c r="D368" i="16" s="1"/>
  <c r="E216" i="16"/>
  <c r="I216" i="16" s="1"/>
  <c r="E97" i="16"/>
  <c r="E255" i="16" s="1"/>
  <c r="E327" i="16" s="1"/>
  <c r="E136" i="16"/>
  <c r="E294" i="16" s="1"/>
  <c r="E366" i="16" s="1"/>
  <c r="J38" i="16"/>
  <c r="J58" i="16"/>
  <c r="J26" i="16"/>
  <c r="I45" i="16"/>
  <c r="E144" i="16"/>
  <c r="E302" i="16" s="1"/>
  <c r="E374" i="16" s="1"/>
  <c r="I65" i="16"/>
  <c r="I49" i="16"/>
  <c r="E180" i="16"/>
  <c r="J180" i="16" s="1"/>
  <c r="E187" i="16"/>
  <c r="I187" i="16" s="1"/>
  <c r="E92" i="16"/>
  <c r="E250" i="16" s="1"/>
  <c r="E322" i="16" s="1"/>
  <c r="E197" i="16"/>
  <c r="I197" i="16" s="1"/>
  <c r="J45" i="16"/>
  <c r="E127" i="16"/>
  <c r="E285" i="16" s="1"/>
  <c r="E357" i="16" s="1"/>
  <c r="I20" i="16"/>
  <c r="E212" i="16"/>
  <c r="I212" i="16" s="1"/>
  <c r="D52" i="16"/>
  <c r="D210" i="16" s="1"/>
  <c r="I52" i="16"/>
  <c r="E196" i="16"/>
  <c r="I196" i="16" s="1"/>
  <c r="D22" i="16"/>
  <c r="D102" i="16" s="1"/>
  <c r="D260" i="16" s="1"/>
  <c r="D332" i="16" s="1"/>
  <c r="D51" i="16"/>
  <c r="D209" i="16" s="1"/>
  <c r="D10" i="16"/>
  <c r="D90" i="16" s="1"/>
  <c r="D248" i="16" s="1"/>
  <c r="D320" i="16" s="1"/>
  <c r="I223" i="16"/>
  <c r="R59" i="7"/>
  <c r="R63" i="7"/>
  <c r="R65" i="7"/>
  <c r="R36" i="7"/>
  <c r="R22" i="7"/>
  <c r="R38" i="7"/>
  <c r="R50" i="7"/>
  <c r="R54" i="7"/>
  <c r="R66" i="7"/>
  <c r="R21" i="7"/>
  <c r="R37" i="7"/>
  <c r="R57" i="7"/>
  <c r="R56" i="7"/>
  <c r="D269" i="7"/>
  <c r="G269" i="7"/>
  <c r="E170" i="16"/>
  <c r="I170" i="16" s="1"/>
  <c r="I47" i="16"/>
  <c r="E122" i="16"/>
  <c r="E280" i="16" s="1"/>
  <c r="E352" i="16" s="1"/>
  <c r="E214" i="16"/>
  <c r="I214" i="16" s="1"/>
  <c r="I42" i="16"/>
  <c r="I33" i="16"/>
  <c r="D61" i="16"/>
  <c r="D141" i="16" s="1"/>
  <c r="D299" i="16" s="1"/>
  <c r="D371" i="16" s="1"/>
  <c r="E145" i="16"/>
  <c r="E303" i="16" s="1"/>
  <c r="E375" i="16" s="1"/>
  <c r="D36" i="16"/>
  <c r="D194" i="16" s="1"/>
  <c r="I36" i="16"/>
  <c r="I32" i="16"/>
  <c r="E90" i="16"/>
  <c r="E248" i="16" s="1"/>
  <c r="E320" i="16" s="1"/>
  <c r="R11" i="7"/>
  <c r="R23" i="7"/>
  <c r="R27" i="7"/>
  <c r="R39" i="7"/>
  <c r="R43" i="7"/>
  <c r="R55" i="7"/>
  <c r="R53" i="7"/>
  <c r="R28" i="7"/>
  <c r="R52" i="7"/>
  <c r="R18" i="7"/>
  <c r="R34" i="7"/>
  <c r="R62" i="7"/>
  <c r="R13" i="7"/>
  <c r="R33" i="7"/>
  <c r="R49" i="7"/>
  <c r="R24" i="7"/>
  <c r="R48" i="7"/>
  <c r="AF135" i="2"/>
  <c r="N135" i="2"/>
  <c r="Q70" i="2"/>
  <c r="M135" i="2"/>
  <c r="M136" i="2" s="1"/>
  <c r="AJ134" i="2"/>
  <c r="G69" i="2"/>
  <c r="J69" i="2"/>
  <c r="O135" i="2"/>
  <c r="O136" i="2" s="1"/>
  <c r="Y135" i="2"/>
  <c r="L134" i="2"/>
  <c r="Z96" i="2"/>
  <c r="R134" i="2"/>
  <c r="P135" i="2"/>
  <c r="AF134" i="2"/>
  <c r="L70" i="2"/>
  <c r="Z95" i="2"/>
  <c r="Y96" i="2"/>
  <c r="I134" i="2"/>
  <c r="U134" i="2"/>
  <c r="S135" i="2"/>
  <c r="AB134" i="2"/>
  <c r="S134" i="2"/>
  <c r="AH135" i="2"/>
  <c r="S83" i="2"/>
  <c r="H86" i="2"/>
  <c r="Z70" i="2"/>
  <c r="AC135" i="2"/>
  <c r="AG135" i="2"/>
  <c r="H138" i="2"/>
  <c r="AB135" i="2"/>
  <c r="AC134" i="2"/>
  <c r="Y69" i="2"/>
  <c r="L69" i="2"/>
  <c r="L96" i="2"/>
  <c r="R96" i="2"/>
  <c r="P134" i="2"/>
  <c r="Q135" i="2"/>
  <c r="Z134" i="2"/>
  <c r="T134" i="2"/>
  <c r="AL134" i="2"/>
  <c r="Y134" i="2"/>
  <c r="Y136" i="2" s="1"/>
  <c r="N134" i="2"/>
  <c r="N136" i="2" s="1"/>
  <c r="AJ135" i="2"/>
  <c r="Q82" i="2"/>
  <c r="Q84" i="2" s="1"/>
  <c r="X83" i="2"/>
  <c r="T82" i="2"/>
  <c r="Y83" i="2"/>
  <c r="L82" i="2"/>
  <c r="L84" i="2" s="1"/>
  <c r="AB82" i="2"/>
  <c r="P96" i="2"/>
  <c r="AD96" i="2"/>
  <c r="AK134" i="2"/>
  <c r="AG134" i="2"/>
  <c r="W135" i="2"/>
  <c r="R135" i="2"/>
  <c r="I135" i="2"/>
  <c r="J135" i="2"/>
  <c r="U135" i="2"/>
  <c r="T135" i="2"/>
  <c r="X134" i="2"/>
  <c r="X136" i="2" s="1"/>
  <c r="Z135" i="2"/>
  <c r="AA134" i="2"/>
  <c r="Q134" i="2"/>
  <c r="AA135" i="2"/>
  <c r="P83" i="2"/>
  <c r="K83" i="2"/>
  <c r="W82" i="2"/>
  <c r="W84" i="2" s="1"/>
  <c r="R83" i="2"/>
  <c r="Y82" i="2"/>
  <c r="J83" i="2"/>
  <c r="R82" i="2"/>
  <c r="Z83" i="2"/>
  <c r="AA83" i="2"/>
  <c r="L135" i="2"/>
  <c r="L136" i="2" s="1"/>
  <c r="W134" i="2"/>
  <c r="AE135" i="2"/>
  <c r="Z82" i="2"/>
  <c r="I82" i="2"/>
  <c r="I86" i="2" s="1"/>
  <c r="AB83" i="2"/>
  <c r="K82" i="2"/>
  <c r="P82" i="2"/>
  <c r="T83" i="2"/>
  <c r="X96" i="2"/>
  <c r="AA95" i="2"/>
  <c r="AK135" i="2"/>
  <c r="AE134" i="2"/>
  <c r="O134" i="2"/>
  <c r="AH134" i="2"/>
  <c r="V134" i="2"/>
  <c r="V136" i="2" s="1"/>
  <c r="J134" i="2"/>
  <c r="K135" i="2"/>
  <c r="K134" i="2"/>
  <c r="K136" i="2" s="1"/>
  <c r="AI134" i="2"/>
  <c r="AI135" i="2"/>
  <c r="AD134" i="2"/>
  <c r="AL135" i="2"/>
  <c r="AL136" i="2" s="1"/>
  <c r="V83" i="2"/>
  <c r="V84" i="2" s="1"/>
  <c r="S82" i="2"/>
  <c r="N83" i="2"/>
  <c r="N84" i="2" s="1"/>
  <c r="U83" i="2"/>
  <c r="U84" i="2" s="1"/>
  <c r="O82" i="2"/>
  <c r="O84" i="2" s="1"/>
  <c r="J82" i="2"/>
  <c r="J84" i="2" s="1"/>
  <c r="X82" i="2"/>
  <c r="M83" i="2"/>
  <c r="M84" i="2" s="1"/>
  <c r="AD135" i="2"/>
  <c r="K69" i="2"/>
  <c r="F73" i="2"/>
  <c r="T70" i="2"/>
  <c r="S70" i="2"/>
  <c r="W70" i="2"/>
  <c r="N69" i="2"/>
  <c r="Y95" i="2"/>
  <c r="Y97" i="2" s="1"/>
  <c r="W96" i="2"/>
  <c r="L95" i="2"/>
  <c r="N96" i="2"/>
  <c r="R70" i="2"/>
  <c r="T69" i="2"/>
  <c r="V69" i="2"/>
  <c r="R69" i="2"/>
  <c r="I70" i="2"/>
  <c r="H69" i="2"/>
  <c r="U69" i="2"/>
  <c r="V70" i="2"/>
  <c r="K70" i="2"/>
  <c r="Z69" i="2"/>
  <c r="P69" i="2"/>
  <c r="V95" i="2"/>
  <c r="V97" i="2" s="1"/>
  <c r="J99" i="2"/>
  <c r="AB95" i="2"/>
  <c r="W95" i="2"/>
  <c r="X95" i="2"/>
  <c r="R95" i="2"/>
  <c r="U95" i="2"/>
  <c r="Q95" i="2"/>
  <c r="N95" i="2"/>
  <c r="N97" i="2" s="1"/>
  <c r="M96" i="2"/>
  <c r="U96" i="2"/>
  <c r="Q69" i="2"/>
  <c r="Q71" i="2" s="1"/>
  <c r="P70" i="2"/>
  <c r="U70" i="2"/>
  <c r="X71" i="2"/>
  <c r="O69" i="2"/>
  <c r="O70" i="2"/>
  <c r="AC95" i="2"/>
  <c r="AD95" i="2"/>
  <c r="S95" i="2"/>
  <c r="M95" i="2"/>
  <c r="AB96" i="2"/>
  <c r="K95" i="2"/>
  <c r="Y70" i="2"/>
  <c r="M70" i="2"/>
  <c r="G70" i="2"/>
  <c r="H70" i="2"/>
  <c r="N70" i="2"/>
  <c r="S69" i="2"/>
  <c r="M69" i="2"/>
  <c r="S96" i="2"/>
  <c r="K96" i="2"/>
  <c r="T95" i="2"/>
  <c r="AC96" i="2"/>
  <c r="P95" i="2"/>
  <c r="O95" i="2"/>
  <c r="AA96" i="2"/>
  <c r="O96" i="2"/>
  <c r="Q96" i="2"/>
  <c r="J70" i="2"/>
  <c r="I69" i="2"/>
  <c r="X97" i="2"/>
  <c r="N211" i="6"/>
  <c r="G211" i="6" s="1"/>
  <c r="G85" i="6" s="1"/>
  <c r="N152" i="6"/>
  <c r="G152" i="6" s="1"/>
  <c r="G18" i="6" s="1"/>
  <c r="N158" i="6"/>
  <c r="G158" i="6" s="1"/>
  <c r="G24" i="6" s="1"/>
  <c r="C114" i="16"/>
  <c r="C272" i="16" s="1"/>
  <c r="C344" i="16" s="1"/>
  <c r="C128" i="16"/>
  <c r="C286" i="16" s="1"/>
  <c r="C358" i="16" s="1"/>
  <c r="J65" i="29"/>
  <c r="J30" i="16"/>
  <c r="K30" i="16" s="1"/>
  <c r="C108" i="16"/>
  <c r="C266" i="16" s="1"/>
  <c r="C338" i="16" s="1"/>
  <c r="T51" i="35"/>
  <c r="I56" i="29"/>
  <c r="C106" i="16"/>
  <c r="C264" i="16" s="1"/>
  <c r="C336" i="16" s="1"/>
  <c r="E35" i="35"/>
  <c r="F107" i="35" s="1"/>
  <c r="B174" i="35" s="1"/>
  <c r="E39" i="35"/>
  <c r="F111" i="35" s="1"/>
  <c r="B178" i="35" s="1"/>
  <c r="E43" i="35"/>
  <c r="F115" i="35" s="1"/>
  <c r="B182" i="35" s="1"/>
  <c r="E47" i="35"/>
  <c r="F119" i="35" s="1"/>
  <c r="B186" i="35" s="1"/>
  <c r="E51" i="35"/>
  <c r="F123" i="35" s="1"/>
  <c r="B190" i="35" s="1"/>
  <c r="E55" i="35"/>
  <c r="F127" i="35" s="1"/>
  <c r="B194" i="35" s="1"/>
  <c r="E59" i="35"/>
  <c r="F131" i="35" s="1"/>
  <c r="B198" i="35" s="1"/>
  <c r="E63" i="35"/>
  <c r="F135" i="35" s="1"/>
  <c r="B202" i="35" s="1"/>
  <c r="E71" i="35"/>
  <c r="F143" i="35" s="1"/>
  <c r="B210" i="35" s="1"/>
  <c r="E21" i="35"/>
  <c r="F93" i="35" s="1"/>
  <c r="B160" i="35" s="1"/>
  <c r="E25" i="35"/>
  <c r="F97" i="35" s="1"/>
  <c r="B164" i="35" s="1"/>
  <c r="E29" i="35"/>
  <c r="F101" i="35" s="1"/>
  <c r="B168" i="35" s="1"/>
  <c r="E34" i="35"/>
  <c r="F106" i="35" s="1"/>
  <c r="B173" i="35" s="1"/>
  <c r="E46" i="35"/>
  <c r="F118" i="35" s="1"/>
  <c r="B185" i="35" s="1"/>
  <c r="E54" i="35"/>
  <c r="F126" i="35" s="1"/>
  <c r="B193" i="35" s="1"/>
  <c r="E62" i="35"/>
  <c r="F134" i="35" s="1"/>
  <c r="B201" i="35" s="1"/>
  <c r="E70" i="35"/>
  <c r="F142" i="35" s="1"/>
  <c r="B209" i="35" s="1"/>
  <c r="E20" i="35"/>
  <c r="F92" i="35" s="1"/>
  <c r="B159" i="35" s="1"/>
  <c r="E28" i="35"/>
  <c r="F100" i="35" s="1"/>
  <c r="B167" i="35" s="1"/>
  <c r="E37" i="35"/>
  <c r="F109" i="35" s="1"/>
  <c r="B176" i="35" s="1"/>
  <c r="E49" i="35"/>
  <c r="F121" i="35" s="1"/>
  <c r="B188" i="35" s="1"/>
  <c r="E57" i="35"/>
  <c r="F129" i="35" s="1"/>
  <c r="B196" i="35" s="1"/>
  <c r="E69" i="35"/>
  <c r="F141" i="35" s="1"/>
  <c r="B208" i="35" s="1"/>
  <c r="E19" i="35"/>
  <c r="E27" i="35"/>
  <c r="F99" i="35" s="1"/>
  <c r="B166" i="35" s="1"/>
  <c r="E32" i="35"/>
  <c r="F104" i="35" s="1"/>
  <c r="B171" i="35" s="1"/>
  <c r="E36" i="35"/>
  <c r="F108" i="35" s="1"/>
  <c r="B175" i="35" s="1"/>
  <c r="E40" i="35"/>
  <c r="F112" i="35" s="1"/>
  <c r="B179" i="35" s="1"/>
  <c r="E44" i="35"/>
  <c r="F116" i="35" s="1"/>
  <c r="B183" i="35" s="1"/>
  <c r="E48" i="35"/>
  <c r="F120" i="35" s="1"/>
  <c r="B187" i="35" s="1"/>
  <c r="E52" i="35"/>
  <c r="F124" i="35" s="1"/>
  <c r="B191" i="35" s="1"/>
  <c r="E56" i="35"/>
  <c r="F128" i="35" s="1"/>
  <c r="B195" i="35" s="1"/>
  <c r="E60" i="35"/>
  <c r="F132" i="35" s="1"/>
  <c r="B199" i="35" s="1"/>
  <c r="E64" i="35"/>
  <c r="E68" i="35"/>
  <c r="F140" i="35" s="1"/>
  <c r="B207" i="35" s="1"/>
  <c r="E72" i="35"/>
  <c r="F144" i="35" s="1"/>
  <c r="B211" i="35" s="1"/>
  <c r="E22" i="35"/>
  <c r="F94" i="35" s="1"/>
  <c r="B161" i="35" s="1"/>
  <c r="E26" i="35"/>
  <c r="F98" i="35" s="1"/>
  <c r="B165" i="35" s="1"/>
  <c r="E30" i="35"/>
  <c r="F102" i="35" s="1"/>
  <c r="B169" i="35" s="1"/>
  <c r="E38" i="35"/>
  <c r="F110" i="35" s="1"/>
  <c r="B177" i="35" s="1"/>
  <c r="E42" i="35"/>
  <c r="F114" i="35" s="1"/>
  <c r="B181" i="35" s="1"/>
  <c r="E50" i="35"/>
  <c r="F122" i="35" s="1"/>
  <c r="B189" i="35" s="1"/>
  <c r="E58" i="35"/>
  <c r="F130" i="35" s="1"/>
  <c r="B197" i="35" s="1"/>
  <c r="E66" i="35"/>
  <c r="F138" i="35" s="1"/>
  <c r="B205" i="35" s="1"/>
  <c r="E24" i="35"/>
  <c r="F96" i="35" s="1"/>
  <c r="B163" i="35" s="1"/>
  <c r="E33" i="35"/>
  <c r="F105" i="35" s="1"/>
  <c r="B172" i="35" s="1"/>
  <c r="E41" i="35"/>
  <c r="F113" i="35" s="1"/>
  <c r="B180" i="35" s="1"/>
  <c r="E45" i="35"/>
  <c r="F117" i="35" s="1"/>
  <c r="B184" i="35" s="1"/>
  <c r="E53" i="35"/>
  <c r="F125" i="35" s="1"/>
  <c r="B192" i="35" s="1"/>
  <c r="E61" i="35"/>
  <c r="F133" i="35" s="1"/>
  <c r="B200" i="35" s="1"/>
  <c r="E65" i="35"/>
  <c r="F137" i="35" s="1"/>
  <c r="B204" i="35" s="1"/>
  <c r="E73" i="35"/>
  <c r="F145" i="35" s="1"/>
  <c r="B212" i="35" s="1"/>
  <c r="E23" i="35"/>
  <c r="F95" i="35" s="1"/>
  <c r="B162" i="35" s="1"/>
  <c r="H28" i="16"/>
  <c r="F266" i="16" s="1"/>
  <c r="F338" i="16" s="1"/>
  <c r="A252" i="16"/>
  <c r="A324" i="16" s="1"/>
  <c r="J57" i="16"/>
  <c r="C90" i="16"/>
  <c r="C248" i="16" s="1"/>
  <c r="C320" i="16" s="1"/>
  <c r="G50" i="16"/>
  <c r="H50" i="16" s="1"/>
  <c r="J49" i="29" s="1"/>
  <c r="G221" i="16"/>
  <c r="A296" i="16"/>
  <c r="A368" i="16" s="1"/>
  <c r="C127" i="16"/>
  <c r="C285" i="16" s="1"/>
  <c r="C357" i="16" s="1"/>
  <c r="A299" i="16"/>
  <c r="A371" i="16" s="1"/>
  <c r="G27" i="16"/>
  <c r="H27" i="16" s="1"/>
  <c r="J26" i="29" s="1"/>
  <c r="C124" i="16"/>
  <c r="C282" i="16" s="1"/>
  <c r="C354" i="16" s="1"/>
  <c r="H24" i="16"/>
  <c r="F262" i="16" s="1"/>
  <c r="F334" i="16" s="1"/>
  <c r="C131" i="16"/>
  <c r="C289" i="16" s="1"/>
  <c r="C361" i="16" s="1"/>
  <c r="C121" i="16"/>
  <c r="C279" i="16" s="1"/>
  <c r="C351" i="16" s="1"/>
  <c r="A293" i="16"/>
  <c r="A365" i="16" s="1"/>
  <c r="A284" i="16"/>
  <c r="A356" i="16" s="1"/>
  <c r="G37" i="16"/>
  <c r="H26" i="16"/>
  <c r="J25" i="29" s="1"/>
  <c r="G21" i="13"/>
  <c r="A14" i="34" s="1"/>
  <c r="F8" i="13"/>
  <c r="H8" i="13" s="1"/>
  <c r="E22" i="29" s="1"/>
  <c r="A54" i="30"/>
  <c r="H52" i="6"/>
  <c r="N241" i="6"/>
  <c r="G241" i="6" s="1"/>
  <c r="G115" i="6" s="1"/>
  <c r="N243" i="6"/>
  <c r="G243" i="6" s="1"/>
  <c r="G117" i="6" s="1"/>
  <c r="N253" i="6"/>
  <c r="G253" i="6" s="1"/>
  <c r="G127" i="6" s="1"/>
  <c r="N242" i="6"/>
  <c r="G242" i="6" s="1"/>
  <c r="G116" i="6" s="1"/>
  <c r="N244" i="6"/>
  <c r="G244" i="6" s="1"/>
  <c r="G118" i="6" s="1"/>
  <c r="I42" i="29"/>
  <c r="H43" i="16"/>
  <c r="J42" i="29" s="1"/>
  <c r="F269" i="16"/>
  <c r="F341" i="16" s="1"/>
  <c r="J52" i="6"/>
  <c r="F268" i="16"/>
  <c r="F340" i="16" s="1"/>
  <c r="J31" i="16"/>
  <c r="A98" i="30"/>
  <c r="D30" i="30"/>
  <c r="I81" i="3"/>
  <c r="F29" i="23" s="1"/>
  <c r="I178" i="16"/>
  <c r="I21" i="29"/>
  <c r="J13" i="16"/>
  <c r="H38" i="16"/>
  <c r="J37" i="29" s="1"/>
  <c r="J44" i="29"/>
  <c r="J25" i="16"/>
  <c r="K25" i="16" s="1"/>
  <c r="G36" i="16"/>
  <c r="F80" i="6"/>
  <c r="J80" i="6" s="1"/>
  <c r="J53" i="6"/>
  <c r="I12" i="29"/>
  <c r="G42" i="16"/>
  <c r="J42" i="16" s="1"/>
  <c r="N210" i="6"/>
  <c r="G210" i="6" s="1"/>
  <c r="G84" i="6" s="1"/>
  <c r="H82" i="6"/>
  <c r="I65" i="10"/>
  <c r="I63" i="10"/>
  <c r="I64" i="10"/>
  <c r="G64" i="10"/>
  <c r="G65" i="10"/>
  <c r="G63" i="10"/>
  <c r="H64" i="10"/>
  <c r="H65" i="10"/>
  <c r="H63" i="10"/>
  <c r="J63" i="10"/>
  <c r="J64" i="10"/>
  <c r="J65" i="10"/>
  <c r="L81" i="3"/>
  <c r="I29" i="23" s="1"/>
  <c r="J81" i="3"/>
  <c r="G29" i="23" s="1"/>
  <c r="H180" i="16"/>
  <c r="G332" i="16" s="1"/>
  <c r="I215" i="16"/>
  <c r="I9" i="5"/>
  <c r="I82" i="6"/>
  <c r="U21" i="13"/>
  <c r="N10" i="13"/>
  <c r="J78" i="6"/>
  <c r="H78" i="6"/>
  <c r="F444" i="9"/>
  <c r="L410" i="9"/>
  <c r="G410" i="9" s="1"/>
  <c r="L344" i="9"/>
  <c r="G366" i="9"/>
  <c r="L210" i="9"/>
  <c r="G93" i="9"/>
  <c r="J93" i="9"/>
  <c r="L93" i="9" s="1"/>
  <c r="G99" i="9"/>
  <c r="J99" i="9"/>
  <c r="L99" i="9" s="1"/>
  <c r="H168" i="9"/>
  <c r="F180" i="9"/>
  <c r="J170" i="9"/>
  <c r="L170" i="9" s="1"/>
  <c r="G170" i="9"/>
  <c r="K365" i="9"/>
  <c r="K380" i="9" s="1"/>
  <c r="J162" i="9"/>
  <c r="I169" i="9"/>
  <c r="I176" i="9" s="1"/>
  <c r="J176" i="9" s="1"/>
  <c r="G442" i="9"/>
  <c r="G444" i="9" s="1"/>
  <c r="J442" i="9"/>
  <c r="L139" i="9"/>
  <c r="J337" i="9"/>
  <c r="L337" i="9" s="1"/>
  <c r="L436" i="9"/>
  <c r="L433" i="9"/>
  <c r="J371" i="9"/>
  <c r="L371" i="9" s="1"/>
  <c r="G367" i="9"/>
  <c r="J36" i="9"/>
  <c r="L36" i="9" s="1"/>
  <c r="F112" i="9"/>
  <c r="L156" i="9"/>
  <c r="L225" i="9"/>
  <c r="J352" i="9"/>
  <c r="L352" i="9" s="1"/>
  <c r="L140" i="9"/>
  <c r="J83" i="9"/>
  <c r="L83" i="9" s="1"/>
  <c r="I96" i="9"/>
  <c r="G169" i="9"/>
  <c r="I167" i="9"/>
  <c r="J160" i="9"/>
  <c r="L160" i="9" s="1"/>
  <c r="J106" i="9"/>
  <c r="L106" i="9" s="1"/>
  <c r="L49" i="9"/>
  <c r="L148" i="9"/>
  <c r="I239" i="9"/>
  <c r="J230" i="9"/>
  <c r="L230" i="9" s="1"/>
  <c r="I251" i="9"/>
  <c r="J242" i="9"/>
  <c r="L242" i="9" s="1"/>
  <c r="L219" i="9"/>
  <c r="I243" i="9"/>
  <c r="J234" i="9"/>
  <c r="L234" i="9" s="1"/>
  <c r="F263" i="9"/>
  <c r="I223" i="9"/>
  <c r="J223" i="9" s="1"/>
  <c r="L223" i="9" s="1"/>
  <c r="J214" i="9"/>
  <c r="L214" i="9" s="1"/>
  <c r="J241" i="9"/>
  <c r="L241" i="9" s="1"/>
  <c r="I250" i="9"/>
  <c r="K246" i="9"/>
  <c r="K255" i="9" s="1"/>
  <c r="L237" i="9"/>
  <c r="F162" i="7"/>
  <c r="O146" i="7"/>
  <c r="K70" i="7"/>
  <c r="F70" i="7"/>
  <c r="L70" i="7"/>
  <c r="C70" i="7"/>
  <c r="I70" i="7"/>
  <c r="D70" i="7"/>
  <c r="J70" i="7"/>
  <c r="M70" i="7"/>
  <c r="O71" i="7"/>
  <c r="H70" i="7"/>
  <c r="G70" i="7"/>
  <c r="D170" i="16"/>
  <c r="L164" i="9"/>
  <c r="K171" i="9"/>
  <c r="L143" i="9"/>
  <c r="L155" i="9"/>
  <c r="K162" i="9"/>
  <c r="L161" i="9"/>
  <c r="K168" i="9"/>
  <c r="K175" i="9" s="1"/>
  <c r="L175" i="9" s="1"/>
  <c r="K167" i="9"/>
  <c r="K109" i="9"/>
  <c r="L38" i="9"/>
  <c r="L53" i="9"/>
  <c r="L51" i="9"/>
  <c r="L80" i="9"/>
  <c r="L67" i="9"/>
  <c r="J90" i="9"/>
  <c r="L90" i="9" s="1"/>
  <c r="O148" i="2"/>
  <c r="AJ148" i="2"/>
  <c r="K147" i="2"/>
  <c r="R147" i="2"/>
  <c r="Q148" i="2"/>
  <c r="S148" i="2"/>
  <c r="AC148" i="2"/>
  <c r="AI148" i="2"/>
  <c r="K148" i="2"/>
  <c r="AK147" i="2"/>
  <c r="L148" i="2"/>
  <c r="AL148" i="2"/>
  <c r="V147" i="2"/>
  <c r="T147" i="2"/>
  <c r="AE147" i="2"/>
  <c r="AK148" i="2"/>
  <c r="L147" i="2"/>
  <c r="AI147" i="2"/>
  <c r="AN148" i="2"/>
  <c r="Z148" i="2"/>
  <c r="P147" i="2"/>
  <c r="U147" i="2"/>
  <c r="AF147" i="2"/>
  <c r="AB148" i="2"/>
  <c r="AF148" i="2"/>
  <c r="AD148" i="2"/>
  <c r="S147" i="2"/>
  <c r="AJ147" i="2"/>
  <c r="AH147" i="2"/>
  <c r="AB147" i="2"/>
  <c r="AC147" i="2"/>
  <c r="AC149" i="2" s="1"/>
  <c r="J151" i="2"/>
  <c r="AE148" i="2"/>
  <c r="P148" i="2"/>
  <c r="W148" i="2"/>
  <c r="AH148" i="2"/>
  <c r="AA148" i="2"/>
  <c r="AM148" i="2"/>
  <c r="R148" i="2"/>
  <c r="W147" i="2"/>
  <c r="O147" i="2"/>
  <c r="O149" i="2" s="1"/>
  <c r="U148" i="2"/>
  <c r="X147" i="2"/>
  <c r="AG148" i="2"/>
  <c r="X148" i="2"/>
  <c r="AN147" i="2"/>
  <c r="M147" i="2"/>
  <c r="Z147" i="2"/>
  <c r="Z149" i="2" s="1"/>
  <c r="Y148" i="2"/>
  <c r="AM147" i="2"/>
  <c r="AM149" i="2" s="1"/>
  <c r="AM162" i="2" s="1"/>
  <c r="AM163" i="2" s="1"/>
  <c r="N147" i="2"/>
  <c r="N148" i="2"/>
  <c r="AA147" i="2"/>
  <c r="AA149" i="2" s="1"/>
  <c r="Q147" i="2"/>
  <c r="T148" i="2"/>
  <c r="AD147" i="2"/>
  <c r="AL147" i="2"/>
  <c r="M148" i="2"/>
  <c r="AG147" i="2"/>
  <c r="V148" i="2"/>
  <c r="Y147" i="2"/>
  <c r="AI121" i="2"/>
  <c r="Q122" i="2"/>
  <c r="Z122" i="2"/>
  <c r="AG122" i="2"/>
  <c r="S121" i="2"/>
  <c r="K121" i="2"/>
  <c r="T122" i="2"/>
  <c r="AH122" i="2"/>
  <c r="G122" i="2"/>
  <c r="J121" i="2"/>
  <c r="I121" i="2"/>
  <c r="U122" i="2"/>
  <c r="AC122" i="2"/>
  <c r="Z121" i="2"/>
  <c r="N122" i="2"/>
  <c r="X122" i="2"/>
  <c r="AA121" i="2"/>
  <c r="AB122" i="2"/>
  <c r="H122" i="2"/>
  <c r="J122" i="2"/>
  <c r="L122" i="2"/>
  <c r="X121" i="2"/>
  <c r="R121" i="2"/>
  <c r="AH121" i="2"/>
  <c r="AH123" i="2" s="1"/>
  <c r="L121" i="2"/>
  <c r="V122" i="2"/>
  <c r="W122" i="2"/>
  <c r="AG121" i="2"/>
  <c r="AG123" i="2" s="1"/>
  <c r="R122" i="2"/>
  <c r="AJ121" i="2"/>
  <c r="O121" i="2"/>
  <c r="W121" i="2"/>
  <c r="AF121" i="2"/>
  <c r="AI122" i="2"/>
  <c r="AE122" i="2"/>
  <c r="AB121" i="2"/>
  <c r="G121" i="2"/>
  <c r="G123" i="2" s="1"/>
  <c r="G162" i="2" s="1"/>
  <c r="AA122" i="2"/>
  <c r="AC121" i="2"/>
  <c r="AD121" i="2"/>
  <c r="H121" i="2"/>
  <c r="Y121" i="2"/>
  <c r="AE121" i="2"/>
  <c r="AE123" i="2" s="1"/>
  <c r="K122" i="2"/>
  <c r="AF122" i="2"/>
  <c r="N121" i="2"/>
  <c r="AJ122" i="2"/>
  <c r="P122" i="2"/>
  <c r="M121" i="2"/>
  <c r="U121" i="2"/>
  <c r="T121" i="2"/>
  <c r="T123" i="2" s="1"/>
  <c r="V121" i="2"/>
  <c r="F125" i="2"/>
  <c r="AD122" i="2"/>
  <c r="Q121" i="2"/>
  <c r="I122" i="2"/>
  <c r="S122" i="2"/>
  <c r="O122" i="2"/>
  <c r="M122" i="2"/>
  <c r="P121" i="2"/>
  <c r="P123" i="2" s="1"/>
  <c r="Y122" i="2"/>
  <c r="G18" i="3"/>
  <c r="I55" i="6"/>
  <c r="F55" i="6"/>
  <c r="H53" i="6"/>
  <c r="A294" i="16"/>
  <c r="A366" i="16" s="1"/>
  <c r="J46" i="16"/>
  <c r="C118" i="16"/>
  <c r="C276" i="16" s="1"/>
  <c r="C348" i="16" s="1"/>
  <c r="G65" i="16"/>
  <c r="J55" i="16"/>
  <c r="C111" i="16"/>
  <c r="C269" i="16" s="1"/>
  <c r="C341" i="16" s="1"/>
  <c r="H172" i="16"/>
  <c r="G324" i="16" s="1"/>
  <c r="G35" i="16"/>
  <c r="H35" i="16" s="1"/>
  <c r="J178" i="16"/>
  <c r="I194" i="16"/>
  <c r="I209" i="16"/>
  <c r="I175" i="16"/>
  <c r="L77" i="9"/>
  <c r="I79" i="9"/>
  <c r="J66" i="9"/>
  <c r="L66" i="9" s="1"/>
  <c r="I50" i="9"/>
  <c r="J50" i="9" s="1"/>
  <c r="L50" i="9" s="1"/>
  <c r="J37" i="9"/>
  <c r="L37" i="9" s="1"/>
  <c r="J75" i="9"/>
  <c r="L75" i="9" s="1"/>
  <c r="I88" i="9"/>
  <c r="I89" i="9"/>
  <c r="I102" i="9" s="1"/>
  <c r="J102" i="9" s="1"/>
  <c r="L102" i="9" s="1"/>
  <c r="J76" i="9"/>
  <c r="L76" i="9" s="1"/>
  <c r="J86" i="9"/>
  <c r="L86" i="9" s="1"/>
  <c r="I81" i="9"/>
  <c r="J68" i="9"/>
  <c r="L68" i="9" s="1"/>
  <c r="I47" i="9"/>
  <c r="J47" i="9" s="1"/>
  <c r="L47" i="9" s="1"/>
  <c r="J34" i="9"/>
  <c r="L34" i="9" s="1"/>
  <c r="I55" i="9"/>
  <c r="J55" i="9" s="1"/>
  <c r="L55" i="9" s="1"/>
  <c r="J42" i="9"/>
  <c r="L42" i="9" s="1"/>
  <c r="J61" i="9"/>
  <c r="L61" i="9" s="1"/>
  <c r="I74" i="9"/>
  <c r="I78" i="9"/>
  <c r="J65" i="9"/>
  <c r="L65" i="9" s="1"/>
  <c r="L285" i="9"/>
  <c r="F394" i="9"/>
  <c r="G388" i="9"/>
  <c r="G375" i="9"/>
  <c r="J375" i="9"/>
  <c r="L375" i="9" s="1"/>
  <c r="H394" i="9"/>
  <c r="G261" i="9"/>
  <c r="J246" i="9"/>
  <c r="G246" i="9"/>
  <c r="G248" i="9"/>
  <c r="G260" i="9"/>
  <c r="J192" i="9"/>
  <c r="H195" i="9"/>
  <c r="J195" i="9" s="1"/>
  <c r="L195" i="9" s="1"/>
  <c r="G104" i="9"/>
  <c r="G89" i="9"/>
  <c r="J8" i="9"/>
  <c r="H112" i="9"/>
  <c r="H178" i="16"/>
  <c r="G330" i="16" s="1"/>
  <c r="H174" i="16"/>
  <c r="G326" i="16" s="1"/>
  <c r="I62" i="29"/>
  <c r="G63" i="16"/>
  <c r="H64" i="16"/>
  <c r="J63" i="29" s="1"/>
  <c r="H40" i="16"/>
  <c r="J39" i="29" s="1"/>
  <c r="H58" i="16"/>
  <c r="F296" i="16" s="1"/>
  <c r="F368" i="16" s="1"/>
  <c r="G23" i="16"/>
  <c r="J23" i="16" s="1"/>
  <c r="A278" i="16"/>
  <c r="A350" i="16" s="1"/>
  <c r="J24" i="29"/>
  <c r="A247" i="16"/>
  <c r="A319" i="16" s="1"/>
  <c r="C89" i="16"/>
  <c r="C247" i="16" s="1"/>
  <c r="C319" i="16" s="1"/>
  <c r="C105" i="16"/>
  <c r="C263" i="16" s="1"/>
  <c r="C335" i="16" s="1"/>
  <c r="A263" i="16"/>
  <c r="A335" i="16" s="1"/>
  <c r="H14" i="16"/>
  <c r="I14" i="29"/>
  <c r="G15" i="16"/>
  <c r="F295" i="16"/>
  <c r="F367" i="16" s="1"/>
  <c r="J56" i="29"/>
  <c r="J40" i="6"/>
  <c r="J47" i="6" s="1"/>
  <c r="F247" i="16"/>
  <c r="F319" i="16" s="1"/>
  <c r="I319" i="16" s="1"/>
  <c r="H47" i="16"/>
  <c r="H40" i="6"/>
  <c r="H47" i="6" s="1"/>
  <c r="G29" i="16"/>
  <c r="I28" i="29"/>
  <c r="H171" i="16"/>
  <c r="G323" i="16" s="1"/>
  <c r="H39" i="14"/>
  <c r="H49" i="14" s="1"/>
  <c r="I39" i="14" s="1"/>
  <c r="N171" i="6"/>
  <c r="G171" i="6" s="1"/>
  <c r="N196" i="6"/>
  <c r="G196" i="6" s="1"/>
  <c r="N231" i="6"/>
  <c r="G231" i="6" s="1"/>
  <c r="G105" i="6" s="1"/>
  <c r="N195" i="6"/>
  <c r="G195" i="6" s="1"/>
  <c r="K195" i="6" s="1"/>
  <c r="N145" i="6"/>
  <c r="G145" i="6" s="1"/>
  <c r="N197" i="6"/>
  <c r="G197" i="6" s="1"/>
  <c r="N235" i="6"/>
  <c r="G235" i="6" s="1"/>
  <c r="G109" i="6" s="1"/>
  <c r="N234" i="6"/>
  <c r="G234" i="6" s="1"/>
  <c r="G108" i="6" s="1"/>
  <c r="N220" i="6"/>
  <c r="G220" i="6" s="1"/>
  <c r="G94" i="6" s="1"/>
  <c r="N161" i="6"/>
  <c r="G161" i="6" s="1"/>
  <c r="N200" i="6"/>
  <c r="G200" i="6" s="1"/>
  <c r="N230" i="6"/>
  <c r="G230" i="6" s="1"/>
  <c r="N207" i="6"/>
  <c r="G207" i="6" s="1"/>
  <c r="K207" i="6" s="1"/>
  <c r="N237" i="6"/>
  <c r="G237" i="6" s="1"/>
  <c r="G111" i="6" s="1"/>
  <c r="N198" i="6"/>
  <c r="G198" i="6" s="1"/>
  <c r="N203" i="6"/>
  <c r="G203" i="6" s="1"/>
  <c r="N199" i="6"/>
  <c r="G199" i="6" s="1"/>
  <c r="N223" i="6"/>
  <c r="G223" i="6" s="1"/>
  <c r="G97" i="6" s="1"/>
  <c r="N240" i="6"/>
  <c r="G240" i="6" s="1"/>
  <c r="G114" i="6" s="1"/>
  <c r="N208" i="6"/>
  <c r="G208" i="6" s="1"/>
  <c r="G82" i="6" s="1"/>
  <c r="N149" i="6"/>
  <c r="G149" i="6" s="1"/>
  <c r="N164" i="6"/>
  <c r="G164" i="6" s="1"/>
  <c r="N155" i="6"/>
  <c r="G155" i="6" s="1"/>
  <c r="N239" i="6"/>
  <c r="G239" i="6" s="1"/>
  <c r="G113" i="6" s="1"/>
  <c r="N221" i="6"/>
  <c r="G221" i="6" s="1"/>
  <c r="G95" i="6" s="1"/>
  <c r="N206" i="6"/>
  <c r="G206" i="6" s="1"/>
  <c r="K206" i="6" s="1"/>
  <c r="N163" i="6"/>
  <c r="G163" i="6" s="1"/>
  <c r="N222" i="6"/>
  <c r="G222" i="6" s="1"/>
  <c r="N227" i="6"/>
  <c r="G227" i="6" s="1"/>
  <c r="N165" i="6"/>
  <c r="G165" i="6" s="1"/>
  <c r="N144" i="6"/>
  <c r="G144" i="6" s="1"/>
  <c r="N180" i="6"/>
  <c r="G180" i="6" s="1"/>
  <c r="N233" i="6"/>
  <c r="G233" i="6" s="1"/>
  <c r="G107" i="6" s="1"/>
  <c r="N148" i="6"/>
  <c r="G148" i="6" s="1"/>
  <c r="N143" i="6"/>
  <c r="G143" i="6" s="1"/>
  <c r="N170" i="6"/>
  <c r="G170" i="6" s="1"/>
  <c r="N162" i="6"/>
  <c r="G162" i="6" s="1"/>
  <c r="N156" i="6"/>
  <c r="G156" i="6" s="1"/>
  <c r="N178" i="6"/>
  <c r="G178" i="6" s="1"/>
  <c r="N185" i="6"/>
  <c r="G185" i="6" s="1"/>
  <c r="N147" i="6"/>
  <c r="G147" i="6" s="1"/>
  <c r="N215" i="6"/>
  <c r="G215" i="6" s="1"/>
  <c r="N204" i="6"/>
  <c r="G204" i="6" s="1"/>
  <c r="N201" i="6"/>
  <c r="G201" i="6" s="1"/>
  <c r="N216" i="6"/>
  <c r="G216" i="6" s="1"/>
  <c r="G90" i="6" s="1"/>
  <c r="N213" i="6"/>
  <c r="G213" i="6" s="1"/>
  <c r="N226" i="6"/>
  <c r="G226" i="6" s="1"/>
  <c r="G100" i="6" s="1"/>
  <c r="N159" i="6"/>
  <c r="G159" i="6" s="1"/>
  <c r="N167" i="6"/>
  <c r="G167" i="6" s="1"/>
  <c r="N151" i="6"/>
  <c r="G151" i="6" s="1"/>
  <c r="N182" i="6"/>
  <c r="G182" i="6" s="1"/>
  <c r="K182" i="6" s="1"/>
  <c r="N238" i="6"/>
  <c r="G238" i="6" s="1"/>
  <c r="G112" i="6" s="1"/>
  <c r="N217" i="6"/>
  <c r="G217" i="6" s="1"/>
  <c r="G91" i="6" s="1"/>
  <c r="N225" i="6"/>
  <c r="G225" i="6" s="1"/>
  <c r="G99" i="6" s="1"/>
  <c r="N212" i="6"/>
  <c r="G212" i="6" s="1"/>
  <c r="N236" i="6"/>
  <c r="G236" i="6" s="1"/>
  <c r="G110" i="6" s="1"/>
  <c r="N175" i="6"/>
  <c r="G175" i="6" s="1"/>
  <c r="N228" i="6"/>
  <c r="G228" i="6" s="1"/>
  <c r="N157" i="6"/>
  <c r="G157" i="6" s="1"/>
  <c r="N153" i="6"/>
  <c r="G153" i="6" s="1"/>
  <c r="N169" i="6"/>
  <c r="G169" i="6" s="1"/>
  <c r="N218" i="6"/>
  <c r="G218" i="6" s="1"/>
  <c r="G92" i="6" s="1"/>
  <c r="N168" i="6"/>
  <c r="G168" i="6" s="1"/>
  <c r="N160" i="6"/>
  <c r="G160" i="6" s="1"/>
  <c r="N150" i="6"/>
  <c r="G150" i="6" s="1"/>
  <c r="N202" i="6"/>
  <c r="G202" i="6" s="1"/>
  <c r="N232" i="6"/>
  <c r="G232" i="6" s="1"/>
  <c r="G106" i="6" s="1"/>
  <c r="N181" i="6"/>
  <c r="G181" i="6" s="1"/>
  <c r="N146" i="6"/>
  <c r="G146" i="6" s="1"/>
  <c r="N154" i="6"/>
  <c r="G154" i="6" s="1"/>
  <c r="N224" i="6"/>
  <c r="G224" i="6" s="1"/>
  <c r="G98" i="6" s="1"/>
  <c r="N179" i="6"/>
  <c r="G179" i="6" s="1"/>
  <c r="N229" i="6"/>
  <c r="G229" i="6" s="1"/>
  <c r="G103" i="6" s="1"/>
  <c r="N166" i="6"/>
  <c r="G166" i="6" s="1"/>
  <c r="N209" i="6"/>
  <c r="G209" i="6" s="1"/>
  <c r="G83" i="6" s="1"/>
  <c r="N219" i="6"/>
  <c r="G219" i="6" s="1"/>
  <c r="G93" i="6" s="1"/>
  <c r="C53" i="25"/>
  <c r="I185" i="16"/>
  <c r="D94" i="16"/>
  <c r="D252" i="16" s="1"/>
  <c r="D324" i="16" s="1"/>
  <c r="F160" i="7"/>
  <c r="F161" i="7"/>
  <c r="G13" i="15" s="1"/>
  <c r="H13" i="15" s="1"/>
  <c r="E68" i="16"/>
  <c r="I205" i="16"/>
  <c r="E165" i="16"/>
  <c r="I165" i="16" s="1"/>
  <c r="K165" i="16" s="1"/>
  <c r="D135" i="16"/>
  <c r="D293" i="16" s="1"/>
  <c r="D365" i="16" s="1"/>
  <c r="I203" i="16"/>
  <c r="I206" i="16"/>
  <c r="D197" i="16"/>
  <c r="D164" i="7"/>
  <c r="D165" i="7" s="1"/>
  <c r="E87" i="16"/>
  <c r="E245" i="16" s="1"/>
  <c r="E317" i="16" s="1"/>
  <c r="D7" i="16"/>
  <c r="D121" i="16"/>
  <c r="D279" i="16" s="1"/>
  <c r="D351" i="16" s="1"/>
  <c r="D199" i="16"/>
  <c r="D179" i="16"/>
  <c r="D101" i="16"/>
  <c r="D259" i="16" s="1"/>
  <c r="D331" i="16" s="1"/>
  <c r="D195" i="16"/>
  <c r="K43" i="16"/>
  <c r="D167" i="16"/>
  <c r="D218" i="16"/>
  <c r="D140" i="16"/>
  <c r="D298" i="16" s="1"/>
  <c r="D370" i="16" s="1"/>
  <c r="G262" i="6"/>
  <c r="G264" i="6" s="1"/>
  <c r="H18" i="28"/>
  <c r="H21" i="28"/>
  <c r="H8" i="28"/>
  <c r="H16" i="28"/>
  <c r="D134" i="16"/>
  <c r="D292" i="16" s="1"/>
  <c r="D364" i="16" s="1"/>
  <c r="D212" i="16"/>
  <c r="E57" i="28"/>
  <c r="I56" i="28" s="1"/>
  <c r="C164" i="7"/>
  <c r="I8" i="16"/>
  <c r="K8" i="16" s="1"/>
  <c r="E166" i="16"/>
  <c r="D8" i="16"/>
  <c r="E88" i="16"/>
  <c r="E246" i="16" s="1"/>
  <c r="E318" i="16" s="1"/>
  <c r="E181" i="16"/>
  <c r="I181" i="16" s="1"/>
  <c r="I23" i="16"/>
  <c r="E103" i="16"/>
  <c r="E261" i="16" s="1"/>
  <c r="E333" i="16" s="1"/>
  <c r="D23" i="16"/>
  <c r="D186" i="16"/>
  <c r="D108" i="16"/>
  <c r="D266" i="16" s="1"/>
  <c r="D338" i="16" s="1"/>
  <c r="D112" i="16"/>
  <c r="D270" i="16" s="1"/>
  <c r="D342" i="16" s="1"/>
  <c r="J175" i="16"/>
  <c r="G30" i="4"/>
  <c r="G35" i="36" s="1"/>
  <c r="H35" i="36" s="1"/>
  <c r="F69" i="6"/>
  <c r="J69" i="6" s="1"/>
  <c r="K10" i="16"/>
  <c r="H51" i="16"/>
  <c r="J51" i="16"/>
  <c r="F282" i="16"/>
  <c r="F354" i="16" s="1"/>
  <c r="J43" i="29"/>
  <c r="A256" i="16"/>
  <c r="A328" i="16" s="1"/>
  <c r="C98" i="16"/>
  <c r="C256" i="16" s="1"/>
  <c r="C328" i="16" s="1"/>
  <c r="I18" i="29"/>
  <c r="G19" i="16"/>
  <c r="D123" i="16"/>
  <c r="D281" i="16" s="1"/>
  <c r="D353" i="16" s="1"/>
  <c r="D201" i="16"/>
  <c r="J18" i="16"/>
  <c r="H18" i="16"/>
  <c r="J54" i="29"/>
  <c r="F293" i="16"/>
  <c r="F365" i="16" s="1"/>
  <c r="A300" i="16"/>
  <c r="A372" i="16" s="1"/>
  <c r="H60" i="16"/>
  <c r="F298" i="16" s="1"/>
  <c r="F370" i="16" s="1"/>
  <c r="I40" i="6"/>
  <c r="I47" i="6" s="1"/>
  <c r="I19" i="29"/>
  <c r="G20" i="16"/>
  <c r="J56" i="16"/>
  <c r="H56" i="16"/>
  <c r="A298" i="16"/>
  <c r="A370" i="16" s="1"/>
  <c r="C140" i="16"/>
  <c r="C298" i="16" s="1"/>
  <c r="C370" i="16" s="1"/>
  <c r="J6" i="29"/>
  <c r="F245" i="16"/>
  <c r="F317" i="16" s="1"/>
  <c r="H317" i="16" s="1"/>
  <c r="H22" i="28"/>
  <c r="G49" i="28"/>
  <c r="H17" i="28"/>
  <c r="H10" i="28"/>
  <c r="H20" i="28"/>
  <c r="H9" i="28"/>
  <c r="H19" i="28"/>
  <c r="I20" i="29"/>
  <c r="G21" i="16"/>
  <c r="A302" i="16"/>
  <c r="A374" i="16" s="1"/>
  <c r="C144" i="16"/>
  <c r="C302" i="16" s="1"/>
  <c r="C374" i="16" s="1"/>
  <c r="G54" i="16"/>
  <c r="I53" i="29"/>
  <c r="I32" i="29"/>
  <c r="G33" i="16"/>
  <c r="H48" i="16"/>
  <c r="J48" i="16"/>
  <c r="K48" i="16" s="1"/>
  <c r="N81" i="3"/>
  <c r="K29" i="23" s="1"/>
  <c r="H81" i="3"/>
  <c r="O81" i="3"/>
  <c r="L29" i="23" s="1"/>
  <c r="M81" i="3"/>
  <c r="K81" i="3"/>
  <c r="G209" i="16"/>
  <c r="H209" i="16" s="1"/>
  <c r="G361" i="16" s="1"/>
  <c r="G189" i="16"/>
  <c r="H166" i="16"/>
  <c r="G318" i="16" s="1"/>
  <c r="H168" i="16"/>
  <c r="G320" i="16" s="1"/>
  <c r="H177" i="16"/>
  <c r="G329" i="16" s="1"/>
  <c r="H179" i="16"/>
  <c r="G331" i="16" s="1"/>
  <c r="G211" i="16"/>
  <c r="G196" i="16"/>
  <c r="G191" i="16"/>
  <c r="G181" i="16"/>
  <c r="H181" i="16" s="1"/>
  <c r="G333" i="16" s="1"/>
  <c r="G217" i="16"/>
  <c r="H217" i="16" s="1"/>
  <c r="G369" i="16" s="1"/>
  <c r="G192" i="16"/>
  <c r="G185" i="16"/>
  <c r="H185" i="16" s="1"/>
  <c r="G337" i="16" s="1"/>
  <c r="G208" i="16"/>
  <c r="H208" i="16" s="1"/>
  <c r="G360" i="16" s="1"/>
  <c r="H169" i="16"/>
  <c r="G321" i="16" s="1"/>
  <c r="G194" i="16"/>
  <c r="H194" i="16" s="1"/>
  <c r="G346" i="16" s="1"/>
  <c r="G184" i="16"/>
  <c r="G182" i="16"/>
  <c r="H182" i="16" s="1"/>
  <c r="G334" i="16" s="1"/>
  <c r="G204" i="16"/>
  <c r="H204" i="16" s="1"/>
  <c r="G356" i="16" s="1"/>
  <c r="G224" i="16"/>
  <c r="J224" i="16" s="1"/>
  <c r="K224" i="16" s="1"/>
  <c r="G210" i="16"/>
  <c r="J210" i="16" s="1"/>
  <c r="G219" i="16"/>
  <c r="H219" i="16" s="1"/>
  <c r="G371" i="16" s="1"/>
  <c r="G195" i="16"/>
  <c r="G201" i="16"/>
  <c r="G207" i="16"/>
  <c r="G193" i="16"/>
  <c r="G202" i="16"/>
  <c r="H202" i="16" s="1"/>
  <c r="G354" i="16" s="1"/>
  <c r="G198" i="16"/>
  <c r="H198" i="16" s="1"/>
  <c r="G350" i="16" s="1"/>
  <c r="G186" i="16"/>
  <c r="G205" i="16"/>
  <c r="J205" i="16" s="1"/>
  <c r="G222" i="16"/>
  <c r="G216" i="16"/>
  <c r="G213" i="16"/>
  <c r="H213" i="16" s="1"/>
  <c r="G365" i="16" s="1"/>
  <c r="G190" i="16"/>
  <c r="G188" i="16"/>
  <c r="G199" i="16"/>
  <c r="H199" i="16" s="1"/>
  <c r="G351" i="16" s="1"/>
  <c r="H170" i="16"/>
  <c r="G322" i="16" s="1"/>
  <c r="G218" i="16"/>
  <c r="G212" i="16"/>
  <c r="G206" i="16"/>
  <c r="G203" i="16"/>
  <c r="G200" i="16"/>
  <c r="G187" i="16"/>
  <c r="G214" i="16"/>
  <c r="G215" i="16"/>
  <c r="H215" i="16" s="1"/>
  <c r="G367" i="16" s="1"/>
  <c r="G197" i="16"/>
  <c r="G223" i="16"/>
  <c r="G220" i="16"/>
  <c r="H175" i="16"/>
  <c r="G327" i="16" s="1"/>
  <c r="H176" i="16"/>
  <c r="G328" i="16" s="1"/>
  <c r="H173" i="16"/>
  <c r="G325" i="16" s="1"/>
  <c r="G183" i="16"/>
  <c r="H183" i="16" s="1"/>
  <c r="G335" i="16" s="1"/>
  <c r="C284" i="16"/>
  <c r="C356" i="16" s="1"/>
  <c r="C119" i="16"/>
  <c r="A277" i="16"/>
  <c r="A349" i="16" s="1"/>
  <c r="H62" i="16"/>
  <c r="J62" i="16"/>
  <c r="K62" i="16" s="1"/>
  <c r="C278" i="16"/>
  <c r="C350" i="16" s="1"/>
  <c r="I13" i="5"/>
  <c r="C96" i="16"/>
  <c r="A254" i="16"/>
  <c r="A326" i="16" s="1"/>
  <c r="C294" i="16"/>
  <c r="C366" i="16" s="1"/>
  <c r="J52" i="16"/>
  <c r="I38" i="29"/>
  <c r="G39" i="16"/>
  <c r="C91" i="16"/>
  <c r="A249" i="16"/>
  <c r="A321" i="16" s="1"/>
  <c r="F251" i="16"/>
  <c r="F323" i="16" s="1"/>
  <c r="J12" i="29"/>
  <c r="D146" i="16"/>
  <c r="D304" i="16" s="1"/>
  <c r="D376" i="16" s="1"/>
  <c r="D224" i="16"/>
  <c r="H51" i="4"/>
  <c r="H21" i="13" s="1"/>
  <c r="G11" i="16"/>
  <c r="I10" i="29"/>
  <c r="C280" i="16"/>
  <c r="C352" i="16" s="1"/>
  <c r="C300" i="16"/>
  <c r="C372" i="16" s="1"/>
  <c r="C290" i="16"/>
  <c r="C362" i="16" s="1"/>
  <c r="G8" i="16"/>
  <c r="H8" i="16" s="1"/>
  <c r="I7" i="29"/>
  <c r="H22" i="16"/>
  <c r="J22" i="16"/>
  <c r="C133" i="16"/>
  <c r="A291" i="16"/>
  <c r="A363" i="16" s="1"/>
  <c r="A255" i="16"/>
  <c r="A327" i="16" s="1"/>
  <c r="C97" i="16"/>
  <c r="G49" i="16"/>
  <c r="I48" i="29"/>
  <c r="H32" i="16"/>
  <c r="J32" i="16"/>
  <c r="J60" i="29"/>
  <c r="F299" i="16"/>
  <c r="F371" i="16" s="1"/>
  <c r="F47" i="6"/>
  <c r="K66" i="16"/>
  <c r="I15" i="29"/>
  <c r="G16" i="16"/>
  <c r="A246" i="16"/>
  <c r="A318" i="16" s="1"/>
  <c r="C88" i="16"/>
  <c r="I52" i="29"/>
  <c r="G53" i="16"/>
  <c r="C299" i="16"/>
  <c r="C371" i="16" s="1"/>
  <c r="G17" i="16"/>
  <c r="I16" i="29"/>
  <c r="A287" i="16"/>
  <c r="A359" i="16" s="1"/>
  <c r="C129" i="16"/>
  <c r="H41" i="16"/>
  <c r="J41" i="16"/>
  <c r="J45" i="29"/>
  <c r="F284" i="16"/>
  <c r="F356" i="16" s="1"/>
  <c r="H12" i="16"/>
  <c r="J12" i="16"/>
  <c r="H34" i="16"/>
  <c r="J34" i="16"/>
  <c r="G125" i="2" l="1"/>
  <c r="H125" i="2" s="1"/>
  <c r="N71" i="2"/>
  <c r="P97" i="2"/>
  <c r="L255" i="9"/>
  <c r="K65" i="10"/>
  <c r="K67" i="10" s="1"/>
  <c r="K69" i="10" s="1"/>
  <c r="K70" i="10" s="1"/>
  <c r="K72" i="10" s="1"/>
  <c r="K73" i="10" s="1"/>
  <c r="Q72" i="10" s="1"/>
  <c r="J71" i="2"/>
  <c r="J161" i="2" s="1"/>
  <c r="J57" i="23" s="1"/>
  <c r="K97" i="2"/>
  <c r="Q97" i="2"/>
  <c r="W71" i="2"/>
  <c r="G73" i="2"/>
  <c r="G96" i="6"/>
  <c r="K64" i="10"/>
  <c r="H96" i="6"/>
  <c r="L123" i="2"/>
  <c r="R71" i="2"/>
  <c r="Y149" i="2"/>
  <c r="N33" i="13"/>
  <c r="J101" i="6"/>
  <c r="H101" i="6"/>
  <c r="I101" i="6"/>
  <c r="I104" i="6"/>
  <c r="J104" i="6"/>
  <c r="N36" i="13"/>
  <c r="H104" i="6"/>
  <c r="I89" i="6"/>
  <c r="J89" i="6"/>
  <c r="N21" i="13"/>
  <c r="H89" i="6"/>
  <c r="G89" i="6"/>
  <c r="G104" i="6"/>
  <c r="Y71" i="2"/>
  <c r="S84" i="2"/>
  <c r="H20" i="11"/>
  <c r="F102" i="6" s="1"/>
  <c r="AK136" i="2"/>
  <c r="AA84" i="2"/>
  <c r="AG136" i="2"/>
  <c r="N28" i="13"/>
  <c r="I103" i="6"/>
  <c r="F43" i="26"/>
  <c r="G101" i="6"/>
  <c r="J169" i="9"/>
  <c r="H103" i="6"/>
  <c r="O145" i="7"/>
  <c r="L43" i="26"/>
  <c r="D109" i="16"/>
  <c r="D267" i="16" s="1"/>
  <c r="D339" i="16" s="1"/>
  <c r="K18" i="16"/>
  <c r="I172" i="16"/>
  <c r="K172" i="16" s="1"/>
  <c r="H23" i="4"/>
  <c r="E22" i="19" s="1"/>
  <c r="G28" i="36"/>
  <c r="H28" i="36" s="1"/>
  <c r="J193" i="16"/>
  <c r="K193" i="16" s="1"/>
  <c r="S92" i="36"/>
  <c r="K55" i="16"/>
  <c r="J59" i="16"/>
  <c r="K59" i="16" s="1"/>
  <c r="D169" i="16"/>
  <c r="D144" i="16"/>
  <c r="D302" i="16" s="1"/>
  <c r="D374" i="16" s="1"/>
  <c r="P84" i="2"/>
  <c r="I138" i="2"/>
  <c r="J138" i="2" s="1"/>
  <c r="K138" i="2" s="1"/>
  <c r="L138" i="2" s="1"/>
  <c r="M138" i="2" s="1"/>
  <c r="N138" i="2" s="1"/>
  <c r="O138" i="2" s="1"/>
  <c r="P138" i="2" s="1"/>
  <c r="Q138" i="2" s="1"/>
  <c r="R138" i="2" s="1"/>
  <c r="S138" i="2" s="1"/>
  <c r="T138" i="2" s="1"/>
  <c r="U138" i="2" s="1"/>
  <c r="V138" i="2" s="1"/>
  <c r="W138" i="2" s="1"/>
  <c r="X138" i="2" s="1"/>
  <c r="Y138" i="2" s="1"/>
  <c r="Z138" i="2" s="1"/>
  <c r="AA138" i="2" s="1"/>
  <c r="AB138" i="2" s="1"/>
  <c r="AC138" i="2" s="1"/>
  <c r="AD138" i="2" s="1"/>
  <c r="AE138" i="2" s="1"/>
  <c r="AF138" i="2" s="1"/>
  <c r="AG138" i="2" s="1"/>
  <c r="AH138" i="2" s="1"/>
  <c r="AI138" i="2" s="1"/>
  <c r="AJ138" i="2" s="1"/>
  <c r="AK138" i="2" s="1"/>
  <c r="AL138" i="2" s="1"/>
  <c r="K99" i="2"/>
  <c r="K84" i="2"/>
  <c r="P136" i="2"/>
  <c r="J86" i="2"/>
  <c r="K86" i="2" s="1"/>
  <c r="L86" i="2" s="1"/>
  <c r="M86" i="2" s="1"/>
  <c r="N86" i="2" s="1"/>
  <c r="O86" i="2" s="1"/>
  <c r="P86" i="2" s="1"/>
  <c r="Q86" i="2" s="1"/>
  <c r="R86" i="2" s="1"/>
  <c r="S86" i="2" s="1"/>
  <c r="T86" i="2" s="1"/>
  <c r="U86" i="2" s="1"/>
  <c r="V86" i="2" s="1"/>
  <c r="W86" i="2" s="1"/>
  <c r="X86" i="2" s="1"/>
  <c r="Y86" i="2" s="1"/>
  <c r="Z86" i="2" s="1"/>
  <c r="AA86" i="2" s="1"/>
  <c r="AB86" i="2" s="1"/>
  <c r="T97" i="2"/>
  <c r="L71" i="2"/>
  <c r="I368" i="9"/>
  <c r="J353" i="9"/>
  <c r="L353" i="9" s="1"/>
  <c r="D184" i="16"/>
  <c r="H49" i="11"/>
  <c r="K172" i="6"/>
  <c r="D107" i="16"/>
  <c r="D265" i="16" s="1"/>
  <c r="D337" i="16" s="1"/>
  <c r="D171" i="16"/>
  <c r="D124" i="16"/>
  <c r="D282" i="16" s="1"/>
  <c r="D354" i="16" s="1"/>
  <c r="K24" i="16"/>
  <c r="J27" i="16"/>
  <c r="K27" i="16" s="1"/>
  <c r="J23" i="29"/>
  <c r="D98" i="16"/>
  <c r="D256" i="16" s="1"/>
  <c r="D328" i="16" s="1"/>
  <c r="D196" i="16"/>
  <c r="K44" i="16"/>
  <c r="D207" i="16"/>
  <c r="K28" i="16"/>
  <c r="K174" i="16"/>
  <c r="D114" i="16"/>
  <c r="D272" i="16" s="1"/>
  <c r="D344" i="16" s="1"/>
  <c r="D120" i="16"/>
  <c r="D278" i="16" s="1"/>
  <c r="D350" i="16" s="1"/>
  <c r="D223" i="16"/>
  <c r="K14" i="16"/>
  <c r="K60" i="16"/>
  <c r="D139" i="16"/>
  <c r="D297" i="16" s="1"/>
  <c r="D369" i="16" s="1"/>
  <c r="K45" i="16"/>
  <c r="D126" i="16"/>
  <c r="D284" i="16" s="1"/>
  <c r="D356" i="16" s="1"/>
  <c r="D113" i="16"/>
  <c r="D271" i="16" s="1"/>
  <c r="D343" i="16" s="1"/>
  <c r="D175" i="16"/>
  <c r="K26" i="16"/>
  <c r="J176" i="16"/>
  <c r="K176" i="16" s="1"/>
  <c r="D211" i="16"/>
  <c r="D215" i="16"/>
  <c r="I169" i="16"/>
  <c r="K169" i="16" s="1"/>
  <c r="I168" i="16"/>
  <c r="K168" i="16" s="1"/>
  <c r="J195" i="16"/>
  <c r="K195" i="16" s="1"/>
  <c r="K56" i="16"/>
  <c r="D205" i="16"/>
  <c r="D142" i="16"/>
  <c r="D300" i="16" s="1"/>
  <c r="D372" i="16" s="1"/>
  <c r="I179" i="16"/>
  <c r="K179" i="16" s="1"/>
  <c r="K57" i="16"/>
  <c r="K12" i="16"/>
  <c r="K41" i="16"/>
  <c r="K210" i="16"/>
  <c r="J191" i="16"/>
  <c r="K191" i="16" s="1"/>
  <c r="D174" i="16"/>
  <c r="D173" i="16"/>
  <c r="K46" i="16"/>
  <c r="I180" i="16"/>
  <c r="K180" i="16" s="1"/>
  <c r="K13" i="16"/>
  <c r="S9" i="7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K58" i="16"/>
  <c r="D177" i="16"/>
  <c r="I173" i="16"/>
  <c r="K173" i="16" s="1"/>
  <c r="J170" i="16"/>
  <c r="K170" i="16" s="1"/>
  <c r="J190" i="16"/>
  <c r="K190" i="16" s="1"/>
  <c r="J192" i="16"/>
  <c r="K192" i="16" s="1"/>
  <c r="D116" i="16"/>
  <c r="D274" i="16" s="1"/>
  <c r="D346" i="16" s="1"/>
  <c r="D180" i="16"/>
  <c r="A26" i="34"/>
  <c r="H87" i="6"/>
  <c r="I87" i="6"/>
  <c r="J87" i="6"/>
  <c r="AC136" i="2"/>
  <c r="H22" i="17"/>
  <c r="I7" i="17" s="1"/>
  <c r="H23" i="16"/>
  <c r="F261" i="16" s="1"/>
  <c r="F333" i="16" s="1"/>
  <c r="I84" i="2"/>
  <c r="J221" i="16"/>
  <c r="K221" i="16" s="1"/>
  <c r="H71" i="2"/>
  <c r="H161" i="2" s="1"/>
  <c r="H57" i="23" s="1"/>
  <c r="AD136" i="2"/>
  <c r="AI136" i="2"/>
  <c r="Z84" i="2"/>
  <c r="AA136" i="2"/>
  <c r="L97" i="2"/>
  <c r="AB136" i="2"/>
  <c r="AF136" i="2"/>
  <c r="G71" i="2"/>
  <c r="G161" i="2" s="1"/>
  <c r="G163" i="2" s="1"/>
  <c r="G30" i="23" s="1"/>
  <c r="G31" i="23" s="1"/>
  <c r="K38" i="16"/>
  <c r="AC97" i="2"/>
  <c r="AC161" i="2" s="1"/>
  <c r="R97" i="2"/>
  <c r="AH136" i="2"/>
  <c r="AB84" i="2"/>
  <c r="Q136" i="2"/>
  <c r="E29" i="23"/>
  <c r="E31" i="23" s="1"/>
  <c r="E35" i="23" s="1"/>
  <c r="E37" i="23" s="1"/>
  <c r="F29" i="14"/>
  <c r="D178" i="16"/>
  <c r="M71" i="2"/>
  <c r="M161" i="2" s="1"/>
  <c r="M57" i="23" s="1"/>
  <c r="J240" i="9"/>
  <c r="L240" i="9" s="1"/>
  <c r="I249" i="9"/>
  <c r="I365" i="9"/>
  <c r="J350" i="9"/>
  <c r="L350" i="9" s="1"/>
  <c r="J67" i="10"/>
  <c r="J69" i="10" s="1"/>
  <c r="J70" i="10" s="1"/>
  <c r="J72" i="10" s="1"/>
  <c r="J73" i="10" s="1"/>
  <c r="Q73" i="10" s="1"/>
  <c r="H67" i="10"/>
  <c r="H69" i="10" s="1"/>
  <c r="H70" i="10" s="1"/>
  <c r="H72" i="10" s="1"/>
  <c r="H73" i="10" s="1"/>
  <c r="Q71" i="10" s="1"/>
  <c r="J358" i="9"/>
  <c r="L358" i="9" s="1"/>
  <c r="I373" i="9"/>
  <c r="D111" i="16"/>
  <c r="D269" i="16" s="1"/>
  <c r="D341" i="16" s="1"/>
  <c r="J222" i="16"/>
  <c r="K222" i="16" s="1"/>
  <c r="J196" i="16"/>
  <c r="K196" i="16" s="1"/>
  <c r="D105" i="16"/>
  <c r="D263" i="16" s="1"/>
  <c r="D335" i="16" s="1"/>
  <c r="J216" i="16"/>
  <c r="K216" i="16" s="1"/>
  <c r="J186" i="16"/>
  <c r="K186" i="16" s="1"/>
  <c r="D188" i="16"/>
  <c r="K31" i="16"/>
  <c r="S85" i="7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S97" i="7" s="1"/>
  <c r="S98" i="7" s="1"/>
  <c r="S99" i="7" s="1"/>
  <c r="S100" i="7" s="1"/>
  <c r="S101" i="7" s="1"/>
  <c r="S102" i="7" s="1"/>
  <c r="S103" i="7" s="1"/>
  <c r="S104" i="7" s="1"/>
  <c r="S105" i="7" s="1"/>
  <c r="S106" i="7" s="1"/>
  <c r="S107" i="7" s="1"/>
  <c r="S108" i="7" s="1"/>
  <c r="S109" i="7" s="1"/>
  <c r="S110" i="7" s="1"/>
  <c r="S111" i="7" s="1"/>
  <c r="S112" i="7" s="1"/>
  <c r="S113" i="7" s="1"/>
  <c r="S114" i="7" s="1"/>
  <c r="S115" i="7" s="1"/>
  <c r="S116" i="7" s="1"/>
  <c r="S117" i="7" s="1"/>
  <c r="S118" i="7" s="1"/>
  <c r="S119" i="7" s="1"/>
  <c r="S120" i="7" s="1"/>
  <c r="S121" i="7" s="1"/>
  <c r="S122" i="7" s="1"/>
  <c r="S123" i="7" s="1"/>
  <c r="S124" i="7" s="1"/>
  <c r="S125" i="7" s="1"/>
  <c r="S126" i="7" s="1"/>
  <c r="S127" i="7" s="1"/>
  <c r="S128" i="7" s="1"/>
  <c r="S129" i="7" s="1"/>
  <c r="S130" i="7" s="1"/>
  <c r="S131" i="7" s="1"/>
  <c r="S132" i="7" s="1"/>
  <c r="S133" i="7" s="1"/>
  <c r="S134" i="7" s="1"/>
  <c r="S135" i="7" s="1"/>
  <c r="S136" i="7" s="1"/>
  <c r="S137" i="7" s="1"/>
  <c r="S138" i="7" s="1"/>
  <c r="S139" i="7" s="1"/>
  <c r="S140" i="7" s="1"/>
  <c r="S141" i="7" s="1"/>
  <c r="J189" i="16"/>
  <c r="K189" i="16" s="1"/>
  <c r="K34" i="16"/>
  <c r="D143" i="16"/>
  <c r="D301" i="16" s="1"/>
  <c r="D373" i="16" s="1"/>
  <c r="D216" i="16"/>
  <c r="D193" i="16"/>
  <c r="D219" i="16"/>
  <c r="J177" i="16"/>
  <c r="K177" i="16" s="1"/>
  <c r="K32" i="16"/>
  <c r="K52" i="16"/>
  <c r="K51" i="16"/>
  <c r="D203" i="16"/>
  <c r="D168" i="16"/>
  <c r="D206" i="16"/>
  <c r="K47" i="16"/>
  <c r="K171" i="16"/>
  <c r="K42" i="16"/>
  <c r="K22" i="16"/>
  <c r="G268" i="7"/>
  <c r="D268" i="7"/>
  <c r="D132" i="16"/>
  <c r="D290" i="16" s="1"/>
  <c r="D362" i="16" s="1"/>
  <c r="D131" i="16"/>
  <c r="D289" i="16" s="1"/>
  <c r="D361" i="16" s="1"/>
  <c r="U136" i="2"/>
  <c r="I136" i="2"/>
  <c r="AB97" i="2"/>
  <c r="AB161" i="2" s="1"/>
  <c r="Z71" i="2"/>
  <c r="Z136" i="2"/>
  <c r="AE136" i="2"/>
  <c r="AJ136" i="2"/>
  <c r="S136" i="2"/>
  <c r="I71" i="2"/>
  <c r="T71" i="2"/>
  <c r="P71" i="2"/>
  <c r="P161" i="2" s="1"/>
  <c r="P57" i="23" s="1"/>
  <c r="V71" i="2"/>
  <c r="V161" i="2" s="1"/>
  <c r="K71" i="2"/>
  <c r="J136" i="2"/>
  <c r="W136" i="2"/>
  <c r="R84" i="2"/>
  <c r="T136" i="2"/>
  <c r="R136" i="2"/>
  <c r="AD97" i="2"/>
  <c r="AD161" i="2" s="1"/>
  <c r="Y84" i="2"/>
  <c r="Y161" i="2" s="1"/>
  <c r="AA97" i="2"/>
  <c r="M97" i="2"/>
  <c r="Z97" i="2"/>
  <c r="S71" i="2"/>
  <c r="X84" i="2"/>
  <c r="X161" i="2" s="1"/>
  <c r="W97" i="2"/>
  <c r="W161" i="2" s="1"/>
  <c r="L99" i="2"/>
  <c r="M99" i="2" s="1"/>
  <c r="N99" i="2" s="1"/>
  <c r="O99" i="2" s="1"/>
  <c r="P99" i="2" s="1"/>
  <c r="Q99" i="2" s="1"/>
  <c r="R99" i="2" s="1"/>
  <c r="S99" i="2" s="1"/>
  <c r="T99" i="2" s="1"/>
  <c r="U99" i="2" s="1"/>
  <c r="V99" i="2" s="1"/>
  <c r="W99" i="2" s="1"/>
  <c r="X99" i="2" s="1"/>
  <c r="Y99" i="2" s="1"/>
  <c r="Z99" i="2" s="1"/>
  <c r="AA99" i="2" s="1"/>
  <c r="AB99" i="2" s="1"/>
  <c r="AC99" i="2" s="1"/>
  <c r="AD99" i="2" s="1"/>
  <c r="O97" i="2"/>
  <c r="S97" i="2"/>
  <c r="O71" i="2"/>
  <c r="T84" i="2"/>
  <c r="U97" i="2"/>
  <c r="U71" i="2"/>
  <c r="U123" i="2"/>
  <c r="N123" i="2"/>
  <c r="AJ123" i="2"/>
  <c r="X123" i="2"/>
  <c r="Z123" i="2"/>
  <c r="AG149" i="2"/>
  <c r="N149" i="2"/>
  <c r="H73" i="2"/>
  <c r="I73" i="2" s="1"/>
  <c r="J73" i="2" s="1"/>
  <c r="K73" i="2" s="1"/>
  <c r="L73" i="2" s="1"/>
  <c r="M73" i="2" s="1"/>
  <c r="N73" i="2" s="1"/>
  <c r="O73" i="2" s="1"/>
  <c r="P73" i="2" s="1"/>
  <c r="Q73" i="2" s="1"/>
  <c r="R73" i="2" s="1"/>
  <c r="S73" i="2" s="1"/>
  <c r="T73" i="2" s="1"/>
  <c r="U73" i="2" s="1"/>
  <c r="V73" i="2" s="1"/>
  <c r="W73" i="2" s="1"/>
  <c r="X73" i="2" s="1"/>
  <c r="Y73" i="2" s="1"/>
  <c r="Z73" i="2" s="1"/>
  <c r="N161" i="2"/>
  <c r="N57" i="23" s="1"/>
  <c r="Q149" i="2"/>
  <c r="W123" i="2"/>
  <c r="AL149" i="2"/>
  <c r="AL162" i="2" s="1"/>
  <c r="AL163" i="2" s="1"/>
  <c r="I125" i="2"/>
  <c r="J125" i="2" s="1"/>
  <c r="K125" i="2" s="1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V125" i="2" s="1"/>
  <c r="W125" i="2" s="1"/>
  <c r="X125" i="2" s="1"/>
  <c r="Y125" i="2" s="1"/>
  <c r="Z125" i="2" s="1"/>
  <c r="AA125" i="2" s="1"/>
  <c r="AB125" i="2" s="1"/>
  <c r="AC125" i="2" s="1"/>
  <c r="AD125" i="2" s="1"/>
  <c r="AE125" i="2" s="1"/>
  <c r="AF125" i="2" s="1"/>
  <c r="AG125" i="2" s="1"/>
  <c r="AH125" i="2" s="1"/>
  <c r="AI125" i="2" s="1"/>
  <c r="AJ125" i="2" s="1"/>
  <c r="M123" i="2"/>
  <c r="H123" i="2"/>
  <c r="H162" i="2" s="1"/>
  <c r="H53" i="23" s="1"/>
  <c r="AA123" i="2"/>
  <c r="AI123" i="2"/>
  <c r="AN149" i="2"/>
  <c r="AN162" i="2" s="1"/>
  <c r="AN163" i="2" s="1"/>
  <c r="AB149" i="2"/>
  <c r="AI149" i="2"/>
  <c r="T149" i="2"/>
  <c r="AK149" i="2"/>
  <c r="AK162" i="2" s="1"/>
  <c r="AK163" i="2" s="1"/>
  <c r="F13" i="13"/>
  <c r="A4" i="34" s="1"/>
  <c r="H46" i="13"/>
  <c r="A24" i="34" s="1"/>
  <c r="F288" i="16"/>
  <c r="F360" i="16" s="1"/>
  <c r="I360" i="16" s="1"/>
  <c r="T52" i="35"/>
  <c r="F91" i="35"/>
  <c r="B158" i="35" s="1"/>
  <c r="F281" i="16"/>
  <c r="F353" i="16" s="1"/>
  <c r="F265" i="16"/>
  <c r="F337" i="16" s="1"/>
  <c r="I337" i="16" s="1"/>
  <c r="J50" i="16"/>
  <c r="K50" i="16" s="1"/>
  <c r="J27" i="29"/>
  <c r="I317" i="16"/>
  <c r="F276" i="16"/>
  <c r="F348" i="16" s="1"/>
  <c r="F264" i="16"/>
  <c r="F336" i="16" s="1"/>
  <c r="H221" i="16"/>
  <c r="G373" i="16" s="1"/>
  <c r="J57" i="29"/>
  <c r="C176" i="7"/>
  <c r="H37" i="16"/>
  <c r="J37" i="16"/>
  <c r="K37" i="16" s="1"/>
  <c r="H55" i="6"/>
  <c r="K216" i="6"/>
  <c r="J55" i="6"/>
  <c r="F278" i="16"/>
  <c r="F350" i="16" s="1"/>
  <c r="I350" i="16" s="1"/>
  <c r="V57" i="13"/>
  <c r="A37" i="30"/>
  <c r="D29" i="30"/>
  <c r="J82" i="3"/>
  <c r="I82" i="3"/>
  <c r="K178" i="16"/>
  <c r="J36" i="16"/>
  <c r="K36" i="16" s="1"/>
  <c r="H36" i="16"/>
  <c r="H42" i="16"/>
  <c r="F280" i="16" s="1"/>
  <c r="F352" i="16" s="1"/>
  <c r="H80" i="6"/>
  <c r="G50" i="4"/>
  <c r="H50" i="4" s="1"/>
  <c r="I80" i="6"/>
  <c r="G53" i="23"/>
  <c r="Q123" i="2"/>
  <c r="K151" i="2"/>
  <c r="L151" i="2" s="1"/>
  <c r="M151" i="2" s="1"/>
  <c r="N151" i="2" s="1"/>
  <c r="O151" i="2" s="1"/>
  <c r="P151" i="2" s="1"/>
  <c r="Q151" i="2" s="1"/>
  <c r="R151" i="2" s="1"/>
  <c r="S151" i="2" s="1"/>
  <c r="T151" i="2" s="1"/>
  <c r="U151" i="2" s="1"/>
  <c r="V151" i="2" s="1"/>
  <c r="W151" i="2" s="1"/>
  <c r="X151" i="2" s="1"/>
  <c r="Y151" i="2" s="1"/>
  <c r="Z151" i="2" s="1"/>
  <c r="AA151" i="2" s="1"/>
  <c r="AB151" i="2" s="1"/>
  <c r="AC151" i="2" s="1"/>
  <c r="AD151" i="2" s="1"/>
  <c r="AE151" i="2" s="1"/>
  <c r="AF151" i="2" s="1"/>
  <c r="AG151" i="2" s="1"/>
  <c r="AH151" i="2" s="1"/>
  <c r="AI151" i="2" s="1"/>
  <c r="AJ151" i="2" s="1"/>
  <c r="AK151" i="2" s="1"/>
  <c r="AL151" i="2" s="1"/>
  <c r="AM151" i="2" s="1"/>
  <c r="AN151" i="2" s="1"/>
  <c r="V123" i="2"/>
  <c r="AB123" i="2"/>
  <c r="AG162" i="2"/>
  <c r="AG163" i="2" s="1"/>
  <c r="AH149" i="2"/>
  <c r="L149" i="2"/>
  <c r="Q161" i="2"/>
  <c r="H319" i="16"/>
  <c r="I22" i="28"/>
  <c r="I62" i="28" s="1"/>
  <c r="J35" i="16"/>
  <c r="K35" i="16" s="1"/>
  <c r="J59" i="29"/>
  <c r="G67" i="10"/>
  <c r="G69" i="10" s="1"/>
  <c r="G70" i="10" s="1"/>
  <c r="G72" i="10" s="1"/>
  <c r="G73" i="10" s="1"/>
  <c r="I67" i="10"/>
  <c r="I69" i="10" s="1"/>
  <c r="I70" i="10" s="1"/>
  <c r="I72" i="10" s="1"/>
  <c r="I73" i="10" s="1"/>
  <c r="L82" i="3"/>
  <c r="H29" i="23"/>
  <c r="M82" i="3"/>
  <c r="J29" i="23"/>
  <c r="J9" i="5"/>
  <c r="L442" i="9"/>
  <c r="L444" i="9" s="1"/>
  <c r="J444" i="9"/>
  <c r="J96" i="9"/>
  <c r="L96" i="9" s="1"/>
  <c r="I109" i="9"/>
  <c r="J109" i="9" s="1"/>
  <c r="L109" i="9" s="1"/>
  <c r="G168" i="9"/>
  <c r="G180" i="9" s="1"/>
  <c r="J168" i="9"/>
  <c r="L168" i="9" s="1"/>
  <c r="H180" i="9"/>
  <c r="I174" i="9"/>
  <c r="J174" i="9" s="1"/>
  <c r="J167" i="9"/>
  <c r="L167" i="9" s="1"/>
  <c r="I259" i="9"/>
  <c r="J259" i="9" s="1"/>
  <c r="L259" i="9" s="1"/>
  <c r="J250" i="9"/>
  <c r="L250" i="9" s="1"/>
  <c r="I248" i="9"/>
  <c r="J239" i="9"/>
  <c r="L239" i="9" s="1"/>
  <c r="J243" i="9"/>
  <c r="L243" i="9" s="1"/>
  <c r="I252" i="9"/>
  <c r="I260" i="9"/>
  <c r="J260" i="9" s="1"/>
  <c r="L260" i="9" s="1"/>
  <c r="J251" i="9"/>
  <c r="L251" i="9" s="1"/>
  <c r="L246" i="9"/>
  <c r="G14" i="15"/>
  <c r="H14" i="15" s="1"/>
  <c r="H16" i="15" s="1"/>
  <c r="O70" i="7"/>
  <c r="I21" i="28"/>
  <c r="K178" i="9"/>
  <c r="L178" i="9" s="1"/>
  <c r="L171" i="9"/>
  <c r="K169" i="9"/>
  <c r="L162" i="9"/>
  <c r="K174" i="9"/>
  <c r="G394" i="9"/>
  <c r="G112" i="9"/>
  <c r="J89" i="9"/>
  <c r="L89" i="9" s="1"/>
  <c r="G263" i="9"/>
  <c r="AD123" i="2"/>
  <c r="P149" i="2"/>
  <c r="P162" i="2" s="1"/>
  <c r="P53" i="23" s="1"/>
  <c r="V149" i="2"/>
  <c r="AF123" i="2"/>
  <c r="S123" i="2"/>
  <c r="U149" i="2"/>
  <c r="Y123" i="2"/>
  <c r="Y162" i="2" s="1"/>
  <c r="J123" i="2"/>
  <c r="J162" i="2" s="1"/>
  <c r="J53" i="23" s="1"/>
  <c r="K123" i="2"/>
  <c r="M149" i="2"/>
  <c r="X149" i="2"/>
  <c r="S149" i="2"/>
  <c r="AF149" i="2"/>
  <c r="AE149" i="2"/>
  <c r="K149" i="2"/>
  <c r="AC123" i="2"/>
  <c r="O123" i="2"/>
  <c r="O162" i="2" s="1"/>
  <c r="O53" i="23" s="1"/>
  <c r="R123" i="2"/>
  <c r="I123" i="2"/>
  <c r="AD149" i="2"/>
  <c r="W149" i="2"/>
  <c r="AJ149" i="2"/>
  <c r="R149" i="2"/>
  <c r="H65" i="16"/>
  <c r="J65" i="16"/>
  <c r="K65" i="16" s="1"/>
  <c r="F302" i="16"/>
  <c r="F374" i="16" s="1"/>
  <c r="K175" i="16"/>
  <c r="G80" i="6"/>
  <c r="I91" i="9"/>
  <c r="J78" i="9"/>
  <c r="L78" i="9" s="1"/>
  <c r="I87" i="9"/>
  <c r="J74" i="9"/>
  <c r="L74" i="9" s="1"/>
  <c r="I92" i="9"/>
  <c r="J79" i="9"/>
  <c r="L79" i="9" s="1"/>
  <c r="I94" i="9"/>
  <c r="J81" i="9"/>
  <c r="L81" i="9" s="1"/>
  <c r="I101" i="9"/>
  <c r="J101" i="9" s="1"/>
  <c r="L101" i="9" s="1"/>
  <c r="J88" i="9"/>
  <c r="L88" i="9" s="1"/>
  <c r="L192" i="9"/>
  <c r="H263" i="9"/>
  <c r="L8" i="9"/>
  <c r="H63" i="16"/>
  <c r="J63" i="16"/>
  <c r="K63" i="16" s="1"/>
  <c r="I69" i="6"/>
  <c r="I367" i="16"/>
  <c r="H29" i="16"/>
  <c r="J29" i="16"/>
  <c r="K29" i="16" s="1"/>
  <c r="G69" i="6"/>
  <c r="H11" i="28"/>
  <c r="J46" i="29"/>
  <c r="F285" i="16"/>
  <c r="F357" i="16" s="1"/>
  <c r="H15" i="16"/>
  <c r="J15" i="16"/>
  <c r="K15" i="16" s="1"/>
  <c r="J13" i="29"/>
  <c r="F252" i="16"/>
  <c r="F324" i="16" s="1"/>
  <c r="H334" i="16"/>
  <c r="K202" i="6"/>
  <c r="G76" i="6"/>
  <c r="K151" i="6"/>
  <c r="G17" i="6"/>
  <c r="K204" i="6"/>
  <c r="G78" i="6"/>
  <c r="K143" i="6"/>
  <c r="G9" i="6"/>
  <c r="K163" i="6"/>
  <c r="G29" i="6"/>
  <c r="K203" i="6"/>
  <c r="G77" i="6"/>
  <c r="K145" i="6"/>
  <c r="G11" i="6"/>
  <c r="K166" i="6"/>
  <c r="G32" i="6"/>
  <c r="K168" i="6"/>
  <c r="G34" i="6"/>
  <c r="K157" i="6"/>
  <c r="G23" i="6"/>
  <c r="K212" i="6"/>
  <c r="G86" i="6"/>
  <c r="K226" i="6"/>
  <c r="G75" i="6"/>
  <c r="K201" i="6"/>
  <c r="K185" i="6"/>
  <c r="G58" i="6"/>
  <c r="G60" i="6" s="1"/>
  <c r="L60" i="6" s="1"/>
  <c r="K170" i="6"/>
  <c r="G36" i="6"/>
  <c r="K180" i="6"/>
  <c r="G52" i="6"/>
  <c r="K222" i="6"/>
  <c r="G27" i="6"/>
  <c r="K161" i="6"/>
  <c r="K197" i="6"/>
  <c r="K196" i="6"/>
  <c r="K224" i="6"/>
  <c r="K181" i="6"/>
  <c r="G53" i="6"/>
  <c r="K160" i="6"/>
  <c r="G26" i="6"/>
  <c r="K153" i="6"/>
  <c r="G19" i="6"/>
  <c r="K159" i="6"/>
  <c r="G25" i="6"/>
  <c r="K147" i="6"/>
  <c r="G13" i="6"/>
  <c r="G28" i="6"/>
  <c r="K162" i="6"/>
  <c r="K221" i="6"/>
  <c r="G15" i="6"/>
  <c r="K149" i="6"/>
  <c r="G73" i="6"/>
  <c r="K199" i="6"/>
  <c r="K218" i="6"/>
  <c r="K225" i="6"/>
  <c r="K213" i="6"/>
  <c r="G87" i="6"/>
  <c r="K178" i="6"/>
  <c r="G50" i="6"/>
  <c r="G10" i="6"/>
  <c r="K144" i="6"/>
  <c r="G21" i="6"/>
  <c r="K155" i="6"/>
  <c r="K220" i="6"/>
  <c r="K171" i="6"/>
  <c r="G37" i="6"/>
  <c r="K154" i="6"/>
  <c r="G20" i="6"/>
  <c r="K219" i="6"/>
  <c r="K179" i="6"/>
  <c r="G51" i="6"/>
  <c r="K146" i="6"/>
  <c r="G12" i="6"/>
  <c r="G16" i="6"/>
  <c r="K150" i="6"/>
  <c r="K169" i="6"/>
  <c r="G35" i="6"/>
  <c r="K175" i="6"/>
  <c r="G43" i="6"/>
  <c r="G45" i="6" s="1"/>
  <c r="L45" i="6" s="1"/>
  <c r="K217" i="6"/>
  <c r="K167" i="6"/>
  <c r="G33" i="6"/>
  <c r="K215" i="6"/>
  <c r="K156" i="6"/>
  <c r="G22" i="6"/>
  <c r="K148" i="6"/>
  <c r="G14" i="6"/>
  <c r="K165" i="6"/>
  <c r="G31" i="6"/>
  <c r="K164" i="6"/>
  <c r="G30" i="6"/>
  <c r="K223" i="6"/>
  <c r="K198" i="6"/>
  <c r="K200" i="6"/>
  <c r="G74" i="6"/>
  <c r="J185" i="16"/>
  <c r="K185" i="16" s="1"/>
  <c r="I49" i="14"/>
  <c r="J39" i="14" s="1"/>
  <c r="H51" i="14"/>
  <c r="H53" i="14" s="1"/>
  <c r="H59" i="14" s="1"/>
  <c r="C12" i="25"/>
  <c r="U7" i="13" s="1"/>
  <c r="K205" i="16"/>
  <c r="C175" i="7"/>
  <c r="D68" i="16"/>
  <c r="E164" i="7"/>
  <c r="D87" i="16"/>
  <c r="D245" i="16" s="1"/>
  <c r="D317" i="16" s="1"/>
  <c r="D165" i="16"/>
  <c r="E148" i="16"/>
  <c r="E226" i="16"/>
  <c r="I166" i="16"/>
  <c r="K166" i="16" s="1"/>
  <c r="D166" i="16"/>
  <c r="D88" i="16"/>
  <c r="D246" i="16" s="1"/>
  <c r="D318" i="16" s="1"/>
  <c r="H23" i="28"/>
  <c r="G48" i="28" s="1"/>
  <c r="G51" i="28" s="1"/>
  <c r="I68" i="16"/>
  <c r="K73" i="16" s="1"/>
  <c r="I17" i="28"/>
  <c r="I10" i="28"/>
  <c r="I9" i="28"/>
  <c r="H49" i="28"/>
  <c r="I49" i="28" s="1"/>
  <c r="I55" i="28"/>
  <c r="I16" i="28"/>
  <c r="I18" i="28"/>
  <c r="I8" i="28"/>
  <c r="I20" i="28"/>
  <c r="I61" i="28" s="1"/>
  <c r="D103" i="16"/>
  <c r="D261" i="16" s="1"/>
  <c r="D333" i="16" s="1"/>
  <c r="D181" i="16"/>
  <c r="C165" i="7"/>
  <c r="C171" i="7"/>
  <c r="F164" i="7"/>
  <c r="C173" i="7" s="1"/>
  <c r="D202" i="7" s="1"/>
  <c r="C174" i="7"/>
  <c r="K23" i="16"/>
  <c r="E58" i="28"/>
  <c r="I19" i="28"/>
  <c r="I57" i="28" s="1"/>
  <c r="F273" i="16"/>
  <c r="F345" i="16" s="1"/>
  <c r="J34" i="29"/>
  <c r="H21" i="16"/>
  <c r="J21" i="16"/>
  <c r="K21" i="16" s="1"/>
  <c r="J55" i="29"/>
  <c r="F294" i="16"/>
  <c r="F366" i="16" s="1"/>
  <c r="H20" i="16"/>
  <c r="J20" i="16"/>
  <c r="K20" i="16" s="1"/>
  <c r="F289" i="16"/>
  <c r="F361" i="16" s="1"/>
  <c r="H361" i="16" s="1"/>
  <c r="J50" i="29"/>
  <c r="H30" i="4"/>
  <c r="E29" i="19" s="1"/>
  <c r="G29" i="19" s="1"/>
  <c r="N9" i="13"/>
  <c r="J33" i="16"/>
  <c r="K33" i="16" s="1"/>
  <c r="H33" i="16"/>
  <c r="J9" i="29"/>
  <c r="F248" i="16"/>
  <c r="F320" i="16" s="1"/>
  <c r="I320" i="16" s="1"/>
  <c r="H69" i="6"/>
  <c r="J17" i="29"/>
  <c r="F256" i="16"/>
  <c r="F328" i="16" s="1"/>
  <c r="H328" i="16" s="1"/>
  <c r="J47" i="29"/>
  <c r="F286" i="16"/>
  <c r="F358" i="16" s="1"/>
  <c r="J54" i="16"/>
  <c r="K54" i="16" s="1"/>
  <c r="H54" i="16"/>
  <c r="H19" i="16"/>
  <c r="J19" i="16"/>
  <c r="K19" i="16" s="1"/>
  <c r="J202" i="16"/>
  <c r="K202" i="16" s="1"/>
  <c r="J198" i="16"/>
  <c r="K198" i="16" s="1"/>
  <c r="J199" i="16"/>
  <c r="K199" i="16" s="1"/>
  <c r="H205" i="16"/>
  <c r="G357" i="16" s="1"/>
  <c r="J209" i="16"/>
  <c r="K209" i="16" s="1"/>
  <c r="H82" i="3"/>
  <c r="F31" i="23"/>
  <c r="F35" i="23" s="1"/>
  <c r="O82" i="3"/>
  <c r="N82" i="3"/>
  <c r="K82" i="3"/>
  <c r="J208" i="16"/>
  <c r="K208" i="16" s="1"/>
  <c r="H189" i="16"/>
  <c r="G341" i="16" s="1"/>
  <c r="H222" i="16"/>
  <c r="G374" i="16" s="1"/>
  <c r="H192" i="16"/>
  <c r="G344" i="16" s="1"/>
  <c r="J215" i="16"/>
  <c r="K215" i="16" s="1"/>
  <c r="H224" i="16"/>
  <c r="G376" i="16" s="1"/>
  <c r="H376" i="16" s="1"/>
  <c r="J181" i="16"/>
  <c r="K181" i="16" s="1"/>
  <c r="H191" i="16"/>
  <c r="G343" i="16" s="1"/>
  <c r="J204" i="16"/>
  <c r="K204" i="16" s="1"/>
  <c r="H196" i="16"/>
  <c r="G348" i="16" s="1"/>
  <c r="H367" i="16"/>
  <c r="J211" i="16"/>
  <c r="K211" i="16" s="1"/>
  <c r="H211" i="16"/>
  <c r="G363" i="16" s="1"/>
  <c r="J213" i="16"/>
  <c r="K213" i="16" s="1"/>
  <c r="H216" i="16"/>
  <c r="G368" i="16" s="1"/>
  <c r="H368" i="16" s="1"/>
  <c r="H195" i="16"/>
  <c r="G347" i="16" s="1"/>
  <c r="J217" i="16"/>
  <c r="K217" i="16" s="1"/>
  <c r="I334" i="16"/>
  <c r="J182" i="16"/>
  <c r="K182" i="16" s="1"/>
  <c r="J194" i="16"/>
  <c r="K194" i="16" s="1"/>
  <c r="J219" i="16"/>
  <c r="K219" i="16" s="1"/>
  <c r="H190" i="16"/>
  <c r="G342" i="16" s="1"/>
  <c r="H186" i="16"/>
  <c r="G338" i="16" s="1"/>
  <c r="H338" i="16" s="1"/>
  <c r="H210" i="16"/>
  <c r="G362" i="16" s="1"/>
  <c r="J183" i="16"/>
  <c r="K183" i="16" s="1"/>
  <c r="I335" i="16"/>
  <c r="H335" i="16"/>
  <c r="J184" i="16"/>
  <c r="K184" i="16" s="1"/>
  <c r="H184" i="16"/>
  <c r="G336" i="16" s="1"/>
  <c r="H193" i="16"/>
  <c r="G345" i="16" s="1"/>
  <c r="J188" i="16"/>
  <c r="K188" i="16" s="1"/>
  <c r="H188" i="16"/>
  <c r="G340" i="16" s="1"/>
  <c r="J201" i="16"/>
  <c r="K201" i="16" s="1"/>
  <c r="H201" i="16"/>
  <c r="G353" i="16" s="1"/>
  <c r="J207" i="16"/>
  <c r="K207" i="16" s="1"/>
  <c r="H207" i="16"/>
  <c r="G359" i="16" s="1"/>
  <c r="J200" i="16"/>
  <c r="K200" i="16" s="1"/>
  <c r="H200" i="16"/>
  <c r="G352" i="16" s="1"/>
  <c r="J187" i="16"/>
  <c r="K187" i="16" s="1"/>
  <c r="H187" i="16"/>
  <c r="G339" i="16" s="1"/>
  <c r="J220" i="16"/>
  <c r="K220" i="16" s="1"/>
  <c r="H220" i="16"/>
  <c r="G372" i="16" s="1"/>
  <c r="J214" i="16"/>
  <c r="K214" i="16" s="1"/>
  <c r="H214" i="16"/>
  <c r="G366" i="16" s="1"/>
  <c r="H206" i="16"/>
  <c r="G358" i="16" s="1"/>
  <c r="J206" i="16"/>
  <c r="K206" i="16" s="1"/>
  <c r="J197" i="16"/>
  <c r="K197" i="16" s="1"/>
  <c r="H197" i="16"/>
  <c r="G349" i="16" s="1"/>
  <c r="H218" i="16"/>
  <c r="G370" i="16" s="1"/>
  <c r="H370" i="16" s="1"/>
  <c r="J218" i="16"/>
  <c r="K218" i="16" s="1"/>
  <c r="H223" i="16"/>
  <c r="G375" i="16" s="1"/>
  <c r="J223" i="16"/>
  <c r="K223" i="16" s="1"/>
  <c r="H212" i="16"/>
  <c r="G364" i="16" s="1"/>
  <c r="J212" i="16"/>
  <c r="K212" i="16" s="1"/>
  <c r="H203" i="16"/>
  <c r="G355" i="16" s="1"/>
  <c r="J203" i="16"/>
  <c r="K203" i="16" s="1"/>
  <c r="H354" i="16"/>
  <c r="I354" i="16"/>
  <c r="I365" i="16"/>
  <c r="H365" i="16"/>
  <c r="I356" i="16"/>
  <c r="H356" i="16"/>
  <c r="H53" i="16"/>
  <c r="J53" i="16"/>
  <c r="K53" i="16" s="1"/>
  <c r="J16" i="16"/>
  <c r="K16" i="16" s="1"/>
  <c r="H16" i="16"/>
  <c r="J49" i="16"/>
  <c r="K49" i="16" s="1"/>
  <c r="H49" i="16"/>
  <c r="C291" i="16"/>
  <c r="C363" i="16" s="1"/>
  <c r="F246" i="16"/>
  <c r="F318" i="16" s="1"/>
  <c r="J7" i="29"/>
  <c r="H50" i="13"/>
  <c r="I8" i="34" s="1"/>
  <c r="J8" i="34" s="1"/>
  <c r="K8" i="34" s="1"/>
  <c r="L8" i="34" s="1"/>
  <c r="M8" i="34" s="1"/>
  <c r="N8" i="34" s="1"/>
  <c r="H39" i="16"/>
  <c r="J39" i="16"/>
  <c r="K39" i="16" s="1"/>
  <c r="J51" i="29"/>
  <c r="F290" i="16"/>
  <c r="F362" i="16" s="1"/>
  <c r="J58" i="29"/>
  <c r="F297" i="16"/>
  <c r="F369" i="16" s="1"/>
  <c r="E323" i="16"/>
  <c r="E378" i="16" s="1"/>
  <c r="E306" i="16"/>
  <c r="C249" i="16"/>
  <c r="C321" i="16" s="1"/>
  <c r="J13" i="5"/>
  <c r="F300" i="16"/>
  <c r="F372" i="16" s="1"/>
  <c r="J61" i="29"/>
  <c r="C287" i="16"/>
  <c r="C359" i="16" s="1"/>
  <c r="C246" i="16"/>
  <c r="C318" i="16" s="1"/>
  <c r="I371" i="16"/>
  <c r="H371" i="16"/>
  <c r="F270" i="16"/>
  <c r="F342" i="16" s="1"/>
  <c r="J31" i="29"/>
  <c r="F260" i="16"/>
  <c r="F332" i="16" s="1"/>
  <c r="J21" i="29"/>
  <c r="J11" i="16"/>
  <c r="H11" i="16"/>
  <c r="F272" i="16"/>
  <c r="F344" i="16" s="1"/>
  <c r="J33" i="29"/>
  <c r="F279" i="16"/>
  <c r="F351" i="16" s="1"/>
  <c r="J40" i="29"/>
  <c r="I323" i="16"/>
  <c r="H323" i="16"/>
  <c r="J11" i="29"/>
  <c r="F250" i="16"/>
  <c r="F322" i="16" s="1"/>
  <c r="J17" i="16"/>
  <c r="K17" i="16" s="1"/>
  <c r="H17" i="16"/>
  <c r="C255" i="16"/>
  <c r="C327" i="16" s="1"/>
  <c r="C254" i="16"/>
  <c r="C326" i="16" s="1"/>
  <c r="C277" i="16"/>
  <c r="C349" i="16" s="1"/>
  <c r="L161" i="2" l="1"/>
  <c r="L57" i="23" s="1"/>
  <c r="L162" i="2"/>
  <c r="L163" i="2" s="1"/>
  <c r="L30" i="23" s="1"/>
  <c r="L31" i="23" s="1"/>
  <c r="J22" i="29"/>
  <c r="N34" i="13"/>
  <c r="I102" i="6"/>
  <c r="J102" i="6"/>
  <c r="G102" i="6"/>
  <c r="H102" i="6"/>
  <c r="AH162" i="2"/>
  <c r="AH163" i="2" s="1"/>
  <c r="Z161" i="2"/>
  <c r="AA162" i="2"/>
  <c r="AA163" i="2" s="1"/>
  <c r="AA161" i="2"/>
  <c r="K161" i="2"/>
  <c r="K57" i="23" s="1"/>
  <c r="I161" i="2"/>
  <c r="I57" i="23" s="1"/>
  <c r="I15" i="34"/>
  <c r="J15" i="34" s="1"/>
  <c r="K15" i="34" s="1"/>
  <c r="L15" i="34" s="1"/>
  <c r="M15" i="34" s="1"/>
  <c r="N15" i="34" s="1"/>
  <c r="I23" i="4"/>
  <c r="J23" i="4" s="1"/>
  <c r="K23" i="4" s="1"/>
  <c r="L23" i="4" s="1"/>
  <c r="M23" i="4" s="1"/>
  <c r="N23" i="4" s="1"/>
  <c r="O23" i="4" s="1"/>
  <c r="P23" i="4" s="1"/>
  <c r="Q23" i="4" s="1"/>
  <c r="R23" i="4" s="1"/>
  <c r="G57" i="23"/>
  <c r="G59" i="23" s="1"/>
  <c r="T162" i="2"/>
  <c r="I383" i="9"/>
  <c r="J383" i="9" s="1"/>
  <c r="L383" i="9" s="1"/>
  <c r="J368" i="9"/>
  <c r="L368" i="9" s="1"/>
  <c r="O161" i="2"/>
  <c r="O57" i="23" s="1"/>
  <c r="R161" i="2"/>
  <c r="T161" i="2"/>
  <c r="T163" i="2" s="1"/>
  <c r="H59" i="23"/>
  <c r="H360" i="16"/>
  <c r="I380" i="9"/>
  <c r="J380" i="9" s="1"/>
  <c r="L380" i="9" s="1"/>
  <c r="J365" i="9"/>
  <c r="L365" i="9" s="1"/>
  <c r="J41" i="29"/>
  <c r="I258" i="9"/>
  <c r="J258" i="9" s="1"/>
  <c r="L258" i="9" s="1"/>
  <c r="J249" i="9"/>
  <c r="L249" i="9" s="1"/>
  <c r="AC162" i="2"/>
  <c r="AC163" i="2" s="1"/>
  <c r="H353" i="16"/>
  <c r="I162" i="2"/>
  <c r="I53" i="23" s="1"/>
  <c r="I9" i="17"/>
  <c r="I13" i="17"/>
  <c r="I8" i="17"/>
  <c r="I10" i="17"/>
  <c r="I18" i="17"/>
  <c r="I14" i="17"/>
  <c r="I12" i="17"/>
  <c r="I16" i="17"/>
  <c r="I17" i="17"/>
  <c r="I15" i="17"/>
  <c r="I11" i="17"/>
  <c r="I388" i="9"/>
  <c r="J388" i="9" s="1"/>
  <c r="L388" i="9" s="1"/>
  <c r="J373" i="9"/>
  <c r="L174" i="9"/>
  <c r="D267" i="7"/>
  <c r="G267" i="7"/>
  <c r="AE162" i="2"/>
  <c r="AE163" i="2" s="1"/>
  <c r="U162" i="2"/>
  <c r="Z162" i="2"/>
  <c r="U161" i="2"/>
  <c r="Z163" i="2"/>
  <c r="S161" i="2"/>
  <c r="M162" i="2"/>
  <c r="M53" i="23" s="1"/>
  <c r="M55" i="23" s="1"/>
  <c r="AJ162" i="2"/>
  <c r="AJ163" i="2" s="1"/>
  <c r="Q162" i="2"/>
  <c r="Q163" i="2" s="1"/>
  <c r="V162" i="2"/>
  <c r="V163" i="2" s="1"/>
  <c r="AB162" i="2"/>
  <c r="AB163" i="2" s="1"/>
  <c r="X162" i="2"/>
  <c r="X163" i="2" s="1"/>
  <c r="H163" i="2"/>
  <c r="H30" i="23" s="1"/>
  <c r="H31" i="23" s="1"/>
  <c r="N162" i="2"/>
  <c r="Y163" i="2"/>
  <c r="E48" i="18"/>
  <c r="R162" i="2"/>
  <c r="AI162" i="2"/>
  <c r="AI163" i="2" s="1"/>
  <c r="W162" i="2"/>
  <c r="W163" i="2" s="1"/>
  <c r="F18" i="13"/>
  <c r="F26" i="13" s="1"/>
  <c r="T53" i="35"/>
  <c r="I348" i="16"/>
  <c r="H337" i="16"/>
  <c r="G30" i="13"/>
  <c r="H30" i="13" s="1"/>
  <c r="H24" i="15"/>
  <c r="I374" i="16"/>
  <c r="L22" i="24"/>
  <c r="F22" i="24" s="1"/>
  <c r="F23" i="24"/>
  <c r="F275" i="16"/>
  <c r="F347" i="16" s="1"/>
  <c r="I347" i="16" s="1"/>
  <c r="J36" i="29"/>
  <c r="H350" i="16"/>
  <c r="A38" i="30"/>
  <c r="A40" i="30" s="1"/>
  <c r="D31" i="30"/>
  <c r="I361" i="16"/>
  <c r="N60" i="13"/>
  <c r="I60" i="28"/>
  <c r="F274" i="16"/>
  <c r="F346" i="16" s="1"/>
  <c r="J35" i="29"/>
  <c r="G44" i="4"/>
  <c r="H44" i="4" s="1"/>
  <c r="I44" i="4" s="1"/>
  <c r="H55" i="23"/>
  <c r="L53" i="23"/>
  <c r="L59" i="23" s="1"/>
  <c r="K162" i="2"/>
  <c r="K53" i="23" s="1"/>
  <c r="G55" i="23"/>
  <c r="K9" i="5"/>
  <c r="J180" i="9"/>
  <c r="L445" i="9"/>
  <c r="G445" i="9" s="1"/>
  <c r="I261" i="9"/>
  <c r="J261" i="9" s="1"/>
  <c r="L261" i="9" s="1"/>
  <c r="J252" i="9"/>
  <c r="L252" i="9" s="1"/>
  <c r="I257" i="9"/>
  <c r="J257" i="9" s="1"/>
  <c r="L257" i="9" s="1"/>
  <c r="J248" i="9"/>
  <c r="L248" i="9" s="1"/>
  <c r="C197" i="7"/>
  <c r="D197" i="7" s="1"/>
  <c r="C198" i="7"/>
  <c r="D198" i="7" s="1"/>
  <c r="C199" i="7"/>
  <c r="D199" i="7" s="1"/>
  <c r="K176" i="9"/>
  <c r="L176" i="9" s="1"/>
  <c r="L169" i="9"/>
  <c r="P163" i="2"/>
  <c r="P30" i="23" s="1"/>
  <c r="AF162" i="2"/>
  <c r="AF163" i="2" s="1"/>
  <c r="S162" i="2"/>
  <c r="J163" i="2"/>
  <c r="J30" i="23" s="1"/>
  <c r="AD162" i="2"/>
  <c r="AD163" i="2" s="1"/>
  <c r="J64" i="29"/>
  <c r="F303" i="16"/>
  <c r="F375" i="16" s="1"/>
  <c r="I375" i="16" s="1"/>
  <c r="I328" i="16"/>
  <c r="I100" i="9"/>
  <c r="J100" i="9" s="1"/>
  <c r="L100" i="9" s="1"/>
  <c r="J87" i="9"/>
  <c r="L87" i="9" s="1"/>
  <c r="I105" i="9"/>
  <c r="J105" i="9" s="1"/>
  <c r="L105" i="9" s="1"/>
  <c r="J92" i="9"/>
  <c r="L92" i="9" s="1"/>
  <c r="I104" i="9"/>
  <c r="J104" i="9" s="1"/>
  <c r="L104" i="9" s="1"/>
  <c r="J91" i="9"/>
  <c r="L91" i="9" s="1"/>
  <c r="I107" i="9"/>
  <c r="J107" i="9" s="1"/>
  <c r="L107" i="9" s="1"/>
  <c r="J94" i="9"/>
  <c r="L94" i="9" s="1"/>
  <c r="F301" i="16"/>
  <c r="F373" i="16" s="1"/>
  <c r="J62" i="29"/>
  <c r="I58" i="28"/>
  <c r="AA15" i="26" s="1"/>
  <c r="F253" i="16"/>
  <c r="F325" i="16" s="1"/>
  <c r="J14" i="29"/>
  <c r="H357" i="16"/>
  <c r="I324" i="16"/>
  <c r="H324" i="16"/>
  <c r="G28" i="13"/>
  <c r="H28" i="13" s="1"/>
  <c r="A5" i="34" s="1"/>
  <c r="A6" i="34" s="1"/>
  <c r="H320" i="16"/>
  <c r="F267" i="16"/>
  <c r="F339" i="16" s="1"/>
  <c r="I339" i="16" s="1"/>
  <c r="J28" i="29"/>
  <c r="I51" i="14"/>
  <c r="I53" i="14" s="1"/>
  <c r="I59" i="14" s="1"/>
  <c r="G55" i="6"/>
  <c r="L55" i="6" s="1"/>
  <c r="G40" i="6"/>
  <c r="J49" i="14"/>
  <c r="K39" i="14" s="1"/>
  <c r="D306" i="16"/>
  <c r="I226" i="16"/>
  <c r="K231" i="16" s="1"/>
  <c r="D226" i="16"/>
  <c r="D378" i="16"/>
  <c r="D148" i="16"/>
  <c r="I11" i="28"/>
  <c r="E171" i="7"/>
  <c r="G7" i="15"/>
  <c r="H7" i="15" s="1"/>
  <c r="H9" i="15" s="1"/>
  <c r="H18" i="15" s="1"/>
  <c r="I23" i="28"/>
  <c r="H48" i="28" s="1"/>
  <c r="H51" i="28" s="1"/>
  <c r="I30" i="4"/>
  <c r="F258" i="16"/>
  <c r="F330" i="16" s="1"/>
  <c r="J19" i="29"/>
  <c r="F292" i="16"/>
  <c r="F364" i="16" s="1"/>
  <c r="H364" i="16" s="1"/>
  <c r="J53" i="29"/>
  <c r="J20" i="29"/>
  <c r="F259" i="16"/>
  <c r="F331" i="16" s="1"/>
  <c r="F271" i="16"/>
  <c r="F343" i="16" s="1"/>
  <c r="I343" i="16" s="1"/>
  <c r="J32" i="29"/>
  <c r="J18" i="29"/>
  <c r="F257" i="16"/>
  <c r="F329" i="16" s="1"/>
  <c r="I376" i="16"/>
  <c r="I357" i="16"/>
  <c r="H348" i="16"/>
  <c r="H341" i="16"/>
  <c r="I341" i="16"/>
  <c r="I368" i="16"/>
  <c r="H374" i="16"/>
  <c r="I338" i="16"/>
  <c r="I370" i="16"/>
  <c r="I353" i="16"/>
  <c r="I345" i="16"/>
  <c r="H345" i="16"/>
  <c r="H340" i="16"/>
  <c r="I340" i="16"/>
  <c r="I336" i="16"/>
  <c r="H336" i="16"/>
  <c r="K226" i="16"/>
  <c r="I366" i="16"/>
  <c r="H366" i="16"/>
  <c r="I358" i="16"/>
  <c r="H358" i="16"/>
  <c r="I355" i="16"/>
  <c r="H355" i="16"/>
  <c r="I352" i="16"/>
  <c r="H352" i="16"/>
  <c r="J226" i="16"/>
  <c r="K232" i="16" s="1"/>
  <c r="I351" i="16"/>
  <c r="H351" i="16"/>
  <c r="I344" i="16"/>
  <c r="H344" i="16"/>
  <c r="J68" i="16"/>
  <c r="K74" i="16" s="1"/>
  <c r="K75" i="16" s="1"/>
  <c r="K77" i="16" s="1"/>
  <c r="K11" i="16"/>
  <c r="K68" i="16" s="1"/>
  <c r="H342" i="16"/>
  <c r="I342" i="16"/>
  <c r="K13" i="5"/>
  <c r="H318" i="16"/>
  <c r="I318" i="16"/>
  <c r="F254" i="16"/>
  <c r="F326" i="16" s="1"/>
  <c r="J15" i="29"/>
  <c r="I333" i="16"/>
  <c r="H333" i="16"/>
  <c r="F255" i="16"/>
  <c r="F327" i="16" s="1"/>
  <c r="J16" i="29"/>
  <c r="H332" i="16"/>
  <c r="I332" i="16"/>
  <c r="H372" i="16"/>
  <c r="I372" i="16"/>
  <c r="H362" i="16"/>
  <c r="I362" i="16"/>
  <c r="F287" i="16"/>
  <c r="F359" i="16" s="1"/>
  <c r="J48" i="29"/>
  <c r="J52" i="29"/>
  <c r="F291" i="16"/>
  <c r="F363" i="16" s="1"/>
  <c r="J10" i="29"/>
  <c r="F249" i="16"/>
  <c r="F321" i="16" s="1"/>
  <c r="H369" i="16"/>
  <c r="I369" i="16"/>
  <c r="H322" i="16"/>
  <c r="I322" i="16"/>
  <c r="AA24" i="26"/>
  <c r="AA22" i="26"/>
  <c r="F277" i="16"/>
  <c r="F349" i="16" s="1"/>
  <c r="J38" i="29"/>
  <c r="O163" i="2" l="1"/>
  <c r="O30" i="23" s="1"/>
  <c r="I163" i="2"/>
  <c r="I30" i="23" s="1"/>
  <c r="R163" i="2"/>
  <c r="D175" i="7"/>
  <c r="E175" i="7" s="1"/>
  <c r="G175" i="7" s="1"/>
  <c r="D176" i="7"/>
  <c r="E176" i="7" s="1"/>
  <c r="S163" i="2"/>
  <c r="U163" i="2"/>
  <c r="I29" i="17"/>
  <c r="H281" i="21" s="1"/>
  <c r="I28" i="17"/>
  <c r="H339" i="16"/>
  <c r="H256" i="21"/>
  <c r="H118" i="21"/>
  <c r="H122" i="21"/>
  <c r="H121" i="21"/>
  <c r="H257" i="21"/>
  <c r="H117" i="21"/>
  <c r="H125" i="21"/>
  <c r="H255" i="21"/>
  <c r="H253" i="21"/>
  <c r="H90" i="21"/>
  <c r="H94" i="21"/>
  <c r="H106" i="21"/>
  <c r="H157" i="21"/>
  <c r="H235" i="21"/>
  <c r="H243" i="21"/>
  <c r="H247" i="21"/>
  <c r="H275" i="21"/>
  <c r="H161" i="21"/>
  <c r="H93" i="21"/>
  <c r="H97" i="21"/>
  <c r="H101" i="21"/>
  <c r="H105" i="21"/>
  <c r="H109" i="21"/>
  <c r="H151" i="21"/>
  <c r="H238" i="21"/>
  <c r="H242" i="21"/>
  <c r="H246" i="21"/>
  <c r="H250" i="21"/>
  <c r="H270" i="21"/>
  <c r="H279" i="21"/>
  <c r="F9" i="19"/>
  <c r="G9" i="19" s="1"/>
  <c r="H252" i="21"/>
  <c r="H114" i="21"/>
  <c r="H87" i="21"/>
  <c r="H91" i="21"/>
  <c r="H99" i="21"/>
  <c r="H103" i="21"/>
  <c r="H107" i="21"/>
  <c r="H111" i="21"/>
  <c r="H152" i="21"/>
  <c r="H158" i="21"/>
  <c r="H236" i="21"/>
  <c r="H240" i="21"/>
  <c r="H244" i="21"/>
  <c r="H248" i="21"/>
  <c r="H251" i="21"/>
  <c r="H268" i="21"/>
  <c r="H272" i="21"/>
  <c r="H276" i="21"/>
  <c r="F12" i="19"/>
  <c r="G12" i="19" s="1"/>
  <c r="H88" i="21"/>
  <c r="H104" i="21"/>
  <c r="H159" i="21"/>
  <c r="H237" i="21"/>
  <c r="H241" i="21"/>
  <c r="H273" i="21"/>
  <c r="H96" i="21"/>
  <c r="H249" i="21"/>
  <c r="H100" i="21"/>
  <c r="H155" i="21"/>
  <c r="H168" i="21"/>
  <c r="H269" i="21"/>
  <c r="H113" i="21"/>
  <c r="H92" i="21"/>
  <c r="H108" i="21"/>
  <c r="H150" i="21"/>
  <c r="H245" i="21"/>
  <c r="H277" i="21"/>
  <c r="H284" i="21"/>
  <c r="H375" i="16"/>
  <c r="I22" i="17"/>
  <c r="Q75" i="10"/>
  <c r="L373" i="9"/>
  <c r="L394" i="9" s="1"/>
  <c r="J394" i="9"/>
  <c r="G266" i="7"/>
  <c r="D266" i="7"/>
  <c r="F28" i="24"/>
  <c r="F35" i="24" s="1"/>
  <c r="F48" i="18"/>
  <c r="J48" i="18"/>
  <c r="K163" i="2"/>
  <c r="K30" i="23" s="1"/>
  <c r="K31" i="23" s="1"/>
  <c r="G33" i="23"/>
  <c r="M163" i="2"/>
  <c r="M30" i="23" s="1"/>
  <c r="M31" i="23" s="1"/>
  <c r="N53" i="23"/>
  <c r="N163" i="2"/>
  <c r="T54" i="35"/>
  <c r="H347" i="16"/>
  <c r="D174" i="7"/>
  <c r="E174" i="7" s="1"/>
  <c r="G174" i="7" s="1"/>
  <c r="H174" i="7" s="1"/>
  <c r="I174" i="7" s="1"/>
  <c r="J174" i="7" s="1"/>
  <c r="K174" i="7" s="1"/>
  <c r="L174" i="7" s="1"/>
  <c r="M174" i="7" s="1"/>
  <c r="N174" i="7" s="1"/>
  <c r="O174" i="7" s="1"/>
  <c r="P174" i="7" s="1"/>
  <c r="J23" i="24"/>
  <c r="A7" i="34"/>
  <c r="I63" i="28"/>
  <c r="I22" i="34"/>
  <c r="A25" i="34"/>
  <c r="A55" i="30"/>
  <c r="A50" i="30"/>
  <c r="A48" i="30"/>
  <c r="H46" i="4"/>
  <c r="G46" i="4"/>
  <c r="I346" i="16"/>
  <c r="H346" i="16"/>
  <c r="M59" i="23"/>
  <c r="L55" i="23"/>
  <c r="L9" i="5"/>
  <c r="L263" i="9"/>
  <c r="J263" i="9"/>
  <c r="L180" i="9"/>
  <c r="L181" i="9" s="1"/>
  <c r="G181" i="9" s="1"/>
  <c r="L112" i="9"/>
  <c r="N111" i="9" s="1"/>
  <c r="O55" i="23"/>
  <c r="O59" i="23"/>
  <c r="O61" i="23" s="1"/>
  <c r="K55" i="23"/>
  <c r="K59" i="23"/>
  <c r="O31" i="23"/>
  <c r="M48" i="18"/>
  <c r="J55" i="23"/>
  <c r="J59" i="23"/>
  <c r="I55" i="23"/>
  <c r="I59" i="23"/>
  <c r="P55" i="23"/>
  <c r="P59" i="23"/>
  <c r="P61" i="23" s="1"/>
  <c r="J31" i="23"/>
  <c r="H48" i="18"/>
  <c r="I31" i="23"/>
  <c r="G48" i="18"/>
  <c r="P31" i="23"/>
  <c r="N48" i="18"/>
  <c r="J112" i="9"/>
  <c r="H373" i="16"/>
  <c r="I373" i="16"/>
  <c r="I325" i="16"/>
  <c r="H325" i="16"/>
  <c r="I364" i="16"/>
  <c r="H343" i="16"/>
  <c r="J51" i="14"/>
  <c r="J53" i="14" s="1"/>
  <c r="J59" i="14" s="1"/>
  <c r="L40" i="6"/>
  <c r="G47" i="6"/>
  <c r="K49" i="14"/>
  <c r="L39" i="14" s="1"/>
  <c r="G32" i="13"/>
  <c r="H32" i="13" s="1"/>
  <c r="K233" i="16"/>
  <c r="E11" i="23"/>
  <c r="L18" i="15"/>
  <c r="G39" i="15"/>
  <c r="G171" i="7"/>
  <c r="F110" i="15"/>
  <c r="G64" i="15"/>
  <c r="H64" i="15" s="1"/>
  <c r="H66" i="15" s="1"/>
  <c r="J64" i="15" s="1"/>
  <c r="K64" i="15" s="1"/>
  <c r="L64" i="15" s="1"/>
  <c r="M64" i="15" s="1"/>
  <c r="N64" i="15" s="1"/>
  <c r="O64" i="15" s="1"/>
  <c r="P64" i="15" s="1"/>
  <c r="Q64" i="15" s="1"/>
  <c r="R64" i="15" s="1"/>
  <c r="S64" i="15" s="1"/>
  <c r="I48" i="28"/>
  <c r="H329" i="16"/>
  <c r="I329" i="16"/>
  <c r="J30" i="4"/>
  <c r="H331" i="16"/>
  <c r="I331" i="16"/>
  <c r="H330" i="16"/>
  <c r="I330" i="16"/>
  <c r="AA41" i="26"/>
  <c r="AB41" i="26" s="1"/>
  <c r="L13" i="5"/>
  <c r="H349" i="16"/>
  <c r="I349" i="16"/>
  <c r="H363" i="16"/>
  <c r="I363" i="16"/>
  <c r="H321" i="16"/>
  <c r="I321" i="16"/>
  <c r="H359" i="16"/>
  <c r="I359" i="16"/>
  <c r="I327" i="16"/>
  <c r="H327" i="16"/>
  <c r="I326" i="16"/>
  <c r="H326" i="16"/>
  <c r="H285" i="21" l="1"/>
  <c r="H156" i="21"/>
  <c r="H89" i="21"/>
  <c r="H110" i="21"/>
  <c r="H119" i="21"/>
  <c r="J119" i="21" s="1"/>
  <c r="H254" i="21"/>
  <c r="I254" i="21" s="1"/>
  <c r="H278" i="21"/>
  <c r="H239" i="21"/>
  <c r="H95" i="21"/>
  <c r="H274" i="21"/>
  <c r="H112" i="21"/>
  <c r="F8" i="19"/>
  <c r="H98" i="21"/>
  <c r="J98" i="21" s="1"/>
  <c r="H126" i="21"/>
  <c r="J126" i="21" s="1"/>
  <c r="I30" i="17"/>
  <c r="H49" i="13"/>
  <c r="H9" i="34" s="1"/>
  <c r="H79" i="15"/>
  <c r="H81" i="15" s="1"/>
  <c r="I48" i="18"/>
  <c r="H116" i="21"/>
  <c r="J116" i="21" s="1"/>
  <c r="H271" i="21"/>
  <c r="H160" i="21"/>
  <c r="J160" i="21" s="1"/>
  <c r="H102" i="21"/>
  <c r="I102" i="21" s="1"/>
  <c r="H115" i="21"/>
  <c r="J115" i="21" s="1"/>
  <c r="H123" i="21"/>
  <c r="H124" i="21"/>
  <c r="J124" i="21" s="1"/>
  <c r="H120" i="21"/>
  <c r="G11" i="13"/>
  <c r="H11" i="13" s="1"/>
  <c r="E23" i="29" s="1"/>
  <c r="G49" i="36"/>
  <c r="H49" i="36" s="1"/>
  <c r="R93" i="36" s="1"/>
  <c r="G176" i="7"/>
  <c r="H176" i="7" s="1"/>
  <c r="I176" i="7" s="1"/>
  <c r="J176" i="7" s="1"/>
  <c r="K176" i="7" s="1"/>
  <c r="L176" i="7" s="1"/>
  <c r="G71" i="15"/>
  <c r="H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G70" i="15"/>
  <c r="H70" i="15" s="1"/>
  <c r="J70" i="15" s="1"/>
  <c r="K70" i="15" s="1"/>
  <c r="Q74" i="10"/>
  <c r="Q76" i="10" s="1"/>
  <c r="H258" i="21"/>
  <c r="H165" i="21"/>
  <c r="H128" i="21"/>
  <c r="H132" i="21"/>
  <c r="H286" i="21"/>
  <c r="H259" i="21"/>
  <c r="H162" i="21"/>
  <c r="H129" i="21"/>
  <c r="H133" i="21"/>
  <c r="H127" i="21"/>
  <c r="F25" i="19"/>
  <c r="G25" i="19" s="1"/>
  <c r="H287" i="21"/>
  <c r="H260" i="21"/>
  <c r="H163" i="21"/>
  <c r="H130" i="21"/>
  <c r="H134" i="21"/>
  <c r="H288" i="21"/>
  <c r="H164" i="21"/>
  <c r="H131" i="21"/>
  <c r="F11" i="19"/>
  <c r="F37" i="19" s="1"/>
  <c r="G37" i="19" s="1"/>
  <c r="F22" i="19"/>
  <c r="G22" i="19" s="1"/>
  <c r="J113" i="21"/>
  <c r="I113" i="21"/>
  <c r="I104" i="21"/>
  <c r="J104" i="21"/>
  <c r="I284" i="21"/>
  <c r="J284" i="21"/>
  <c r="I108" i="21"/>
  <c r="J108" i="21"/>
  <c r="J168" i="21"/>
  <c r="I168" i="21"/>
  <c r="I96" i="21"/>
  <c r="J96" i="21"/>
  <c r="I237" i="21"/>
  <c r="J237" i="21"/>
  <c r="J268" i="21"/>
  <c r="I268" i="21"/>
  <c r="I240" i="21"/>
  <c r="J240" i="21"/>
  <c r="I152" i="21"/>
  <c r="J152" i="21"/>
  <c r="I99" i="21"/>
  <c r="J99" i="21"/>
  <c r="I114" i="21"/>
  <c r="J114" i="21"/>
  <c r="J279" i="21"/>
  <c r="I279" i="21"/>
  <c r="J246" i="21"/>
  <c r="I246" i="21"/>
  <c r="I156" i="21"/>
  <c r="J156" i="21"/>
  <c r="J105" i="21"/>
  <c r="I105" i="21"/>
  <c r="J89" i="21"/>
  <c r="I89" i="21"/>
  <c r="I275" i="21"/>
  <c r="J275" i="21"/>
  <c r="I235" i="21"/>
  <c r="J235" i="21"/>
  <c r="I106" i="21"/>
  <c r="J106" i="21"/>
  <c r="I90" i="21"/>
  <c r="J90" i="21"/>
  <c r="J125" i="21"/>
  <c r="I125" i="21"/>
  <c r="I122" i="21"/>
  <c r="J122" i="21"/>
  <c r="J254" i="21"/>
  <c r="J277" i="21"/>
  <c r="I277" i="21"/>
  <c r="I92" i="21"/>
  <c r="J92" i="21"/>
  <c r="I155" i="21"/>
  <c r="J155" i="21"/>
  <c r="J159" i="21"/>
  <c r="I159" i="21"/>
  <c r="J278" i="21"/>
  <c r="I278" i="21"/>
  <c r="J251" i="21"/>
  <c r="I251" i="21"/>
  <c r="J239" i="21"/>
  <c r="I239" i="21"/>
  <c r="I111" i="21"/>
  <c r="J111" i="21"/>
  <c r="I95" i="21"/>
  <c r="J95" i="21"/>
  <c r="J252" i="21"/>
  <c r="I252" i="21"/>
  <c r="I274" i="21"/>
  <c r="J274" i="21"/>
  <c r="I242" i="21"/>
  <c r="J242" i="21"/>
  <c r="I151" i="21"/>
  <c r="J151" i="21"/>
  <c r="I101" i="21"/>
  <c r="J101" i="21"/>
  <c r="I116" i="21"/>
  <c r="I271" i="21"/>
  <c r="J271" i="21"/>
  <c r="I115" i="21"/>
  <c r="J123" i="21"/>
  <c r="I123" i="21"/>
  <c r="I124" i="21"/>
  <c r="J120" i="21"/>
  <c r="I120" i="21"/>
  <c r="J281" i="21"/>
  <c r="I281" i="21"/>
  <c r="J245" i="21"/>
  <c r="I245" i="21"/>
  <c r="I100" i="21"/>
  <c r="J100" i="21"/>
  <c r="I273" i="21"/>
  <c r="J273" i="21"/>
  <c r="J276" i="21"/>
  <c r="I276" i="21"/>
  <c r="I248" i="21"/>
  <c r="J248" i="21"/>
  <c r="I236" i="21"/>
  <c r="J236" i="21"/>
  <c r="I107" i="21"/>
  <c r="J107" i="21"/>
  <c r="J91" i="21"/>
  <c r="I91" i="21"/>
  <c r="J270" i="21"/>
  <c r="I270" i="21"/>
  <c r="I112" i="21"/>
  <c r="J112" i="21"/>
  <c r="J97" i="21"/>
  <c r="I97" i="21"/>
  <c r="I161" i="21"/>
  <c r="J161" i="21"/>
  <c r="J247" i="21"/>
  <c r="I247" i="21"/>
  <c r="J157" i="21"/>
  <c r="I157" i="21"/>
  <c r="I98" i="21"/>
  <c r="I253" i="21"/>
  <c r="J253" i="21"/>
  <c r="J257" i="21"/>
  <c r="I257" i="21"/>
  <c r="J118" i="21"/>
  <c r="I118" i="21"/>
  <c r="I150" i="21"/>
  <c r="J150" i="21"/>
  <c r="I269" i="21"/>
  <c r="J269" i="21"/>
  <c r="J249" i="21"/>
  <c r="I249" i="21"/>
  <c r="J241" i="21"/>
  <c r="I241" i="21"/>
  <c r="J88" i="21"/>
  <c r="I88" i="21"/>
  <c r="I272" i="21"/>
  <c r="J272" i="21"/>
  <c r="I244" i="21"/>
  <c r="J244" i="21"/>
  <c r="J158" i="21"/>
  <c r="I158" i="21"/>
  <c r="I103" i="21"/>
  <c r="J103" i="21"/>
  <c r="I87" i="21"/>
  <c r="J87" i="21"/>
  <c r="J285" i="21"/>
  <c r="I285" i="21"/>
  <c r="I250" i="21"/>
  <c r="J250" i="21"/>
  <c r="J238" i="21"/>
  <c r="I238" i="21"/>
  <c r="I109" i="21"/>
  <c r="J109" i="21"/>
  <c r="J93" i="21"/>
  <c r="I93" i="21"/>
  <c r="J243" i="21"/>
  <c r="I243" i="21"/>
  <c r="J110" i="21"/>
  <c r="I110" i="21"/>
  <c r="I94" i="21"/>
  <c r="J94" i="21"/>
  <c r="J255" i="21"/>
  <c r="I255" i="21"/>
  <c r="I117" i="21"/>
  <c r="J117" i="21"/>
  <c r="J121" i="21"/>
  <c r="I121" i="21"/>
  <c r="J256" i="21"/>
  <c r="I256" i="21"/>
  <c r="L395" i="9"/>
  <c r="G395" i="9" s="1"/>
  <c r="F70" i="6" s="1"/>
  <c r="G9" i="4" s="1"/>
  <c r="D265" i="7"/>
  <c r="G265" i="7"/>
  <c r="K48" i="18"/>
  <c r="L48" i="18"/>
  <c r="N30" i="23"/>
  <c r="N31" i="23" s="1"/>
  <c r="N59" i="23"/>
  <c r="N55" i="23"/>
  <c r="E49" i="18"/>
  <c r="E50" i="18" s="1"/>
  <c r="T55" i="35"/>
  <c r="D173" i="7"/>
  <c r="C278" i="7" s="1"/>
  <c r="I46" i="4"/>
  <c r="N113" i="9"/>
  <c r="A27" i="34"/>
  <c r="I9" i="34"/>
  <c r="H8" i="34"/>
  <c r="I28" i="34"/>
  <c r="J22" i="34"/>
  <c r="M9" i="5"/>
  <c r="L264" i="9"/>
  <c r="G264" i="9" s="1"/>
  <c r="F71" i="6" s="1"/>
  <c r="I71" i="6" s="1"/>
  <c r="H175" i="7"/>
  <c r="I175" i="7" s="1"/>
  <c r="L113" i="9"/>
  <c r="G113" i="9" s="1"/>
  <c r="F72" i="6" s="1"/>
  <c r="G12" i="4" s="1"/>
  <c r="G17" i="36" s="1"/>
  <c r="H17" i="36" s="1"/>
  <c r="H41" i="13"/>
  <c r="K51" i="14"/>
  <c r="K53" i="14" s="1"/>
  <c r="K59" i="14" s="1"/>
  <c r="L47" i="6"/>
  <c r="L49" i="14"/>
  <c r="M39" i="14" s="1"/>
  <c r="G110" i="15"/>
  <c r="H171" i="7"/>
  <c r="E19" i="23"/>
  <c r="E40" i="23" s="1"/>
  <c r="E45" i="23"/>
  <c r="E51" i="23" s="1"/>
  <c r="K30" i="4"/>
  <c r="M13" i="5"/>
  <c r="G35" i="23"/>
  <c r="G46" i="2"/>
  <c r="G48" i="2" s="1"/>
  <c r="J102" i="21" l="1"/>
  <c r="I160" i="21"/>
  <c r="I119" i="21"/>
  <c r="I126" i="21"/>
  <c r="H9" i="4"/>
  <c r="I9" i="4" s="1"/>
  <c r="J9" i="4" s="1"/>
  <c r="K9" i="4" s="1"/>
  <c r="L9" i="4" s="1"/>
  <c r="M9" i="4" s="1"/>
  <c r="N9" i="4" s="1"/>
  <c r="O9" i="4" s="1"/>
  <c r="P9" i="4" s="1"/>
  <c r="Q9" i="4" s="1"/>
  <c r="G14" i="36"/>
  <c r="H53" i="13"/>
  <c r="S93" i="36"/>
  <c r="S94" i="36" s="1"/>
  <c r="R94" i="36"/>
  <c r="N61" i="13"/>
  <c r="H73" i="15"/>
  <c r="H75" i="15" s="1"/>
  <c r="G178" i="7"/>
  <c r="G127" i="15" s="1"/>
  <c r="J73" i="15"/>
  <c r="J75" i="15" s="1"/>
  <c r="G10" i="23" s="1"/>
  <c r="I131" i="21"/>
  <c r="J131" i="21"/>
  <c r="J164" i="21"/>
  <c r="I164" i="21"/>
  <c r="I163" i="21"/>
  <c r="J163" i="21"/>
  <c r="I127" i="21"/>
  <c r="J127" i="21"/>
  <c r="I259" i="21"/>
  <c r="J259" i="21"/>
  <c r="J165" i="21"/>
  <c r="I165" i="21"/>
  <c r="J130" i="21"/>
  <c r="I130" i="21"/>
  <c r="J162" i="21"/>
  <c r="I162" i="21"/>
  <c r="I288" i="21"/>
  <c r="J288" i="21"/>
  <c r="J260" i="21"/>
  <c r="I260" i="21"/>
  <c r="I133" i="21"/>
  <c r="J133" i="21"/>
  <c r="I286" i="21"/>
  <c r="J286" i="21"/>
  <c r="J258" i="21"/>
  <c r="I258" i="21"/>
  <c r="J128" i="21"/>
  <c r="I128" i="21"/>
  <c r="J134" i="21"/>
  <c r="I134" i="21"/>
  <c r="J287" i="21"/>
  <c r="I287" i="21"/>
  <c r="I129" i="21"/>
  <c r="J129" i="21"/>
  <c r="J132" i="21"/>
  <c r="I132" i="21"/>
  <c r="L70" i="15"/>
  <c r="M70" i="15" s="1"/>
  <c r="K73" i="15"/>
  <c r="K75" i="15" s="1"/>
  <c r="H10" i="23" s="1"/>
  <c r="H70" i="6"/>
  <c r="I70" i="6"/>
  <c r="G70" i="6"/>
  <c r="J70" i="6"/>
  <c r="D264" i="7"/>
  <c r="G264" i="7"/>
  <c r="T56" i="35"/>
  <c r="E173" i="7"/>
  <c r="G45" i="15" s="1"/>
  <c r="E264" i="7"/>
  <c r="C279" i="7"/>
  <c r="J9" i="34"/>
  <c r="I10" i="34"/>
  <c r="J28" i="34"/>
  <c r="K22" i="34"/>
  <c r="N9" i="5"/>
  <c r="G71" i="6"/>
  <c r="H71" i="6"/>
  <c r="J71" i="6"/>
  <c r="N11" i="13"/>
  <c r="N13" i="13" s="1"/>
  <c r="G11" i="4"/>
  <c r="H178" i="7"/>
  <c r="I72" i="6"/>
  <c r="J72" i="6"/>
  <c r="G72" i="6"/>
  <c r="H72" i="6"/>
  <c r="H12" i="4"/>
  <c r="L51" i="14"/>
  <c r="L53" i="14" s="1"/>
  <c r="L59" i="14" s="1"/>
  <c r="M49" i="14"/>
  <c r="N39" i="14" s="1"/>
  <c r="H172" i="7"/>
  <c r="I171" i="7"/>
  <c r="H110" i="15"/>
  <c r="E55" i="23"/>
  <c r="E61" i="23"/>
  <c r="J175" i="7"/>
  <c r="I178" i="7"/>
  <c r="L30" i="4"/>
  <c r="N13" i="5"/>
  <c r="M176" i="7"/>
  <c r="I290" i="21" l="1"/>
  <c r="E8" i="19"/>
  <c r="G8" i="19" s="1"/>
  <c r="H11" i="4"/>
  <c r="E10" i="19" s="1"/>
  <c r="G10" i="19" s="1"/>
  <c r="G16" i="36"/>
  <c r="H16" i="36" s="1"/>
  <c r="H14" i="36"/>
  <c r="G45" i="36"/>
  <c r="J290" i="21"/>
  <c r="J292" i="21" s="1"/>
  <c r="G45" i="19" s="1"/>
  <c r="H179" i="7"/>
  <c r="L73" i="15"/>
  <c r="L75" i="15" s="1"/>
  <c r="I10" i="23" s="1"/>
  <c r="D263" i="7"/>
  <c r="G263" i="7"/>
  <c r="H263" i="7" s="1"/>
  <c r="T57" i="35"/>
  <c r="F264" i="7"/>
  <c r="F265" i="7" s="1"/>
  <c r="D67" i="35"/>
  <c r="N67" i="35" s="1"/>
  <c r="F127" i="15"/>
  <c r="F173" i="7"/>
  <c r="K9" i="34"/>
  <c r="L9" i="34" s="1"/>
  <c r="M9" i="34" s="1"/>
  <c r="N9" i="34" s="1"/>
  <c r="K28" i="34"/>
  <c r="O9" i="5"/>
  <c r="H127" i="15"/>
  <c r="G40" i="4"/>
  <c r="I12" i="4"/>
  <c r="E11" i="19"/>
  <c r="G11" i="19" s="1"/>
  <c r="N49" i="14"/>
  <c r="O39" i="14" s="1"/>
  <c r="M51" i="14"/>
  <c r="M53" i="14" s="1"/>
  <c r="M59" i="14" s="1"/>
  <c r="I110" i="15"/>
  <c r="I172" i="7"/>
  <c r="J171" i="7"/>
  <c r="M30" i="4"/>
  <c r="K175" i="7"/>
  <c r="J178" i="7"/>
  <c r="I179" i="7"/>
  <c r="I127" i="15"/>
  <c r="R9" i="4"/>
  <c r="O13" i="5"/>
  <c r="N176" i="7"/>
  <c r="H40" i="4" l="1"/>
  <c r="I11" i="4"/>
  <c r="J11" i="4" s="1"/>
  <c r="K11" i="4" s="1"/>
  <c r="L11" i="4" s="1"/>
  <c r="M11" i="4" s="1"/>
  <c r="N11" i="4" s="1"/>
  <c r="O11" i="4" s="1"/>
  <c r="P11" i="4" s="1"/>
  <c r="Q11" i="4" s="1"/>
  <c r="R11" i="4" s="1"/>
  <c r="G44" i="19"/>
  <c r="G47" i="19" s="1"/>
  <c r="G49" i="19" s="1"/>
  <c r="H45" i="36"/>
  <c r="N70" i="15"/>
  <c r="M73" i="15"/>
  <c r="M75" i="15" s="1"/>
  <c r="J10" i="23" s="1"/>
  <c r="D262" i="7"/>
  <c r="G262" i="7"/>
  <c r="H262" i="7" s="1"/>
  <c r="H264" i="7"/>
  <c r="I264" i="7" s="1"/>
  <c r="J264" i="7" s="1"/>
  <c r="D76" i="35"/>
  <c r="T58" i="35"/>
  <c r="P67" i="35"/>
  <c r="D75" i="35"/>
  <c r="B232" i="35" s="1"/>
  <c r="E67" i="35"/>
  <c r="D12" i="35" s="1"/>
  <c r="E139" i="35"/>
  <c r="O67" i="35" s="1"/>
  <c r="L67" i="35"/>
  <c r="L10" i="35" s="1"/>
  <c r="J67" i="35"/>
  <c r="G67" i="35"/>
  <c r="F266" i="7"/>
  <c r="H265" i="7"/>
  <c r="P9" i="5"/>
  <c r="G10" i="13"/>
  <c r="H10" i="13" s="1"/>
  <c r="F24" i="23"/>
  <c r="F25" i="23" s="1"/>
  <c r="E39" i="19"/>
  <c r="G39" i="19"/>
  <c r="G41" i="19" s="1"/>
  <c r="J12" i="4"/>
  <c r="N51" i="14"/>
  <c r="N53" i="14" s="1"/>
  <c r="N59" i="14" s="1"/>
  <c r="O49" i="14"/>
  <c r="P39" i="14" s="1"/>
  <c r="J172" i="7"/>
  <c r="J110" i="15"/>
  <c r="K171" i="7"/>
  <c r="L175" i="7"/>
  <c r="K178" i="7"/>
  <c r="J179" i="7"/>
  <c r="J127" i="15"/>
  <c r="N30" i="4"/>
  <c r="O176" i="7"/>
  <c r="P13" i="5"/>
  <c r="G51" i="19" l="1"/>
  <c r="A30" i="34"/>
  <c r="I40" i="4"/>
  <c r="E45" i="18" s="1"/>
  <c r="E52" i="18" s="1"/>
  <c r="O70" i="15"/>
  <c r="P70" i="15" s="1"/>
  <c r="N73" i="15"/>
  <c r="N75" i="15" s="1"/>
  <c r="K10" i="23" s="1"/>
  <c r="I265" i="7"/>
  <c r="J265" i="7" s="1"/>
  <c r="I263" i="7"/>
  <c r="J263" i="7" s="1"/>
  <c r="D261" i="7"/>
  <c r="G261" i="7"/>
  <c r="H261" i="7" s="1"/>
  <c r="I262" i="7" s="1"/>
  <c r="J262" i="7" s="1"/>
  <c r="T59" i="35"/>
  <c r="U58" i="35"/>
  <c r="B149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M154" i="35"/>
  <c r="L154" i="35"/>
  <c r="O154" i="35"/>
  <c r="N155" i="35"/>
  <c r="M156" i="35"/>
  <c r="N156" i="35"/>
  <c r="M203" i="35"/>
  <c r="P203" i="35"/>
  <c r="L203" i="35"/>
  <c r="N154" i="35"/>
  <c r="K154" i="35"/>
  <c r="M155" i="35"/>
  <c r="O203" i="35"/>
  <c r="K203" i="35"/>
  <c r="N203" i="35"/>
  <c r="J203" i="35"/>
  <c r="L156" i="35"/>
  <c r="M158" i="35"/>
  <c r="M162" i="35"/>
  <c r="K156" i="35"/>
  <c r="M160" i="35"/>
  <c r="N166" i="35"/>
  <c r="M172" i="35"/>
  <c r="M176" i="35"/>
  <c r="M180" i="35"/>
  <c r="M184" i="35"/>
  <c r="L212" i="35"/>
  <c r="K158" i="35"/>
  <c r="K162" i="35"/>
  <c r="O156" i="35"/>
  <c r="K160" i="35"/>
  <c r="L166" i="35"/>
  <c r="K172" i="35"/>
  <c r="K176" i="35"/>
  <c r="K180" i="35"/>
  <c r="K184" i="35"/>
  <c r="O155" i="35"/>
  <c r="N189" i="35"/>
  <c r="M204" i="35"/>
  <c r="L199" i="35"/>
  <c r="L191" i="35"/>
  <c r="L183" i="35"/>
  <c r="L175" i="35"/>
  <c r="M210" i="35"/>
  <c r="L201" i="35"/>
  <c r="L193" i="35"/>
  <c r="N211" i="35"/>
  <c r="M207" i="35"/>
  <c r="L204" i="35"/>
  <c r="L200" i="35"/>
  <c r="L196" i="35"/>
  <c r="L192" i="35"/>
  <c r="L188" i="35"/>
  <c r="L184" i="35"/>
  <c r="L180" i="35"/>
  <c r="L176" i="35"/>
  <c r="L172" i="35"/>
  <c r="N162" i="35"/>
  <c r="N158" i="35"/>
  <c r="N208" i="35"/>
  <c r="N195" i="35"/>
  <c r="N187" i="35"/>
  <c r="L181" i="35"/>
  <c r="N177" i="35"/>
  <c r="N175" i="35"/>
  <c r="K171" i="35"/>
  <c r="M169" i="35"/>
  <c r="N165" i="35"/>
  <c r="L163" i="35"/>
  <c r="L157" i="35"/>
  <c r="L155" i="35"/>
  <c r="O195" i="35"/>
  <c r="O202" i="35"/>
  <c r="O186" i="35"/>
  <c r="O170" i="35"/>
  <c r="O208" i="35"/>
  <c r="O177" i="35"/>
  <c r="O161" i="35"/>
  <c r="M212" i="35"/>
  <c r="M179" i="35"/>
  <c r="O210" i="35"/>
  <c r="O204" i="35"/>
  <c r="O188" i="35"/>
  <c r="O172" i="35"/>
  <c r="O175" i="35"/>
  <c r="M205" i="35"/>
  <c r="K202" i="35"/>
  <c r="K194" i="35"/>
  <c r="K186" i="35"/>
  <c r="K178" i="35"/>
  <c r="N170" i="35"/>
  <c r="M166" i="35"/>
  <c r="K181" i="35"/>
  <c r="M199" i="35"/>
  <c r="M183" i="35"/>
  <c r="N201" i="35"/>
  <c r="N164" i="35"/>
  <c r="K165" i="35"/>
  <c r="N159" i="35"/>
  <c r="N197" i="35"/>
  <c r="M196" i="35"/>
  <c r="O171" i="35"/>
  <c r="K192" i="35"/>
  <c r="O185" i="35"/>
  <c r="J154" i="35"/>
  <c r="L189" i="35"/>
  <c r="L211" i="35"/>
  <c r="L207" i="35"/>
  <c r="M201" i="35"/>
  <c r="M193" i="35"/>
  <c r="K185" i="35"/>
  <c r="M209" i="35"/>
  <c r="K207" i="35"/>
  <c r="L202" i="35"/>
  <c r="L198" i="35"/>
  <c r="L194" i="35"/>
  <c r="L190" i="35"/>
  <c r="L186" i="35"/>
  <c r="L182" i="35"/>
  <c r="L178" i="35"/>
  <c r="L174" i="35"/>
  <c r="M170" i="35"/>
  <c r="N160" i="35"/>
  <c r="K212" i="35"/>
  <c r="K199" i="35"/>
  <c r="K191" i="35"/>
  <c r="K183" i="35"/>
  <c r="M181" i="35"/>
  <c r="L177" i="35"/>
  <c r="N173" i="35"/>
  <c r="N171" i="35"/>
  <c r="N167" i="35"/>
  <c r="L165" i="35"/>
  <c r="M163" i="35"/>
  <c r="K157" i="35"/>
  <c r="O205" i="35"/>
  <c r="O207" i="35"/>
  <c r="O190" i="35"/>
  <c r="O174" i="35"/>
  <c r="O158" i="35"/>
  <c r="O181" i="35"/>
  <c r="O165" i="35"/>
  <c r="K193" i="35"/>
  <c r="M185" i="35"/>
  <c r="M195" i="35"/>
  <c r="M171" i="35"/>
  <c r="O183" i="35"/>
  <c r="O192" i="35"/>
  <c r="O176" i="35"/>
  <c r="O193" i="35"/>
  <c r="O159" i="35"/>
  <c r="M202" i="35"/>
  <c r="M194" i="35"/>
  <c r="M186" i="35"/>
  <c r="M178" i="35"/>
  <c r="L170" i="35"/>
  <c r="K166" i="35"/>
  <c r="K208" i="35"/>
  <c r="M175" i="35"/>
  <c r="M159" i="35"/>
  <c r="N210" i="35"/>
  <c r="L168" i="35"/>
  <c r="K167" i="35"/>
  <c r="L161" i="35"/>
  <c r="N205" i="35"/>
  <c r="K200" i="35"/>
  <c r="M188" i="35"/>
  <c r="O164" i="35"/>
  <c r="K177" i="35"/>
  <c r="J155" i="35"/>
  <c r="N185" i="35"/>
  <c r="M208" i="35"/>
  <c r="L195" i="35"/>
  <c r="L187" i="35"/>
  <c r="L179" i="35"/>
  <c r="L171" i="35"/>
  <c r="L205" i="35"/>
  <c r="M197" i="35"/>
  <c r="M211" i="35"/>
  <c r="K209" i="35"/>
  <c r="N207" i="35"/>
  <c r="N202" i="35"/>
  <c r="N198" i="35"/>
  <c r="N194" i="35"/>
  <c r="N190" i="35"/>
  <c r="N186" i="35"/>
  <c r="N182" i="35"/>
  <c r="N178" i="35"/>
  <c r="N174" i="35"/>
  <c r="K170" i="35"/>
  <c r="L160" i="35"/>
  <c r="N212" i="35"/>
  <c r="N199" i="35"/>
  <c r="N191" i="35"/>
  <c r="N183" i="35"/>
  <c r="K179" i="35"/>
  <c r="M177" i="35"/>
  <c r="L173" i="35"/>
  <c r="N169" i="35"/>
  <c r="L167" i="35"/>
  <c r="M165" i="35"/>
  <c r="K161" i="35"/>
  <c r="J157" i="35"/>
  <c r="N157" i="35"/>
  <c r="O211" i="35"/>
  <c r="O194" i="35"/>
  <c r="O178" i="35"/>
  <c r="O162" i="35"/>
  <c r="O189" i="35"/>
  <c r="O169" i="35"/>
  <c r="K201" i="35"/>
  <c r="O191" i="35"/>
  <c r="O196" i="35"/>
  <c r="O180" i="35"/>
  <c r="O201" i="35"/>
  <c r="O163" i="35"/>
  <c r="K197" i="35"/>
  <c r="K198" i="35"/>
  <c r="K190" i="35"/>
  <c r="K182" i="35"/>
  <c r="K174" i="35"/>
  <c r="M168" i="35"/>
  <c r="K164" i="35"/>
  <c r="M189" i="35"/>
  <c r="M191" i="35"/>
  <c r="L210" i="35"/>
  <c r="N168" i="35"/>
  <c r="K169" i="35"/>
  <c r="N161" i="35"/>
  <c r="K210" i="35"/>
  <c r="M200" i="35"/>
  <c r="O212" i="35"/>
  <c r="K196" i="35"/>
  <c r="K188" i="35"/>
  <c r="O168" i="35"/>
  <c r="J156" i="35"/>
  <c r="L185" i="35"/>
  <c r="L209" i="35"/>
  <c r="J170" i="35"/>
  <c r="L197" i="35"/>
  <c r="K189" i="35"/>
  <c r="K211" i="35"/>
  <c r="N209" i="35"/>
  <c r="N204" i="35"/>
  <c r="N200" i="35"/>
  <c r="N192" i="35"/>
  <c r="N188" i="35"/>
  <c r="N184" i="35"/>
  <c r="N180" i="35"/>
  <c r="N176" i="35"/>
  <c r="N172" i="35"/>
  <c r="L162" i="35"/>
  <c r="L158" i="35"/>
  <c r="L208" i="35"/>
  <c r="K195" i="35"/>
  <c r="K187" i="35"/>
  <c r="N181" i="35"/>
  <c r="N179" i="35"/>
  <c r="K175" i="35"/>
  <c r="M173" i="35"/>
  <c r="L169" i="35"/>
  <c r="M167" i="35"/>
  <c r="N163" i="35"/>
  <c r="K159" i="35"/>
  <c r="K155" i="35"/>
  <c r="O187" i="35"/>
  <c r="O198" i="35"/>
  <c r="O182" i="35"/>
  <c r="O166" i="35"/>
  <c r="O197" i="35"/>
  <c r="O173" i="35"/>
  <c r="O157" i="35"/>
  <c r="M187" i="35"/>
  <c r="O199" i="35"/>
  <c r="O200" i="35"/>
  <c r="O184" i="35"/>
  <c r="O160" i="35"/>
  <c r="O167" i="35"/>
  <c r="K205" i="35"/>
  <c r="M198" i="35"/>
  <c r="M190" i="35"/>
  <c r="M182" i="35"/>
  <c r="M174" i="35"/>
  <c r="K168" i="35"/>
  <c r="M164" i="35"/>
  <c r="K173" i="35"/>
  <c r="M161" i="35"/>
  <c r="M157" i="35"/>
  <c r="N193" i="35"/>
  <c r="L164" i="35"/>
  <c r="K163" i="35"/>
  <c r="L159" i="35"/>
  <c r="K204" i="35"/>
  <c r="M192" i="35"/>
  <c r="O209" i="35"/>
  <c r="O179" i="35"/>
  <c r="J204" i="35"/>
  <c r="J180" i="35"/>
  <c r="J197" i="35"/>
  <c r="J169" i="35"/>
  <c r="J207" i="35"/>
  <c r="J191" i="35"/>
  <c r="J175" i="35"/>
  <c r="J208" i="35"/>
  <c r="J167" i="35"/>
  <c r="J193" i="35"/>
  <c r="J164" i="35"/>
  <c r="J198" i="35"/>
  <c r="J182" i="35"/>
  <c r="J212" i="35"/>
  <c r="J184" i="35"/>
  <c r="J205" i="35"/>
  <c r="J177" i="35"/>
  <c r="J211" i="35"/>
  <c r="J187" i="35"/>
  <c r="J171" i="35"/>
  <c r="J196" i="35"/>
  <c r="J159" i="35"/>
  <c r="J185" i="35"/>
  <c r="J160" i="35"/>
  <c r="J194" i="35"/>
  <c r="J178" i="35"/>
  <c r="J162" i="35"/>
  <c r="J192" i="35"/>
  <c r="J163" i="35"/>
  <c r="J181" i="35"/>
  <c r="J161" i="35"/>
  <c r="J199" i="35"/>
  <c r="J183" i="35"/>
  <c r="J166" i="35"/>
  <c r="J188" i="35"/>
  <c r="J209" i="35"/>
  <c r="J173" i="35"/>
  <c r="J210" i="35"/>
  <c r="J190" i="35"/>
  <c r="J174" i="35"/>
  <c r="J200" i="35"/>
  <c r="J172" i="35"/>
  <c r="J189" i="35"/>
  <c r="J165" i="35"/>
  <c r="J195" i="35"/>
  <c r="J179" i="35"/>
  <c r="J158" i="35"/>
  <c r="J176" i="35"/>
  <c r="J201" i="35"/>
  <c r="J168" i="35"/>
  <c r="J202" i="35"/>
  <c r="J186" i="35"/>
  <c r="E147" i="35"/>
  <c r="K139" i="35"/>
  <c r="G206" i="35" s="1"/>
  <c r="G139" i="35"/>
  <c r="C206" i="35" s="1"/>
  <c r="G10" i="35"/>
  <c r="J139" i="35"/>
  <c r="F206" i="35" s="1"/>
  <c r="H139" i="35"/>
  <c r="D206" i="35" s="1"/>
  <c r="J10" i="35"/>
  <c r="Q67" i="35"/>
  <c r="P12" i="35"/>
  <c r="F139" i="35"/>
  <c r="B206" i="35" s="1"/>
  <c r="I139" i="35"/>
  <c r="E206" i="35" s="1"/>
  <c r="F267" i="7"/>
  <c r="H266" i="7"/>
  <c r="I266" i="7" s="1"/>
  <c r="J266" i="7" s="1"/>
  <c r="Q9" i="5"/>
  <c r="G13" i="13"/>
  <c r="N14" i="13"/>
  <c r="H13" i="13"/>
  <c r="E21" i="29"/>
  <c r="E25" i="29" s="1"/>
  <c r="H52" i="13"/>
  <c r="H41" i="4"/>
  <c r="F37" i="23"/>
  <c r="F38" i="23" s="1"/>
  <c r="F49" i="23"/>
  <c r="K12" i="4"/>
  <c r="J40" i="4"/>
  <c r="G24" i="23"/>
  <c r="G25" i="23" s="1"/>
  <c r="G40" i="19"/>
  <c r="O51" i="14"/>
  <c r="O53" i="14" s="1"/>
  <c r="O59" i="14" s="1"/>
  <c r="P49" i="14"/>
  <c r="Q39" i="14" s="1"/>
  <c r="K110" i="15"/>
  <c r="L171" i="7"/>
  <c r="K172" i="7"/>
  <c r="M175" i="7"/>
  <c r="L178" i="7"/>
  <c r="O30" i="4"/>
  <c r="K179" i="7"/>
  <c r="K127" i="15"/>
  <c r="P176" i="7"/>
  <c r="Q13" i="5"/>
  <c r="I18" i="34" l="1"/>
  <c r="A28" i="34"/>
  <c r="O73" i="15"/>
  <c r="O75" i="15" s="1"/>
  <c r="L10" i="23" s="1"/>
  <c r="D260" i="7"/>
  <c r="G260" i="7"/>
  <c r="H260" i="7" s="1"/>
  <c r="T60" i="35"/>
  <c r="U59" i="35"/>
  <c r="B214" i="35"/>
  <c r="J206" i="35"/>
  <c r="E214" i="35"/>
  <c r="M206" i="35"/>
  <c r="D214" i="35"/>
  <c r="L206" i="35"/>
  <c r="C214" i="35"/>
  <c r="K206" i="35"/>
  <c r="G214" i="35"/>
  <c r="O206" i="35"/>
  <c r="N206" i="35"/>
  <c r="F268" i="7"/>
  <c r="H267" i="7"/>
  <c r="I267" i="7" s="1"/>
  <c r="J267" i="7" s="1"/>
  <c r="A11" i="34"/>
  <c r="G52" i="4"/>
  <c r="G16" i="13" s="1"/>
  <c r="G18" i="13" s="1"/>
  <c r="G18" i="5"/>
  <c r="H11" i="5"/>
  <c r="H18" i="5" s="1"/>
  <c r="F14" i="23" s="1"/>
  <c r="U11" i="13"/>
  <c r="R9" i="5"/>
  <c r="F45" i="18"/>
  <c r="H24" i="23"/>
  <c r="H25" i="23" s="1"/>
  <c r="G49" i="23"/>
  <c r="G37" i="23"/>
  <c r="G38" i="23" s="1"/>
  <c r="H39" i="13"/>
  <c r="K40" i="4"/>
  <c r="L12" i="4"/>
  <c r="Q49" i="14"/>
  <c r="Q51" i="14" s="1"/>
  <c r="Q53" i="14" s="1"/>
  <c r="Q59" i="14" s="1"/>
  <c r="P51" i="14"/>
  <c r="P53" i="14" s="1"/>
  <c r="P59" i="14" s="1"/>
  <c r="M171" i="7"/>
  <c r="L172" i="7"/>
  <c r="L110" i="15"/>
  <c r="N175" i="7"/>
  <c r="M178" i="7"/>
  <c r="P30" i="4"/>
  <c r="L179" i="7"/>
  <c r="L127" i="15"/>
  <c r="R13" i="5"/>
  <c r="I14" i="34" l="1"/>
  <c r="J14" i="34" s="1"/>
  <c r="I20" i="34"/>
  <c r="I23" i="34" s="1"/>
  <c r="Q70" i="15"/>
  <c r="P73" i="15"/>
  <c r="P75" i="15" s="1"/>
  <c r="M10" i="23" s="1"/>
  <c r="I261" i="7"/>
  <c r="J261" i="7" s="1"/>
  <c r="D259" i="7"/>
  <c r="G259" i="7"/>
  <c r="H259" i="7" s="1"/>
  <c r="I260" i="7" s="1"/>
  <c r="J260" i="7" s="1"/>
  <c r="T61" i="35"/>
  <c r="U60" i="35"/>
  <c r="L214" i="35"/>
  <c r="K214" i="35"/>
  <c r="O214" i="35"/>
  <c r="J214" i="35"/>
  <c r="M214" i="35"/>
  <c r="F269" i="7"/>
  <c r="H268" i="7"/>
  <c r="I268" i="7" s="1"/>
  <c r="J268" i="7" s="1"/>
  <c r="H81" i="6"/>
  <c r="H129" i="6" s="1"/>
  <c r="J81" i="6"/>
  <c r="J129" i="6" s="1"/>
  <c r="I81" i="6"/>
  <c r="I129" i="6" s="1"/>
  <c r="G81" i="6"/>
  <c r="G129" i="6" s="1"/>
  <c r="F129" i="6"/>
  <c r="F131" i="6" s="1"/>
  <c r="H52" i="4"/>
  <c r="G26" i="13"/>
  <c r="G55" i="4"/>
  <c r="G64" i="4" s="1"/>
  <c r="F15" i="23"/>
  <c r="E15" i="29" s="1"/>
  <c r="L40" i="4"/>
  <c r="M12" i="4"/>
  <c r="H49" i="23"/>
  <c r="F46" i="18"/>
  <c r="I24" i="23"/>
  <c r="I25" i="23" s="1"/>
  <c r="G45" i="18"/>
  <c r="M110" i="15"/>
  <c r="M172" i="7"/>
  <c r="N171" i="7"/>
  <c r="O175" i="7"/>
  <c r="N178" i="7"/>
  <c r="M179" i="7"/>
  <c r="M127" i="15"/>
  <c r="Q30" i="4"/>
  <c r="I36" i="34" l="1"/>
  <c r="I27" i="34"/>
  <c r="I33" i="34" s="1"/>
  <c r="K14" i="34"/>
  <c r="J18" i="34"/>
  <c r="R70" i="15"/>
  <c r="S70" i="15" s="1"/>
  <c r="Q73" i="15"/>
  <c r="Q75" i="15" s="1"/>
  <c r="N10" i="23" s="1"/>
  <c r="D258" i="7"/>
  <c r="G258" i="7"/>
  <c r="H258" i="7" s="1"/>
  <c r="T62" i="35"/>
  <c r="U61" i="35"/>
  <c r="F270" i="7"/>
  <c r="H270" i="7" s="1"/>
  <c r="H269" i="7"/>
  <c r="I269" i="7" s="1"/>
  <c r="J269" i="7" s="1"/>
  <c r="H16" i="13"/>
  <c r="A12" i="34" s="1"/>
  <c r="A16" i="34" s="1"/>
  <c r="H55" i="4"/>
  <c r="H64" i="4" s="1"/>
  <c r="J131" i="6"/>
  <c r="B10" i="18"/>
  <c r="B9" i="18"/>
  <c r="I131" i="6"/>
  <c r="B8" i="18"/>
  <c r="H131" i="6"/>
  <c r="G131" i="6"/>
  <c r="B7" i="18"/>
  <c r="G46" i="18"/>
  <c r="M40" i="4"/>
  <c r="N12" i="4"/>
  <c r="H45" i="18"/>
  <c r="J24" i="23"/>
  <c r="J25" i="23" s="1"/>
  <c r="I49" i="23"/>
  <c r="O171" i="7"/>
  <c r="N172" i="7"/>
  <c r="N110" i="15"/>
  <c r="P175" i="7"/>
  <c r="P178" i="7" s="1"/>
  <c r="O178" i="7"/>
  <c r="N127" i="15"/>
  <c r="N179" i="7"/>
  <c r="R30" i="4"/>
  <c r="L14" i="34" l="1"/>
  <c r="K18" i="34"/>
  <c r="I34" i="34"/>
  <c r="J7" i="34" s="1"/>
  <c r="J10" i="34" s="1"/>
  <c r="J20" i="34" s="1"/>
  <c r="J23" i="34" s="1"/>
  <c r="J25" i="34"/>
  <c r="S73" i="15"/>
  <c r="S75" i="15" s="1"/>
  <c r="P10" i="23" s="1"/>
  <c r="R73" i="15"/>
  <c r="R75" i="15" s="1"/>
  <c r="O10" i="23" s="1"/>
  <c r="I259" i="7"/>
  <c r="J259" i="7" s="1"/>
  <c r="D257" i="7"/>
  <c r="G257" i="7"/>
  <c r="H257" i="7" s="1"/>
  <c r="I258" i="7" s="1"/>
  <c r="J258" i="7" s="1"/>
  <c r="T63" i="35"/>
  <c r="U62" i="35"/>
  <c r="I270" i="7"/>
  <c r="J270" i="7" s="1"/>
  <c r="A20" i="34"/>
  <c r="A18" i="34"/>
  <c r="A19" i="34" s="1"/>
  <c r="L131" i="6"/>
  <c r="H42" i="13"/>
  <c r="H43" i="13" s="1"/>
  <c r="H51" i="13"/>
  <c r="H55" i="13" s="1"/>
  <c r="H57" i="13" s="1"/>
  <c r="H58" i="13" s="1"/>
  <c r="H18" i="13"/>
  <c r="H26" i="13" s="1"/>
  <c r="H20" i="15" s="1"/>
  <c r="C17" i="18"/>
  <c r="B12" i="18"/>
  <c r="B13" i="18" s="1"/>
  <c r="D17" i="18"/>
  <c r="C20" i="18"/>
  <c r="D20" i="18"/>
  <c r="E41" i="18" s="1"/>
  <c r="C19" i="18"/>
  <c r="D19" i="18"/>
  <c r="E40" i="18" s="1"/>
  <c r="F40" i="18" s="1"/>
  <c r="G40" i="18" s="1"/>
  <c r="D18" i="18"/>
  <c r="E39" i="18" s="1"/>
  <c r="F39" i="18" s="1"/>
  <c r="G39" i="18" s="1"/>
  <c r="C18" i="18"/>
  <c r="I45" i="18"/>
  <c r="K24" i="23"/>
  <c r="K25" i="23" s="1"/>
  <c r="H46" i="18"/>
  <c r="O12" i="4"/>
  <c r="N40" i="4"/>
  <c r="J49" i="23"/>
  <c r="F55" i="23"/>
  <c r="O110" i="15"/>
  <c r="O172" i="7"/>
  <c r="P171" i="7"/>
  <c r="O127" i="15"/>
  <c r="O179" i="7"/>
  <c r="P179" i="7"/>
  <c r="P127" i="15"/>
  <c r="M14" i="34" l="1"/>
  <c r="L18" i="34"/>
  <c r="J36" i="34"/>
  <c r="J27" i="34"/>
  <c r="K29" i="34" s="1"/>
  <c r="L22" i="34" s="1"/>
  <c r="L28" i="34" s="1"/>
  <c r="F132" i="6"/>
  <c r="D256" i="7"/>
  <c r="G256" i="7"/>
  <c r="H256" i="7" s="1"/>
  <c r="H65" i="4"/>
  <c r="D11" i="35"/>
  <c r="T64" i="35"/>
  <c r="U63" i="35"/>
  <c r="G108" i="15"/>
  <c r="G112" i="15" s="1"/>
  <c r="F41" i="18"/>
  <c r="D22" i="18"/>
  <c r="F108" i="15" s="1"/>
  <c r="C22" i="18"/>
  <c r="F125" i="15" s="1"/>
  <c r="I46" i="18"/>
  <c r="K49" i="23"/>
  <c r="H39" i="18"/>
  <c r="O40" i="4"/>
  <c r="P12" i="4"/>
  <c r="L24" i="23"/>
  <c r="L25" i="23" s="1"/>
  <c r="J45" i="18"/>
  <c r="H40" i="18"/>
  <c r="P110" i="15"/>
  <c r="P172" i="7"/>
  <c r="M18" i="34" l="1"/>
  <c r="N14" i="34"/>
  <c r="N18" i="34" s="1"/>
  <c r="J33" i="34"/>
  <c r="H36" i="13"/>
  <c r="E6" i="29" s="1"/>
  <c r="G9" i="36"/>
  <c r="D255" i="7"/>
  <c r="G255" i="7"/>
  <c r="H255" i="7" s="1"/>
  <c r="I257" i="7"/>
  <c r="J257" i="7" s="1"/>
  <c r="R11" i="35"/>
  <c r="R8" i="35" s="1"/>
  <c r="J9" i="35"/>
  <c r="N12" i="35" s="1"/>
  <c r="L9" i="35"/>
  <c r="P11" i="35" s="1"/>
  <c r="G9" i="35"/>
  <c r="T65" i="35"/>
  <c r="U64" i="35"/>
  <c r="G41" i="18"/>
  <c r="H108" i="15"/>
  <c r="H112" i="15" s="1"/>
  <c r="F114" i="15"/>
  <c r="F139" i="15"/>
  <c r="F112" i="15"/>
  <c r="F129" i="15"/>
  <c r="F131" i="15"/>
  <c r="H22" i="15"/>
  <c r="H26" i="15" s="1"/>
  <c r="H28" i="15" s="1"/>
  <c r="H51" i="15"/>
  <c r="P40" i="4"/>
  <c r="Q12" i="4"/>
  <c r="J46" i="18"/>
  <c r="I40" i="18"/>
  <c r="K45" i="18"/>
  <c r="M24" i="23"/>
  <c r="M25" i="23" s="1"/>
  <c r="I39" i="18"/>
  <c r="L49" i="23"/>
  <c r="K25" i="34" l="1"/>
  <c r="J34" i="34"/>
  <c r="K7" i="34" s="1"/>
  <c r="K10" i="34" s="1"/>
  <c r="K20" i="34" s="1"/>
  <c r="K23" i="34" s="1"/>
  <c r="G11" i="36"/>
  <c r="G47" i="36" s="1"/>
  <c r="G51" i="36" s="1"/>
  <c r="G61" i="36" s="1"/>
  <c r="G68" i="36" s="1"/>
  <c r="H9" i="36"/>
  <c r="H11" i="36" s="1"/>
  <c r="H47" i="36" s="1"/>
  <c r="H51" i="36" s="1"/>
  <c r="H61" i="36" s="1"/>
  <c r="H68" i="36" s="1"/>
  <c r="D254" i="7"/>
  <c r="G254" i="7"/>
  <c r="H254" i="7" s="1"/>
  <c r="I255" i="7" s="1"/>
  <c r="J255" i="7" s="1"/>
  <c r="I256" i="7"/>
  <c r="J256" i="7" s="1"/>
  <c r="R71" i="35"/>
  <c r="L143" i="35" s="1"/>
  <c r="H210" i="35" s="1"/>
  <c r="P210" i="35" s="1"/>
  <c r="R67" i="35"/>
  <c r="L139" i="35" s="1"/>
  <c r="H206" i="35" s="1"/>
  <c r="P206" i="35" s="1"/>
  <c r="R63" i="35"/>
  <c r="L135" i="35" s="1"/>
  <c r="H202" i="35" s="1"/>
  <c r="P202" i="35" s="1"/>
  <c r="R59" i="35"/>
  <c r="L131" i="35" s="1"/>
  <c r="H198" i="35" s="1"/>
  <c r="P198" i="35" s="1"/>
  <c r="R55" i="35"/>
  <c r="L127" i="35" s="1"/>
  <c r="H194" i="35" s="1"/>
  <c r="P194" i="35" s="1"/>
  <c r="R51" i="35"/>
  <c r="L123" i="35" s="1"/>
  <c r="H190" i="35" s="1"/>
  <c r="P190" i="35" s="1"/>
  <c r="R47" i="35"/>
  <c r="L119" i="35" s="1"/>
  <c r="H186" i="35" s="1"/>
  <c r="P186" i="35" s="1"/>
  <c r="R43" i="35"/>
  <c r="L115" i="35" s="1"/>
  <c r="H182" i="35" s="1"/>
  <c r="P182" i="35" s="1"/>
  <c r="R39" i="35"/>
  <c r="L111" i="35" s="1"/>
  <c r="H178" i="35" s="1"/>
  <c r="P178" i="35" s="1"/>
  <c r="R35" i="35"/>
  <c r="L107" i="35" s="1"/>
  <c r="H174" i="35" s="1"/>
  <c r="P174" i="35" s="1"/>
  <c r="R31" i="35"/>
  <c r="L103" i="35" s="1"/>
  <c r="H170" i="35" s="1"/>
  <c r="P170" i="35" s="1"/>
  <c r="R27" i="35"/>
  <c r="L99" i="35" s="1"/>
  <c r="H166" i="35" s="1"/>
  <c r="P166" i="35" s="1"/>
  <c r="R23" i="35"/>
  <c r="L95" i="35" s="1"/>
  <c r="H162" i="35" s="1"/>
  <c r="P162" i="35" s="1"/>
  <c r="R19" i="35"/>
  <c r="L91" i="35" s="1"/>
  <c r="H158" i="35" s="1"/>
  <c r="P158" i="35" s="1"/>
  <c r="R15" i="35"/>
  <c r="R70" i="35"/>
  <c r="L142" i="35" s="1"/>
  <c r="H209" i="35" s="1"/>
  <c r="P209" i="35" s="1"/>
  <c r="R66" i="35"/>
  <c r="L138" i="35" s="1"/>
  <c r="H205" i="35" s="1"/>
  <c r="P205" i="35" s="1"/>
  <c r="R62" i="35"/>
  <c r="L134" i="35" s="1"/>
  <c r="H201" i="35" s="1"/>
  <c r="P201" i="35" s="1"/>
  <c r="R58" i="35"/>
  <c r="L130" i="35" s="1"/>
  <c r="H197" i="35" s="1"/>
  <c r="P197" i="35" s="1"/>
  <c r="R54" i="35"/>
  <c r="L126" i="35" s="1"/>
  <c r="H193" i="35" s="1"/>
  <c r="P193" i="35" s="1"/>
  <c r="R50" i="35"/>
  <c r="L122" i="35" s="1"/>
  <c r="H189" i="35" s="1"/>
  <c r="P189" i="35" s="1"/>
  <c r="R46" i="35"/>
  <c r="L118" i="35" s="1"/>
  <c r="H185" i="35" s="1"/>
  <c r="P185" i="35" s="1"/>
  <c r="R42" i="35"/>
  <c r="L114" i="35" s="1"/>
  <c r="H181" i="35" s="1"/>
  <c r="P181" i="35" s="1"/>
  <c r="R38" i="35"/>
  <c r="L110" i="35" s="1"/>
  <c r="H177" i="35" s="1"/>
  <c r="P177" i="35" s="1"/>
  <c r="R34" i="35"/>
  <c r="L106" i="35" s="1"/>
  <c r="H173" i="35" s="1"/>
  <c r="P173" i="35" s="1"/>
  <c r="R30" i="35"/>
  <c r="L102" i="35" s="1"/>
  <c r="H169" i="35" s="1"/>
  <c r="P169" i="35" s="1"/>
  <c r="R26" i="35"/>
  <c r="L98" i="35" s="1"/>
  <c r="H165" i="35" s="1"/>
  <c r="P165" i="35" s="1"/>
  <c r="R22" i="35"/>
  <c r="L94" i="35" s="1"/>
  <c r="H161" i="35" s="1"/>
  <c r="P161" i="35" s="1"/>
  <c r="R18" i="35"/>
  <c r="L90" i="35" s="1"/>
  <c r="H157" i="35" s="1"/>
  <c r="P157" i="35" s="1"/>
  <c r="R73" i="35"/>
  <c r="L145" i="35" s="1"/>
  <c r="H212" i="35" s="1"/>
  <c r="P212" i="35" s="1"/>
  <c r="R69" i="35"/>
  <c r="L141" i="35" s="1"/>
  <c r="H208" i="35" s="1"/>
  <c r="P208" i="35" s="1"/>
  <c r="R65" i="35"/>
  <c r="L137" i="35" s="1"/>
  <c r="H204" i="35" s="1"/>
  <c r="P204" i="35" s="1"/>
  <c r="R61" i="35"/>
  <c r="L133" i="35" s="1"/>
  <c r="H200" i="35" s="1"/>
  <c r="P200" i="35" s="1"/>
  <c r="R57" i="35"/>
  <c r="L129" i="35" s="1"/>
  <c r="H196" i="35" s="1"/>
  <c r="P196" i="35" s="1"/>
  <c r="R53" i="35"/>
  <c r="L125" i="35" s="1"/>
  <c r="H192" i="35" s="1"/>
  <c r="P192" i="35" s="1"/>
  <c r="R49" i="35"/>
  <c r="L121" i="35" s="1"/>
  <c r="H188" i="35" s="1"/>
  <c r="P188" i="35" s="1"/>
  <c r="R45" i="35"/>
  <c r="L117" i="35" s="1"/>
  <c r="H184" i="35" s="1"/>
  <c r="P184" i="35" s="1"/>
  <c r="R41" i="35"/>
  <c r="L113" i="35" s="1"/>
  <c r="H180" i="35" s="1"/>
  <c r="P180" i="35" s="1"/>
  <c r="R37" i="35"/>
  <c r="L109" i="35" s="1"/>
  <c r="H176" i="35" s="1"/>
  <c r="P176" i="35" s="1"/>
  <c r="R33" i="35"/>
  <c r="L105" i="35" s="1"/>
  <c r="H172" i="35" s="1"/>
  <c r="P172" i="35" s="1"/>
  <c r="R29" i="35"/>
  <c r="L101" i="35" s="1"/>
  <c r="H168" i="35" s="1"/>
  <c r="P168" i="35" s="1"/>
  <c r="R25" i="35"/>
  <c r="L97" i="35" s="1"/>
  <c r="H164" i="35" s="1"/>
  <c r="P164" i="35" s="1"/>
  <c r="R21" i="35"/>
  <c r="L93" i="35" s="1"/>
  <c r="H160" i="35" s="1"/>
  <c r="P160" i="35" s="1"/>
  <c r="R17" i="35"/>
  <c r="L89" i="35" s="1"/>
  <c r="H156" i="35" s="1"/>
  <c r="P156" i="35" s="1"/>
  <c r="R72" i="35"/>
  <c r="L144" i="35" s="1"/>
  <c r="H211" i="35" s="1"/>
  <c r="P211" i="35" s="1"/>
  <c r="R68" i="35"/>
  <c r="L140" i="35" s="1"/>
  <c r="H207" i="35" s="1"/>
  <c r="P207" i="35" s="1"/>
  <c r="R64" i="35"/>
  <c r="R60" i="35"/>
  <c r="L132" i="35" s="1"/>
  <c r="H199" i="35" s="1"/>
  <c r="P199" i="35" s="1"/>
  <c r="R56" i="35"/>
  <c r="L128" i="35" s="1"/>
  <c r="H195" i="35" s="1"/>
  <c r="P195" i="35" s="1"/>
  <c r="R52" i="35"/>
  <c r="L124" i="35" s="1"/>
  <c r="H191" i="35" s="1"/>
  <c r="P191" i="35" s="1"/>
  <c r="R48" i="35"/>
  <c r="L120" i="35" s="1"/>
  <c r="H187" i="35" s="1"/>
  <c r="P187" i="35" s="1"/>
  <c r="R44" i="35"/>
  <c r="L116" i="35" s="1"/>
  <c r="H183" i="35" s="1"/>
  <c r="P183" i="35" s="1"/>
  <c r="R40" i="35"/>
  <c r="L112" i="35" s="1"/>
  <c r="H179" i="35" s="1"/>
  <c r="P179" i="35" s="1"/>
  <c r="R36" i="35"/>
  <c r="L108" i="35" s="1"/>
  <c r="H175" i="35" s="1"/>
  <c r="P175" i="35" s="1"/>
  <c r="R32" i="35"/>
  <c r="L104" i="35" s="1"/>
  <c r="H171" i="35" s="1"/>
  <c r="P171" i="35" s="1"/>
  <c r="R28" i="35"/>
  <c r="L100" i="35" s="1"/>
  <c r="H167" i="35" s="1"/>
  <c r="P167" i="35" s="1"/>
  <c r="R24" i="35"/>
  <c r="L96" i="35" s="1"/>
  <c r="H163" i="35" s="1"/>
  <c r="P163" i="35" s="1"/>
  <c r="R20" i="35"/>
  <c r="L92" i="35" s="1"/>
  <c r="H159" i="35" s="1"/>
  <c r="P159" i="35" s="1"/>
  <c r="R16" i="35"/>
  <c r="L88" i="35" s="1"/>
  <c r="H155" i="35" s="1"/>
  <c r="P155" i="35" s="1"/>
  <c r="T66" i="35"/>
  <c r="U65" i="35"/>
  <c r="H83" i="15"/>
  <c r="H88" i="15" s="1"/>
  <c r="F134" i="15"/>
  <c r="F135" i="15" s="1"/>
  <c r="G131" i="15"/>
  <c r="F45" i="15"/>
  <c r="G114" i="15"/>
  <c r="F39" i="15"/>
  <c r="F117" i="15"/>
  <c r="F118" i="15" s="1"/>
  <c r="I108" i="15"/>
  <c r="H41" i="18"/>
  <c r="K46" i="18"/>
  <c r="Q40" i="4"/>
  <c r="R12" i="4"/>
  <c r="R40" i="4" s="1"/>
  <c r="M49" i="23"/>
  <c r="J40" i="18"/>
  <c r="L45" i="18"/>
  <c r="N24" i="23"/>
  <c r="N25" i="23" s="1"/>
  <c r="J39" i="18"/>
  <c r="K27" i="34" l="1"/>
  <c r="K36" i="34"/>
  <c r="D253" i="7"/>
  <c r="G253" i="7"/>
  <c r="H253" i="7" s="1"/>
  <c r="R12" i="35"/>
  <c r="L87" i="35"/>
  <c r="H154" i="35" s="1"/>
  <c r="T67" i="35"/>
  <c r="U66" i="35"/>
  <c r="I112" i="15"/>
  <c r="G134" i="16"/>
  <c r="J134" i="16" s="1"/>
  <c r="G136" i="16"/>
  <c r="J136" i="16" s="1"/>
  <c r="G87" i="16"/>
  <c r="G119" i="16"/>
  <c r="J119" i="16" s="1"/>
  <c r="G120" i="16"/>
  <c r="J120" i="16" s="1"/>
  <c r="G93" i="16"/>
  <c r="J93" i="16" s="1"/>
  <c r="G142" i="16"/>
  <c r="J142" i="16" s="1"/>
  <c r="G103" i="16"/>
  <c r="J103" i="16" s="1"/>
  <c r="G124" i="16"/>
  <c r="J124" i="16" s="1"/>
  <c r="G92" i="16"/>
  <c r="J92" i="16" s="1"/>
  <c r="G100" i="16"/>
  <c r="J100" i="16" s="1"/>
  <c r="G96" i="16"/>
  <c r="J96" i="16" s="1"/>
  <c r="G139" i="16"/>
  <c r="J139" i="16" s="1"/>
  <c r="G127" i="16"/>
  <c r="J127" i="16" s="1"/>
  <c r="G135" i="16"/>
  <c r="J135" i="16" s="1"/>
  <c r="G98" i="16"/>
  <c r="J98" i="16" s="1"/>
  <c r="G115" i="16"/>
  <c r="J115" i="16" s="1"/>
  <c r="G90" i="16"/>
  <c r="J90" i="16" s="1"/>
  <c r="G140" i="16"/>
  <c r="J140" i="16" s="1"/>
  <c r="G105" i="16"/>
  <c r="J105" i="16" s="1"/>
  <c r="G99" i="16"/>
  <c r="J99" i="16" s="1"/>
  <c r="G108" i="16"/>
  <c r="J108" i="16" s="1"/>
  <c r="G112" i="16"/>
  <c r="J112" i="16" s="1"/>
  <c r="G121" i="16"/>
  <c r="J121" i="16" s="1"/>
  <c r="G123" i="16"/>
  <c r="J123" i="16" s="1"/>
  <c r="G104" i="16"/>
  <c r="J104" i="16" s="1"/>
  <c r="G130" i="16"/>
  <c r="J130" i="16" s="1"/>
  <c r="G111" i="16"/>
  <c r="J111" i="16" s="1"/>
  <c r="G143" i="16"/>
  <c r="J143" i="16" s="1"/>
  <c r="G141" i="16"/>
  <c r="J141" i="16" s="1"/>
  <c r="G88" i="16"/>
  <c r="J88" i="16" s="1"/>
  <c r="G94" i="16"/>
  <c r="J94" i="16" s="1"/>
  <c r="G144" i="16"/>
  <c r="J144" i="16" s="1"/>
  <c r="G114" i="16"/>
  <c r="J114" i="16" s="1"/>
  <c r="E34" i="29"/>
  <c r="G133" i="16"/>
  <c r="J133" i="16" s="1"/>
  <c r="G95" i="16"/>
  <c r="J95" i="16" s="1"/>
  <c r="G97" i="16"/>
  <c r="J97" i="16" s="1"/>
  <c r="G101" i="16"/>
  <c r="J101" i="16" s="1"/>
  <c r="G132" i="16"/>
  <c r="J132" i="16" s="1"/>
  <c r="G131" i="16"/>
  <c r="J131" i="16" s="1"/>
  <c r="G138" i="16"/>
  <c r="J138" i="16" s="1"/>
  <c r="G106" i="16"/>
  <c r="J106" i="16" s="1"/>
  <c r="G117" i="16"/>
  <c r="J117" i="16" s="1"/>
  <c r="G89" i="16"/>
  <c r="J89" i="16" s="1"/>
  <c r="G91" i="16"/>
  <c r="J91" i="16" s="1"/>
  <c r="G129" i="16"/>
  <c r="J129" i="16" s="1"/>
  <c r="G118" i="16"/>
  <c r="J118" i="16" s="1"/>
  <c r="H45" i="15"/>
  <c r="H47" i="15" s="1"/>
  <c r="G109" i="16"/>
  <c r="J109" i="16" s="1"/>
  <c r="G137" i="16"/>
  <c r="J137" i="16" s="1"/>
  <c r="G145" i="16"/>
  <c r="J145" i="16" s="1"/>
  <c r="G107" i="16"/>
  <c r="J107" i="16" s="1"/>
  <c r="G122" i="16"/>
  <c r="J122" i="16" s="1"/>
  <c r="G110" i="16"/>
  <c r="J110" i="16" s="1"/>
  <c r="G126" i="16"/>
  <c r="J126" i="16" s="1"/>
  <c r="G125" i="16"/>
  <c r="J125" i="16" s="1"/>
  <c r="G102" i="16"/>
  <c r="J102" i="16" s="1"/>
  <c r="G128" i="16"/>
  <c r="J128" i="16" s="1"/>
  <c r="G116" i="16"/>
  <c r="J116" i="16" s="1"/>
  <c r="G113" i="16"/>
  <c r="J113" i="16" s="1"/>
  <c r="G146" i="16"/>
  <c r="J146" i="16" s="1"/>
  <c r="I41" i="18"/>
  <c r="J108" i="15"/>
  <c r="J112" i="15" s="1"/>
  <c r="F115" i="16"/>
  <c r="F133" i="16"/>
  <c r="F96" i="16"/>
  <c r="F141" i="16"/>
  <c r="F99" i="16"/>
  <c r="F114" i="16"/>
  <c r="F94" i="16"/>
  <c r="F140" i="16"/>
  <c r="F117" i="16"/>
  <c r="F132" i="16"/>
  <c r="F144" i="16"/>
  <c r="F113" i="16"/>
  <c r="F102" i="16"/>
  <c r="F131" i="16"/>
  <c r="F143" i="16"/>
  <c r="F92" i="16"/>
  <c r="F127" i="16"/>
  <c r="F139" i="16"/>
  <c r="F112" i="16"/>
  <c r="F138" i="16"/>
  <c r="F129" i="16"/>
  <c r="F107" i="16"/>
  <c r="H39" i="15"/>
  <c r="H41" i="15" s="1"/>
  <c r="F100" i="16"/>
  <c r="F145" i="16"/>
  <c r="F137" i="16"/>
  <c r="F89" i="16"/>
  <c r="F123" i="16"/>
  <c r="F124" i="16"/>
  <c r="F136" i="16"/>
  <c r="F101" i="16"/>
  <c r="F95" i="16"/>
  <c r="F126" i="16"/>
  <c r="F110" i="16"/>
  <c r="F103" i="16"/>
  <c r="F119" i="16"/>
  <c r="F105" i="16"/>
  <c r="F98" i="16"/>
  <c r="F118" i="16"/>
  <c r="F116" i="16"/>
  <c r="F120" i="16"/>
  <c r="F91" i="16"/>
  <c r="F134" i="16"/>
  <c r="F106" i="16"/>
  <c r="F104" i="16"/>
  <c r="F146" i="16"/>
  <c r="F93" i="16"/>
  <c r="F142" i="16"/>
  <c r="F109" i="16"/>
  <c r="F135" i="16"/>
  <c r="F111" i="16"/>
  <c r="F108" i="16"/>
  <c r="F122" i="16"/>
  <c r="F90" i="16"/>
  <c r="F121" i="16"/>
  <c r="F97" i="16"/>
  <c r="E31" i="29"/>
  <c r="F128" i="16"/>
  <c r="F130" i="16"/>
  <c r="F125" i="16"/>
  <c r="F87" i="16"/>
  <c r="F88" i="16"/>
  <c r="H114" i="15"/>
  <c r="G115" i="15"/>
  <c r="G117" i="15"/>
  <c r="H131" i="15"/>
  <c r="G132" i="15"/>
  <c r="G134" i="15"/>
  <c r="N49" i="23"/>
  <c r="L46" i="18"/>
  <c r="O24" i="23"/>
  <c r="O25" i="23" s="1"/>
  <c r="M45" i="18"/>
  <c r="K40" i="18"/>
  <c r="N45" i="18"/>
  <c r="P24" i="23"/>
  <c r="K39" i="18"/>
  <c r="K33" i="34" l="1"/>
  <c r="L29" i="34"/>
  <c r="M22" i="34" s="1"/>
  <c r="M28" i="34" s="1"/>
  <c r="I254" i="7"/>
  <c r="J254" i="7" s="1"/>
  <c r="D252" i="7"/>
  <c r="G252" i="7"/>
  <c r="H252" i="7" s="1"/>
  <c r="I253" i="7" s="1"/>
  <c r="J253" i="7" s="1"/>
  <c r="P154" i="35"/>
  <c r="P214" i="35" s="1"/>
  <c r="H214" i="35"/>
  <c r="T68" i="35"/>
  <c r="U67" i="35"/>
  <c r="H49" i="15"/>
  <c r="H115" i="15"/>
  <c r="H117" i="15"/>
  <c r="H118" i="15" s="1"/>
  <c r="I121" i="16"/>
  <c r="K121" i="16" s="1"/>
  <c r="H121" i="16"/>
  <c r="G279" i="16" s="1"/>
  <c r="I93" i="16"/>
  <c r="K93" i="16" s="1"/>
  <c r="H93" i="16"/>
  <c r="G251" i="16" s="1"/>
  <c r="H134" i="16"/>
  <c r="G292" i="16" s="1"/>
  <c r="I134" i="16"/>
  <c r="K134" i="16" s="1"/>
  <c r="H103" i="16"/>
  <c r="G261" i="16" s="1"/>
  <c r="I103" i="16"/>
  <c r="K103" i="16" s="1"/>
  <c r="I101" i="16"/>
  <c r="K101" i="16" s="1"/>
  <c r="H101" i="16"/>
  <c r="G259" i="16" s="1"/>
  <c r="H89" i="16"/>
  <c r="G247" i="16" s="1"/>
  <c r="I89" i="16"/>
  <c r="K89" i="16" s="1"/>
  <c r="I112" i="16"/>
  <c r="K112" i="16" s="1"/>
  <c r="H112" i="16"/>
  <c r="G270" i="16" s="1"/>
  <c r="H144" i="16"/>
  <c r="G302" i="16" s="1"/>
  <c r="I144" i="16"/>
  <c r="K144" i="16" s="1"/>
  <c r="H96" i="16"/>
  <c r="G254" i="16" s="1"/>
  <c r="I96" i="16"/>
  <c r="K96" i="16" s="1"/>
  <c r="I97" i="16"/>
  <c r="K97" i="16" s="1"/>
  <c r="H97" i="16"/>
  <c r="G255" i="16" s="1"/>
  <c r="I142" i="16"/>
  <c r="K142" i="16" s="1"/>
  <c r="H142" i="16"/>
  <c r="G300" i="16" s="1"/>
  <c r="I116" i="16"/>
  <c r="K116" i="16" s="1"/>
  <c r="H116" i="16"/>
  <c r="G274" i="16" s="1"/>
  <c r="I95" i="16"/>
  <c r="K95" i="16" s="1"/>
  <c r="H95" i="16"/>
  <c r="G253" i="16" s="1"/>
  <c r="I100" i="16"/>
  <c r="K100" i="16" s="1"/>
  <c r="H100" i="16"/>
  <c r="G258" i="16" s="1"/>
  <c r="I138" i="16"/>
  <c r="K138" i="16" s="1"/>
  <c r="H138" i="16"/>
  <c r="G296" i="16" s="1"/>
  <c r="I113" i="16"/>
  <c r="K113" i="16" s="1"/>
  <c r="H113" i="16"/>
  <c r="G271" i="16" s="1"/>
  <c r="I140" i="16"/>
  <c r="K140" i="16" s="1"/>
  <c r="H140" i="16"/>
  <c r="G298" i="16" s="1"/>
  <c r="I141" i="16"/>
  <c r="K141" i="16" s="1"/>
  <c r="H141" i="16"/>
  <c r="G299" i="16" s="1"/>
  <c r="G118" i="15"/>
  <c r="I87" i="16"/>
  <c r="H87" i="16"/>
  <c r="G245" i="16" s="1"/>
  <c r="I122" i="16"/>
  <c r="K122" i="16" s="1"/>
  <c r="H122" i="16"/>
  <c r="G280" i="16" s="1"/>
  <c r="I109" i="16"/>
  <c r="K109" i="16" s="1"/>
  <c r="H109" i="16"/>
  <c r="G267" i="16" s="1"/>
  <c r="H104" i="16"/>
  <c r="G262" i="16" s="1"/>
  <c r="I104" i="16"/>
  <c r="K104" i="16" s="1"/>
  <c r="I120" i="16"/>
  <c r="K120" i="16" s="1"/>
  <c r="H120" i="16"/>
  <c r="G278" i="16" s="1"/>
  <c r="I105" i="16"/>
  <c r="K105" i="16" s="1"/>
  <c r="H105" i="16"/>
  <c r="G263" i="16" s="1"/>
  <c r="I126" i="16"/>
  <c r="K126" i="16" s="1"/>
  <c r="H126" i="16"/>
  <c r="G284" i="16" s="1"/>
  <c r="I124" i="16"/>
  <c r="K124" i="16" s="1"/>
  <c r="H124" i="16"/>
  <c r="G282" i="16" s="1"/>
  <c r="H145" i="16"/>
  <c r="G303" i="16" s="1"/>
  <c r="I145" i="16"/>
  <c r="K145" i="16" s="1"/>
  <c r="I129" i="16"/>
  <c r="K129" i="16" s="1"/>
  <c r="H129" i="16"/>
  <c r="G287" i="16" s="1"/>
  <c r="I127" i="16"/>
  <c r="K127" i="16" s="1"/>
  <c r="H127" i="16"/>
  <c r="G285" i="16" s="1"/>
  <c r="I102" i="16"/>
  <c r="K102" i="16" s="1"/>
  <c r="H102" i="16"/>
  <c r="G260" i="16" s="1"/>
  <c r="I117" i="16"/>
  <c r="K117" i="16" s="1"/>
  <c r="H117" i="16"/>
  <c r="G275" i="16" s="1"/>
  <c r="I99" i="16"/>
  <c r="K99" i="16" s="1"/>
  <c r="H99" i="16"/>
  <c r="G257" i="16" s="1"/>
  <c r="H115" i="16"/>
  <c r="G273" i="16" s="1"/>
  <c r="I115" i="16"/>
  <c r="K115" i="16" s="1"/>
  <c r="J148" i="16"/>
  <c r="K154" i="16" s="1"/>
  <c r="I114" i="15"/>
  <c r="I130" i="16"/>
  <c r="K130" i="16" s="1"/>
  <c r="H130" i="16"/>
  <c r="G288" i="16" s="1"/>
  <c r="I111" i="16"/>
  <c r="K111" i="16" s="1"/>
  <c r="H111" i="16"/>
  <c r="G269" i="16" s="1"/>
  <c r="H118" i="16"/>
  <c r="G276" i="16" s="1"/>
  <c r="I118" i="16"/>
  <c r="K118" i="16" s="1"/>
  <c r="H143" i="16"/>
  <c r="G301" i="16" s="1"/>
  <c r="I143" i="16"/>
  <c r="K143" i="16" s="1"/>
  <c r="H94" i="16"/>
  <c r="G252" i="16" s="1"/>
  <c r="I94" i="16"/>
  <c r="K94" i="16" s="1"/>
  <c r="J41" i="18"/>
  <c r="K108" i="15"/>
  <c r="K112" i="15" s="1"/>
  <c r="I125" i="16"/>
  <c r="K125" i="16" s="1"/>
  <c r="H125" i="16"/>
  <c r="G283" i="16" s="1"/>
  <c r="I108" i="16"/>
  <c r="K108" i="16" s="1"/>
  <c r="H108" i="16"/>
  <c r="G266" i="16" s="1"/>
  <c r="I106" i="16"/>
  <c r="K106" i="16" s="1"/>
  <c r="H106" i="16"/>
  <c r="G264" i="16" s="1"/>
  <c r="I119" i="16"/>
  <c r="K119" i="16" s="1"/>
  <c r="H119" i="16"/>
  <c r="G277" i="16" s="1"/>
  <c r="H123" i="16"/>
  <c r="G281" i="16" s="1"/>
  <c r="I123" i="16"/>
  <c r="K123" i="16" s="1"/>
  <c r="H92" i="16"/>
  <c r="G250" i="16" s="1"/>
  <c r="I92" i="16"/>
  <c r="K92" i="16" s="1"/>
  <c r="I88" i="16"/>
  <c r="K88" i="16" s="1"/>
  <c r="H88" i="16"/>
  <c r="G246" i="16" s="1"/>
  <c r="I128" i="16"/>
  <c r="K128" i="16" s="1"/>
  <c r="H128" i="16"/>
  <c r="G286" i="16" s="1"/>
  <c r="H90" i="16"/>
  <c r="G248" i="16" s="1"/>
  <c r="I90" i="16"/>
  <c r="K90" i="16" s="1"/>
  <c r="H135" i="16"/>
  <c r="G293" i="16" s="1"/>
  <c r="I135" i="16"/>
  <c r="K135" i="16" s="1"/>
  <c r="I146" i="16"/>
  <c r="K146" i="16" s="1"/>
  <c r="H146" i="16"/>
  <c r="G304" i="16" s="1"/>
  <c r="H91" i="16"/>
  <c r="G249" i="16" s="1"/>
  <c r="I91" i="16"/>
  <c r="K91" i="16" s="1"/>
  <c r="I98" i="16"/>
  <c r="K98" i="16" s="1"/>
  <c r="H98" i="16"/>
  <c r="G256" i="16" s="1"/>
  <c r="I110" i="16"/>
  <c r="K110" i="16" s="1"/>
  <c r="H110" i="16"/>
  <c r="G268" i="16" s="1"/>
  <c r="H136" i="16"/>
  <c r="G294" i="16" s="1"/>
  <c r="I136" i="16"/>
  <c r="K136" i="16" s="1"/>
  <c r="I137" i="16"/>
  <c r="K137" i="16" s="1"/>
  <c r="H137" i="16"/>
  <c r="G295" i="16" s="1"/>
  <c r="I107" i="16"/>
  <c r="K107" i="16" s="1"/>
  <c r="H107" i="16"/>
  <c r="G265" i="16" s="1"/>
  <c r="H139" i="16"/>
  <c r="G297" i="16" s="1"/>
  <c r="I139" i="16"/>
  <c r="K139" i="16" s="1"/>
  <c r="I131" i="16"/>
  <c r="K131" i="16" s="1"/>
  <c r="H131" i="16"/>
  <c r="G289" i="16" s="1"/>
  <c r="I132" i="16"/>
  <c r="K132" i="16" s="1"/>
  <c r="H132" i="16"/>
  <c r="G290" i="16" s="1"/>
  <c r="I114" i="16"/>
  <c r="K114" i="16" s="1"/>
  <c r="H114" i="16"/>
  <c r="G272" i="16" s="1"/>
  <c r="I133" i="16"/>
  <c r="K133" i="16" s="1"/>
  <c r="H133" i="16"/>
  <c r="G291" i="16" s="1"/>
  <c r="P25" i="23"/>
  <c r="O49" i="23"/>
  <c r="M46" i="18"/>
  <c r="N46" i="18"/>
  <c r="P49" i="23"/>
  <c r="L40" i="18"/>
  <c r="L39" i="18"/>
  <c r="K34" i="34" l="1"/>
  <c r="L7" i="34" s="1"/>
  <c r="L10" i="34" s="1"/>
  <c r="L20" i="34" s="1"/>
  <c r="L23" i="34" s="1"/>
  <c r="L27" i="34" s="1"/>
  <c r="L25" i="34"/>
  <c r="D251" i="7"/>
  <c r="G251" i="7"/>
  <c r="H251" i="7" s="1"/>
  <c r="I252" i="7" s="1"/>
  <c r="J252" i="7" s="1"/>
  <c r="T69" i="35"/>
  <c r="U68" i="35"/>
  <c r="H53" i="15"/>
  <c r="H249" i="16"/>
  <c r="K10" i="29"/>
  <c r="L10" i="29" s="1"/>
  <c r="I249" i="16"/>
  <c r="L108" i="15"/>
  <c r="K41" i="18"/>
  <c r="H276" i="16"/>
  <c r="I276" i="16"/>
  <c r="K37" i="29"/>
  <c r="L37" i="29" s="1"/>
  <c r="I273" i="16"/>
  <c r="H273" i="16"/>
  <c r="K34" i="29"/>
  <c r="L34" i="29" s="1"/>
  <c r="I148" i="16"/>
  <c r="K153" i="16" s="1"/>
  <c r="K155" i="16" s="1"/>
  <c r="K87" i="16"/>
  <c r="K148" i="16" s="1"/>
  <c r="K63" i="29"/>
  <c r="L63" i="29" s="1"/>
  <c r="H302" i="16"/>
  <c r="I302" i="16"/>
  <c r="I247" i="16"/>
  <c r="H247" i="16"/>
  <c r="K8" i="29"/>
  <c r="L8" i="29" s="1"/>
  <c r="K22" i="29"/>
  <c r="L22" i="29" s="1"/>
  <c r="H261" i="16"/>
  <c r="I261" i="16"/>
  <c r="I268" i="16"/>
  <c r="K29" i="29"/>
  <c r="L29" i="29" s="1"/>
  <c r="H268" i="16"/>
  <c r="K46" i="29"/>
  <c r="L46" i="29" s="1"/>
  <c r="H285" i="16"/>
  <c r="I285" i="16"/>
  <c r="K39" i="29"/>
  <c r="L39" i="29" s="1"/>
  <c r="I278" i="16"/>
  <c r="H278" i="16"/>
  <c r="I267" i="16"/>
  <c r="K28" i="29"/>
  <c r="L28" i="29" s="1"/>
  <c r="H267" i="16"/>
  <c r="K6" i="29"/>
  <c r="L6" i="29" s="1"/>
  <c r="H245" i="16"/>
  <c r="I245" i="16"/>
  <c r="I299" i="16"/>
  <c r="K60" i="29"/>
  <c r="L60" i="29" s="1"/>
  <c r="H299" i="16"/>
  <c r="H271" i="16"/>
  <c r="I271" i="16"/>
  <c r="K32" i="29"/>
  <c r="L32" i="29" s="1"/>
  <c r="H258" i="16"/>
  <c r="K19" i="29"/>
  <c r="L19" i="29" s="1"/>
  <c r="I258" i="16"/>
  <c r="H274" i="16"/>
  <c r="K35" i="29"/>
  <c r="L35" i="29" s="1"/>
  <c r="I274" i="16"/>
  <c r="H251" i="16"/>
  <c r="I251" i="16"/>
  <c r="K12" i="29"/>
  <c r="L12" i="29" s="1"/>
  <c r="I294" i="16"/>
  <c r="K55" i="29"/>
  <c r="L55" i="29" s="1"/>
  <c r="H294" i="16"/>
  <c r="I248" i="16"/>
  <c r="H248" i="16"/>
  <c r="K9" i="29"/>
  <c r="L9" i="29" s="1"/>
  <c r="H281" i="16"/>
  <c r="I281" i="16"/>
  <c r="K42" i="29"/>
  <c r="L42" i="29" s="1"/>
  <c r="I252" i="16"/>
  <c r="K13" i="29"/>
  <c r="L13" i="29" s="1"/>
  <c r="H252" i="16"/>
  <c r="F11" i="23"/>
  <c r="I262" i="16"/>
  <c r="H262" i="16"/>
  <c r="K23" i="29"/>
  <c r="L23" i="29" s="1"/>
  <c r="G11" i="23"/>
  <c r="G45" i="23" s="1"/>
  <c r="G51" i="23" s="1"/>
  <c r="G61" i="23" s="1"/>
  <c r="H254" i="16"/>
  <c r="K15" i="29"/>
  <c r="L15" i="29" s="1"/>
  <c r="I254" i="16"/>
  <c r="K53" i="29"/>
  <c r="L53" i="29" s="1"/>
  <c r="H292" i="16"/>
  <c r="I292" i="16"/>
  <c r="H297" i="16"/>
  <c r="I297" i="16"/>
  <c r="K58" i="29"/>
  <c r="L58" i="29" s="1"/>
  <c r="I293" i="16"/>
  <c r="K54" i="29"/>
  <c r="L54" i="29" s="1"/>
  <c r="H293" i="16"/>
  <c r="H250" i="16"/>
  <c r="I250" i="16"/>
  <c r="K11" i="29"/>
  <c r="L11" i="29" s="1"/>
  <c r="H301" i="16"/>
  <c r="I301" i="16"/>
  <c r="K62" i="29"/>
  <c r="L62" i="29" s="1"/>
  <c r="I303" i="16"/>
  <c r="K64" i="29"/>
  <c r="L64" i="29" s="1"/>
  <c r="H303" i="16"/>
  <c r="K52" i="29"/>
  <c r="L52" i="29" s="1"/>
  <c r="I291" i="16"/>
  <c r="H291" i="16"/>
  <c r="K51" i="29"/>
  <c r="L51" i="29" s="1"/>
  <c r="I290" i="16"/>
  <c r="H290" i="16"/>
  <c r="I295" i="16"/>
  <c r="K56" i="29"/>
  <c r="L56" i="29" s="1"/>
  <c r="H295" i="16"/>
  <c r="I286" i="16"/>
  <c r="H286" i="16"/>
  <c r="K47" i="29"/>
  <c r="L47" i="29" s="1"/>
  <c r="I277" i="16"/>
  <c r="H277" i="16"/>
  <c r="K38" i="29"/>
  <c r="L38" i="29" s="1"/>
  <c r="K27" i="29"/>
  <c r="L27" i="29" s="1"/>
  <c r="I266" i="16"/>
  <c r="H266" i="16"/>
  <c r="H288" i="16"/>
  <c r="I288" i="16"/>
  <c r="K49" i="29"/>
  <c r="L49" i="29" s="1"/>
  <c r="K36" i="29"/>
  <c r="L36" i="29" s="1"/>
  <c r="H275" i="16"/>
  <c r="I275" i="16"/>
  <c r="H284" i="16"/>
  <c r="I284" i="16"/>
  <c r="K45" i="29"/>
  <c r="L45" i="29" s="1"/>
  <c r="K16" i="29"/>
  <c r="L16" i="29" s="1"/>
  <c r="H255" i="16"/>
  <c r="I255" i="16"/>
  <c r="K33" i="29"/>
  <c r="L33" i="29" s="1"/>
  <c r="I272" i="16"/>
  <c r="H272" i="16"/>
  <c r="K50" i="29"/>
  <c r="L50" i="29" s="1"/>
  <c r="H289" i="16"/>
  <c r="I289" i="16"/>
  <c r="K26" i="29"/>
  <c r="L26" i="29" s="1"/>
  <c r="I265" i="16"/>
  <c r="H265" i="16"/>
  <c r="H256" i="16"/>
  <c r="I256" i="16"/>
  <c r="K17" i="29"/>
  <c r="L17" i="29" s="1"/>
  <c r="K65" i="29"/>
  <c r="L65" i="29" s="1"/>
  <c r="H304" i="16"/>
  <c r="I304" i="16"/>
  <c r="K7" i="29"/>
  <c r="L7" i="29" s="1"/>
  <c r="I246" i="16"/>
  <c r="H246" i="16"/>
  <c r="H264" i="16"/>
  <c r="K25" i="29"/>
  <c r="L25" i="29" s="1"/>
  <c r="I264" i="16"/>
  <c r="H283" i="16"/>
  <c r="K44" i="29"/>
  <c r="L44" i="29" s="1"/>
  <c r="I283" i="16"/>
  <c r="I269" i="16"/>
  <c r="H269" i="16"/>
  <c r="K30" i="29"/>
  <c r="L30" i="29" s="1"/>
  <c r="J114" i="15"/>
  <c r="I117" i="15"/>
  <c r="I118" i="15" s="1"/>
  <c r="I115" i="15"/>
  <c r="K18" i="29"/>
  <c r="L18" i="29" s="1"/>
  <c r="I257" i="16"/>
  <c r="H257" i="16"/>
  <c r="I260" i="16"/>
  <c r="K21" i="29"/>
  <c r="L21" i="29" s="1"/>
  <c r="H260" i="16"/>
  <c r="H287" i="16"/>
  <c r="K48" i="29"/>
  <c r="L48" i="29" s="1"/>
  <c r="I287" i="16"/>
  <c r="H282" i="16"/>
  <c r="K43" i="29"/>
  <c r="L43" i="29" s="1"/>
  <c r="I282" i="16"/>
  <c r="K24" i="29"/>
  <c r="L24" i="29" s="1"/>
  <c r="I263" i="16"/>
  <c r="H263" i="16"/>
  <c r="K41" i="29"/>
  <c r="L41" i="29" s="1"/>
  <c r="I280" i="16"/>
  <c r="H280" i="16"/>
  <c r="I298" i="16"/>
  <c r="H298" i="16"/>
  <c r="K59" i="29"/>
  <c r="L59" i="29" s="1"/>
  <c r="I296" i="16"/>
  <c r="H296" i="16"/>
  <c r="K57" i="29"/>
  <c r="L57" i="29" s="1"/>
  <c r="K14" i="29"/>
  <c r="L14" i="29" s="1"/>
  <c r="I253" i="16"/>
  <c r="H253" i="16"/>
  <c r="K61" i="29"/>
  <c r="L61" i="29" s="1"/>
  <c r="H300" i="16"/>
  <c r="I300" i="16"/>
  <c r="I270" i="16"/>
  <c r="H270" i="16"/>
  <c r="K31" i="29"/>
  <c r="L31" i="29" s="1"/>
  <c r="H259" i="16"/>
  <c r="I259" i="16"/>
  <c r="K20" i="29"/>
  <c r="L20" i="29" s="1"/>
  <c r="K40" i="29"/>
  <c r="L40" i="29" s="1"/>
  <c r="H279" i="16"/>
  <c r="I279" i="16"/>
  <c r="M40" i="18"/>
  <c r="M39" i="18"/>
  <c r="N39" i="18" s="1"/>
  <c r="L36" i="34" l="1"/>
  <c r="D250" i="7"/>
  <c r="G250" i="7"/>
  <c r="H250" i="7" s="1"/>
  <c r="T70" i="35"/>
  <c r="U69" i="35"/>
  <c r="M29" i="34"/>
  <c r="N22" i="34" s="1"/>
  <c r="N28" i="34" s="1"/>
  <c r="L33" i="34"/>
  <c r="F19" i="23"/>
  <c r="E14" i="29"/>
  <c r="E18" i="29" s="1"/>
  <c r="F45" i="23"/>
  <c r="F51" i="23" s="1"/>
  <c r="F61" i="23" s="1"/>
  <c r="E27" i="29" s="1"/>
  <c r="M108" i="15"/>
  <c r="M112" i="15" s="1"/>
  <c r="L41" i="18"/>
  <c r="J115" i="15"/>
  <c r="K114" i="15"/>
  <c r="L114" i="15" s="1"/>
  <c r="J117" i="15"/>
  <c r="J118" i="15" s="1"/>
  <c r="L112" i="15"/>
  <c r="N40" i="18"/>
  <c r="D249" i="7" l="1"/>
  <c r="G249" i="7"/>
  <c r="H249" i="7" s="1"/>
  <c r="I251" i="7"/>
  <c r="J251" i="7" s="1"/>
  <c r="T71" i="35"/>
  <c r="U70" i="35"/>
  <c r="M25" i="34"/>
  <c r="L34" i="34"/>
  <c r="M41" i="18"/>
  <c r="N108" i="15"/>
  <c r="N112" i="15" s="1"/>
  <c r="K115" i="15"/>
  <c r="K117" i="15"/>
  <c r="K118" i="15" s="1"/>
  <c r="M114" i="15"/>
  <c r="L117" i="15"/>
  <c r="L118" i="15" s="1"/>
  <c r="L115" i="15"/>
  <c r="F40" i="23"/>
  <c r="G13" i="14" s="1"/>
  <c r="F20" i="23"/>
  <c r="D248" i="7" l="1"/>
  <c r="G248" i="7"/>
  <c r="H248" i="7" s="1"/>
  <c r="I250" i="7"/>
  <c r="J250" i="7" s="1"/>
  <c r="T72" i="35"/>
  <c r="U71" i="35"/>
  <c r="M7" i="34"/>
  <c r="M10" i="34" s="1"/>
  <c r="M20" i="34" s="1"/>
  <c r="M23" i="34" s="1"/>
  <c r="N41" i="18"/>
  <c r="P108" i="15" s="1"/>
  <c r="P112" i="15" s="1"/>
  <c r="O108" i="15"/>
  <c r="M115" i="15"/>
  <c r="M117" i="15"/>
  <c r="M118" i="15" s="1"/>
  <c r="N114" i="15"/>
  <c r="D247" i="7" l="1"/>
  <c r="G247" i="7"/>
  <c r="H247" i="7" s="1"/>
  <c r="I248" i="7" s="1"/>
  <c r="J248" i="7" s="1"/>
  <c r="I249" i="7"/>
  <c r="J249" i="7" s="1"/>
  <c r="T73" i="35"/>
  <c r="U73" i="35" s="1"/>
  <c r="U72" i="35"/>
  <c r="M27" i="34"/>
  <c r="M36" i="34"/>
  <c r="N117" i="15"/>
  <c r="N118" i="15" s="1"/>
  <c r="N115" i="15"/>
  <c r="O112" i="15"/>
  <c r="O114" i="15"/>
  <c r="H134" i="15"/>
  <c r="H132" i="15"/>
  <c r="D246" i="7" l="1"/>
  <c r="G246" i="7"/>
  <c r="H246" i="7" s="1"/>
  <c r="N29" i="34"/>
  <c r="M33" i="34"/>
  <c r="O115" i="15"/>
  <c r="P114" i="15"/>
  <c r="O117" i="15"/>
  <c r="O118" i="15" s="1"/>
  <c r="D245" i="7" l="1"/>
  <c r="G245" i="7"/>
  <c r="H245" i="7" s="1"/>
  <c r="I246" i="7" s="1"/>
  <c r="J246" i="7" s="1"/>
  <c r="I247" i="7"/>
  <c r="J247" i="7" s="1"/>
  <c r="N25" i="34"/>
  <c r="M34" i="34"/>
  <c r="P117" i="15"/>
  <c r="P118" i="15" s="1"/>
  <c r="P115" i="15"/>
  <c r="D244" i="7" l="1"/>
  <c r="G244" i="7"/>
  <c r="H244" i="7" s="1"/>
  <c r="N7" i="34"/>
  <c r="N10" i="34" s="1"/>
  <c r="N20" i="34" s="1"/>
  <c r="N23" i="34" s="1"/>
  <c r="N61" i="23"/>
  <c r="M61" i="23"/>
  <c r="H11" i="23"/>
  <c r="D243" i="7" l="1"/>
  <c r="G243" i="7"/>
  <c r="H243" i="7" s="1"/>
  <c r="I244" i="7" s="1"/>
  <c r="J244" i="7" s="1"/>
  <c r="I245" i="7"/>
  <c r="J245" i="7" s="1"/>
  <c r="N36" i="34"/>
  <c r="N27" i="34"/>
  <c r="N33" i="34" s="1"/>
  <c r="H45" i="23"/>
  <c r="H51" i="23" s="1"/>
  <c r="H61" i="23" s="1"/>
  <c r="D242" i="7" l="1"/>
  <c r="G242" i="7"/>
  <c r="H242" i="7" s="1"/>
  <c r="N34" i="34"/>
  <c r="I243" i="7" l="1"/>
  <c r="J243" i="7" s="1"/>
  <c r="D241" i="7"/>
  <c r="G241" i="7"/>
  <c r="H241" i="7" s="1"/>
  <c r="I242" i="7" s="1"/>
  <c r="J242" i="7" s="1"/>
  <c r="D240" i="7" l="1"/>
  <c r="G240" i="7"/>
  <c r="H240" i="7" s="1"/>
  <c r="D239" i="7" l="1"/>
  <c r="G239" i="7"/>
  <c r="H239" i="7" s="1"/>
  <c r="I241" i="7"/>
  <c r="J241" i="7" s="1"/>
  <c r="D238" i="7" l="1"/>
  <c r="G238" i="7"/>
  <c r="H238" i="7" s="1"/>
  <c r="I240" i="7"/>
  <c r="J240" i="7" s="1"/>
  <c r="D237" i="7" l="1"/>
  <c r="G237" i="7"/>
  <c r="H237" i="7" s="1"/>
  <c r="I239" i="7"/>
  <c r="J239" i="7" s="1"/>
  <c r="D236" i="7" l="1"/>
  <c r="G236" i="7"/>
  <c r="H236" i="7" s="1"/>
  <c r="I238" i="7"/>
  <c r="J238" i="7" s="1"/>
  <c r="D235" i="7" l="1"/>
  <c r="G235" i="7"/>
  <c r="H235" i="7" s="1"/>
  <c r="I237" i="7"/>
  <c r="J237" i="7" s="1"/>
  <c r="D234" i="7" l="1"/>
  <c r="G234" i="7"/>
  <c r="H234" i="7" s="1"/>
  <c r="I236" i="7"/>
  <c r="J236" i="7" s="1"/>
  <c r="D233" i="7" l="1"/>
  <c r="G233" i="7"/>
  <c r="H233" i="7" s="1"/>
  <c r="I235" i="7"/>
  <c r="J235" i="7" s="1"/>
  <c r="D232" i="7" l="1"/>
  <c r="G232" i="7"/>
  <c r="H232" i="7" s="1"/>
  <c r="I234" i="7"/>
  <c r="J234" i="7" s="1"/>
  <c r="D231" i="7" l="1"/>
  <c r="G231" i="7"/>
  <c r="H231" i="7" s="1"/>
  <c r="I233" i="7"/>
  <c r="J233" i="7" s="1"/>
  <c r="D230" i="7" l="1"/>
  <c r="G230" i="7"/>
  <c r="H230" i="7" s="1"/>
  <c r="I232" i="7"/>
  <c r="J232" i="7" s="1"/>
  <c r="D229" i="7" l="1"/>
  <c r="G229" i="7"/>
  <c r="H229" i="7" s="1"/>
  <c r="I231" i="7"/>
  <c r="J231" i="7" s="1"/>
  <c r="D228" i="7" l="1"/>
  <c r="G228" i="7"/>
  <c r="H228" i="7" s="1"/>
  <c r="I230" i="7"/>
  <c r="J230" i="7" s="1"/>
  <c r="D227" i="7" l="1"/>
  <c r="G227" i="7"/>
  <c r="H227" i="7" s="1"/>
  <c r="I228" i="7" s="1"/>
  <c r="J228" i="7" s="1"/>
  <c r="I229" i="7"/>
  <c r="J229" i="7" s="1"/>
  <c r="D226" i="7" l="1"/>
  <c r="G226" i="7"/>
  <c r="H226" i="7" s="1"/>
  <c r="D225" i="7" l="1"/>
  <c r="G225" i="7"/>
  <c r="H225" i="7" s="1"/>
  <c r="I227" i="7"/>
  <c r="J227" i="7" s="1"/>
  <c r="H14" i="34"/>
  <c r="H20" i="34"/>
  <c r="H23" i="34" s="1"/>
  <c r="H27" i="34" s="1"/>
  <c r="H31" i="34" s="1"/>
  <c r="O57" i="35"/>
  <c r="N13" i="35"/>
  <c r="J129" i="35"/>
  <c r="F196" i="35" s="1"/>
  <c r="D224" i="7" l="1"/>
  <c r="G224" i="7"/>
  <c r="H224" i="7" s="1"/>
  <c r="I226" i="7"/>
  <c r="J226" i="7" s="1"/>
  <c r="F214" i="35"/>
  <c r="N196" i="35"/>
  <c r="N214" i="35" s="1"/>
  <c r="M34" i="2"/>
  <c r="M36" i="2" s="1"/>
  <c r="J36" i="2"/>
  <c r="D223" i="7" l="1"/>
  <c r="G223" i="7"/>
  <c r="H223" i="7" s="1"/>
  <c r="I225" i="7"/>
  <c r="J225" i="7" s="1"/>
  <c r="D222" i="7" l="1"/>
  <c r="G222" i="7"/>
  <c r="H222" i="7" s="1"/>
  <c r="I224" i="7"/>
  <c r="J224" i="7" s="1"/>
  <c r="D221" i="7" l="1"/>
  <c r="G221" i="7"/>
  <c r="H221" i="7" s="1"/>
  <c r="I223" i="7"/>
  <c r="J223" i="7" s="1"/>
  <c r="D220" i="7" l="1"/>
  <c r="G220" i="7"/>
  <c r="H220" i="7" s="1"/>
  <c r="I222" i="7"/>
  <c r="J222" i="7" s="1"/>
  <c r="D219" i="7" l="1"/>
  <c r="G219" i="7"/>
  <c r="H219" i="7" s="1"/>
  <c r="I221" i="7"/>
  <c r="J221" i="7" s="1"/>
  <c r="D218" i="7" l="1"/>
  <c r="G218" i="7"/>
  <c r="H218" i="7" s="1"/>
  <c r="I220" i="7"/>
  <c r="J220" i="7" s="1"/>
  <c r="D217" i="7" l="1"/>
  <c r="G217" i="7"/>
  <c r="H217" i="7" s="1"/>
  <c r="I219" i="7"/>
  <c r="J219" i="7" s="1"/>
  <c r="D216" i="7" l="1"/>
  <c r="G216" i="7"/>
  <c r="H216" i="7" s="1"/>
  <c r="I218" i="7"/>
  <c r="J218" i="7" s="1"/>
  <c r="D215" i="7" l="1"/>
  <c r="G215" i="7"/>
  <c r="H215" i="7" s="1"/>
  <c r="I217" i="7"/>
  <c r="J217" i="7" s="1"/>
  <c r="D214" i="7" l="1"/>
  <c r="G214" i="7"/>
  <c r="H214" i="7" s="1"/>
  <c r="I216" i="7"/>
  <c r="J216" i="7" s="1"/>
  <c r="D213" i="7" l="1"/>
  <c r="D212" i="7" s="1"/>
  <c r="G213" i="7"/>
  <c r="H213" i="7" s="1"/>
  <c r="I213" i="7" s="1"/>
  <c r="J213" i="7" s="1"/>
  <c r="I215" i="7"/>
  <c r="J215" i="7" s="1"/>
  <c r="I214" i="7" l="1"/>
  <c r="J214" i="7" s="1"/>
  <c r="J44" i="4" l="1"/>
  <c r="J46" i="4" s="1"/>
  <c r="K44" i="4" l="1"/>
  <c r="F49" i="18"/>
  <c r="F50" i="18" s="1"/>
  <c r="F52" i="18" s="1"/>
  <c r="H46" i="2" l="1"/>
  <c r="H48" i="2" s="1"/>
  <c r="H33" i="23"/>
  <c r="H35" i="23" s="1"/>
  <c r="H37" i="23" s="1"/>
  <c r="G49" i="18"/>
  <c r="G50" i="18" s="1"/>
  <c r="G52" i="18" s="1"/>
  <c r="L44" i="4"/>
  <c r="K46" i="4"/>
  <c r="I46" i="2" l="1"/>
  <c r="I48" i="2" s="1"/>
  <c r="I33" i="23"/>
  <c r="I35" i="23" s="1"/>
  <c r="I37" i="23" s="1"/>
  <c r="I38" i="23" s="1"/>
  <c r="H49" i="18"/>
  <c r="H50" i="18" s="1"/>
  <c r="H52" i="18" s="1"/>
  <c r="L46" i="4"/>
  <c r="M44" i="4"/>
  <c r="J39" i="2"/>
  <c r="H38" i="23"/>
  <c r="N44" i="4" l="1"/>
  <c r="K39" i="2"/>
  <c r="I49" i="18"/>
  <c r="I50" i="18" s="1"/>
  <c r="I52" i="18" s="1"/>
  <c r="M46" i="4"/>
  <c r="J46" i="2"/>
  <c r="J48" i="2" s="1"/>
  <c r="J33" i="23"/>
  <c r="J35" i="23" s="1"/>
  <c r="J37" i="23" s="1"/>
  <c r="J38" i="23" s="1"/>
  <c r="N46" i="4" l="1"/>
  <c r="L33" i="23"/>
  <c r="L35" i="23" s="1"/>
  <c r="L37" i="23" s="1"/>
  <c r="O44" i="4"/>
  <c r="J49" i="18"/>
  <c r="J50" i="18" s="1"/>
  <c r="J52" i="18" s="1"/>
  <c r="K46" i="2"/>
  <c r="K48" i="2" s="1"/>
  <c r="K33" i="23"/>
  <c r="K35" i="23" s="1"/>
  <c r="K37" i="23" s="1"/>
  <c r="K38" i="23" s="1"/>
  <c r="M39" i="2"/>
  <c r="M46" i="2" s="1"/>
  <c r="M48" i="2" s="1"/>
  <c r="L38" i="23" l="1"/>
  <c r="O46" i="4"/>
  <c r="K49" i="18"/>
  <c r="K50" i="18" s="1"/>
  <c r="K52" i="18" s="1"/>
  <c r="M33" i="23"/>
  <c r="M35" i="23" s="1"/>
  <c r="M37" i="23" s="1"/>
  <c r="M38" i="23" s="1"/>
  <c r="P44" i="4"/>
  <c r="P46" i="4" l="1"/>
  <c r="Q44" i="4"/>
  <c r="N33" i="23"/>
  <c r="N35" i="23" s="1"/>
  <c r="N37" i="23" s="1"/>
  <c r="N38" i="23" s="1"/>
  <c r="L49" i="18"/>
  <c r="L50" i="18" s="1"/>
  <c r="L52" i="18" s="1"/>
  <c r="R44" i="4" l="1"/>
  <c r="O33" i="23"/>
  <c r="O35" i="23" s="1"/>
  <c r="O37" i="23" s="1"/>
  <c r="O38" i="23" s="1"/>
  <c r="Q46" i="4"/>
  <c r="M49" i="18"/>
  <c r="M50" i="18" s="1"/>
  <c r="M52" i="18" s="1"/>
  <c r="P33" i="23" l="1"/>
  <c r="P35" i="23" s="1"/>
  <c r="P37" i="23" s="1"/>
  <c r="P38" i="23" s="1"/>
  <c r="N49" i="18"/>
  <c r="N50" i="18" s="1"/>
  <c r="N52" i="18" s="1"/>
  <c r="R46" i="4"/>
  <c r="I11" i="23" l="1"/>
  <c r="I45" i="23" l="1"/>
  <c r="I51" i="23" s="1"/>
  <c r="I61" i="23" s="1"/>
  <c r="J11" i="23"/>
  <c r="J45" i="23" l="1"/>
  <c r="J51" i="23" s="1"/>
  <c r="J61" i="23" s="1"/>
  <c r="K11" i="23"/>
  <c r="K45" i="23" l="1"/>
  <c r="K51" i="23" s="1"/>
  <c r="K61" i="23" s="1"/>
  <c r="L11" i="23" l="1"/>
  <c r="M11" i="23" l="1"/>
  <c r="L45" i="23"/>
  <c r="L51" i="23" s="1"/>
  <c r="L61" i="23" s="1"/>
  <c r="N11" i="23" l="1"/>
  <c r="M45" i="23"/>
  <c r="M51" i="23" s="1"/>
  <c r="N45" i="23" l="1"/>
  <c r="N51" i="23" s="1"/>
  <c r="O11" i="23" l="1"/>
  <c r="O45" i="23" l="1"/>
  <c r="O51" i="23" s="1"/>
  <c r="P11" i="23"/>
  <c r="P45" i="23" l="1"/>
  <c r="P51" i="23" s="1"/>
  <c r="R85" i="36" l="1"/>
  <c r="R113" i="36" s="1"/>
  <c r="S113" i="36" s="1"/>
  <c r="S83" i="36"/>
  <c r="S85" i="36" s="1"/>
  <c r="S96" i="36" s="1"/>
  <c r="S111" i="36" s="1"/>
  <c r="R111" i="36" l="1"/>
  <c r="R115" i="36" s="1"/>
  <c r="S115" i="36"/>
  <c r="S117" i="36" s="1"/>
  <c r="R96" i="36"/>
  <c r="G15" i="14"/>
  <c r="G23" i="14" s="1"/>
  <c r="G27" i="14" l="1"/>
  <c r="E10" i="29" s="1"/>
  <c r="G29" i="14"/>
  <c r="E11" i="29" s="1"/>
  <c r="G25" i="14"/>
  <c r="H10" i="14"/>
  <c r="G31" i="14" l="1"/>
  <c r="G58" i="14" s="1"/>
  <c r="G60" i="14" s="1"/>
  <c r="I11" i="5" s="1"/>
  <c r="I18" i="5" s="1"/>
  <c r="E9" i="29"/>
  <c r="E54" i="18" l="1"/>
  <c r="E58" i="18" s="1"/>
  <c r="E38" i="18" s="1"/>
  <c r="G14" i="23"/>
  <c r="G15" i="23" s="1"/>
  <c r="G19" i="23" s="1"/>
  <c r="G40" i="23" l="1"/>
  <c r="H13" i="14" s="1"/>
  <c r="H15" i="14" s="1"/>
  <c r="H23" i="14" s="1"/>
  <c r="G20" i="23"/>
  <c r="E42" i="18"/>
  <c r="G125" i="15"/>
  <c r="E36" i="18" l="1"/>
  <c r="E34" i="18"/>
  <c r="E43" i="18"/>
  <c r="E35" i="18"/>
  <c r="G135" i="15"/>
  <c r="G129" i="15"/>
  <c r="G139" i="15"/>
  <c r="H27" i="14"/>
  <c r="H29" i="14"/>
  <c r="I10" i="14"/>
  <c r="H25" i="14"/>
  <c r="H31" i="14" s="1"/>
  <c r="H58" i="14" s="1"/>
  <c r="H60" i="14" s="1"/>
  <c r="J11" i="5" s="1"/>
  <c r="J18" i="5" s="1"/>
  <c r="E33" i="18"/>
  <c r="H14" i="23" l="1"/>
  <c r="H15" i="23" s="1"/>
  <c r="H19" i="23" s="1"/>
  <c r="F54" i="18"/>
  <c r="F58" i="18" s="1"/>
  <c r="H20" i="23" l="1"/>
  <c r="H40" i="23"/>
  <c r="I13" i="14" s="1"/>
  <c r="I15" i="14" s="1"/>
  <c r="I23" i="14" s="1"/>
  <c r="F38" i="18"/>
  <c r="F59" i="18"/>
  <c r="H125" i="15" l="1"/>
  <c r="F42" i="18"/>
  <c r="F33" i="18" s="1"/>
  <c r="I27" i="14"/>
  <c r="J10" i="14"/>
  <c r="I29" i="14"/>
  <c r="I25" i="14"/>
  <c r="I31" i="14" s="1"/>
  <c r="I58" i="14" s="1"/>
  <c r="I60" i="14" s="1"/>
  <c r="K11" i="5" s="1"/>
  <c r="K18" i="5" s="1"/>
  <c r="I14" i="23" l="1"/>
  <c r="I15" i="23" s="1"/>
  <c r="I19" i="23" s="1"/>
  <c r="G54" i="18"/>
  <c r="G58" i="18" s="1"/>
  <c r="H135" i="15"/>
  <c r="H139" i="15"/>
  <c r="H129" i="15"/>
  <c r="F35" i="18"/>
  <c r="F43" i="18"/>
  <c r="F36" i="18"/>
  <c r="F34" i="18"/>
  <c r="G38" i="18" l="1"/>
  <c r="G59" i="18"/>
  <c r="I20" i="23"/>
  <c r="I40" i="23"/>
  <c r="J13" i="14" s="1"/>
  <c r="J15" i="14" s="1"/>
  <c r="J23" i="14" s="1"/>
  <c r="G42" i="18" l="1"/>
  <c r="I125" i="15"/>
  <c r="J27" i="14"/>
  <c r="K10" i="14"/>
  <c r="J29" i="14"/>
  <c r="J25" i="14"/>
  <c r="J31" i="14" s="1"/>
  <c r="J58" i="14" s="1"/>
  <c r="J60" i="14" s="1"/>
  <c r="L11" i="5" s="1"/>
  <c r="L18" i="5" s="1"/>
  <c r="G35" i="18" l="1"/>
  <c r="G36" i="18"/>
  <c r="G34" i="18"/>
  <c r="G43" i="18"/>
  <c r="J14" i="23"/>
  <c r="J15" i="23" s="1"/>
  <c r="J19" i="23" s="1"/>
  <c r="H54" i="18"/>
  <c r="H58" i="18" s="1"/>
  <c r="I139" i="15"/>
  <c r="I129" i="15"/>
  <c r="I131" i="15"/>
  <c r="G33" i="18"/>
  <c r="J131" i="15" l="1"/>
  <c r="I132" i="15"/>
  <c r="I134" i="15"/>
  <c r="I135" i="15" s="1"/>
  <c r="J20" i="23"/>
  <c r="J40" i="23"/>
  <c r="K13" i="14" s="1"/>
  <c r="K15" i="14" s="1"/>
  <c r="K23" i="14" s="1"/>
  <c r="H59" i="18"/>
  <c r="H38" i="18"/>
  <c r="J125" i="15" l="1"/>
  <c r="H42" i="18"/>
  <c r="H33" i="18" s="1"/>
  <c r="K27" i="14"/>
  <c r="K29" i="14"/>
  <c r="L10" i="14"/>
  <c r="K25" i="14"/>
  <c r="K31" i="14" s="1"/>
  <c r="K58" i="14" s="1"/>
  <c r="K60" i="14" s="1"/>
  <c r="M11" i="5" s="1"/>
  <c r="M18" i="5" s="1"/>
  <c r="J134" i="15"/>
  <c r="K131" i="15"/>
  <c r="J132" i="15"/>
  <c r="J135" i="15" l="1"/>
  <c r="H36" i="18"/>
  <c r="H43" i="18"/>
  <c r="H34" i="18"/>
  <c r="H35" i="18"/>
  <c r="K134" i="15"/>
  <c r="K132" i="15"/>
  <c r="J129" i="15"/>
  <c r="J139" i="15"/>
  <c r="K14" i="23"/>
  <c r="K15" i="23" s="1"/>
  <c r="K19" i="23" s="1"/>
  <c r="I54" i="18"/>
  <c r="I58" i="18" s="1"/>
  <c r="K20" i="23" l="1"/>
  <c r="K40" i="23"/>
  <c r="L13" i="14" s="1"/>
  <c r="L15" i="14" s="1"/>
  <c r="L23" i="14" s="1"/>
  <c r="I59" i="18"/>
  <c r="I38" i="18"/>
  <c r="L29" i="14" l="1"/>
  <c r="M10" i="14"/>
  <c r="L27" i="14"/>
  <c r="L25" i="14"/>
  <c r="L31" i="14" s="1"/>
  <c r="L58" i="14" s="1"/>
  <c r="L60" i="14" s="1"/>
  <c r="N11" i="5" s="1"/>
  <c r="N18" i="5" s="1"/>
  <c r="I42" i="18"/>
  <c r="I33" i="18" s="1"/>
  <c r="K125" i="15"/>
  <c r="I35" i="18" l="1"/>
  <c r="I36" i="18"/>
  <c r="I43" i="18"/>
  <c r="I34" i="18"/>
  <c r="K129" i="15"/>
  <c r="K139" i="15"/>
  <c r="K135" i="15"/>
  <c r="J54" i="18"/>
  <c r="J58" i="18" s="1"/>
  <c r="L14" i="23"/>
  <c r="L15" i="23" s="1"/>
  <c r="L19" i="23" s="1"/>
  <c r="J38" i="18" l="1"/>
  <c r="J59" i="18"/>
  <c r="L40" i="23"/>
  <c r="M13" i="14" s="1"/>
  <c r="M15" i="14" s="1"/>
  <c r="M23" i="14" s="1"/>
  <c r="L20" i="23"/>
  <c r="M27" i="14" l="1"/>
  <c r="N10" i="14"/>
  <c r="M29" i="14"/>
  <c r="M25" i="14"/>
  <c r="M31" i="14" s="1"/>
  <c r="M58" i="14" s="1"/>
  <c r="M60" i="14" s="1"/>
  <c r="O11" i="5" s="1"/>
  <c r="O18" i="5" s="1"/>
  <c r="J42" i="18"/>
  <c r="J33" i="18" s="1"/>
  <c r="L125" i="15"/>
  <c r="L139" i="15" l="1"/>
  <c r="L131" i="15"/>
  <c r="L129" i="15"/>
  <c r="K54" i="18"/>
  <c r="K58" i="18" s="1"/>
  <c r="M14" i="23"/>
  <c r="M15" i="23" s="1"/>
  <c r="M19" i="23" s="1"/>
  <c r="J35" i="18"/>
  <c r="J43" i="18"/>
  <c r="J34" i="18"/>
  <c r="J36" i="18"/>
  <c r="L134" i="15" l="1"/>
  <c r="L135" i="15" s="1"/>
  <c r="L132" i="15"/>
  <c r="M131" i="15"/>
  <c r="M20" i="23"/>
  <c r="M40" i="23"/>
  <c r="N13" i="14" s="1"/>
  <c r="N15" i="14" s="1"/>
  <c r="N23" i="14" s="1"/>
  <c r="K59" i="18"/>
  <c r="K38" i="18"/>
  <c r="M125" i="15" l="1"/>
  <c r="K42" i="18"/>
  <c r="N131" i="15"/>
  <c r="M134" i="15"/>
  <c r="M132" i="15"/>
  <c r="O10" i="14"/>
  <c r="N29" i="14"/>
  <c r="N27" i="14"/>
  <c r="N25" i="14"/>
  <c r="N31" i="14" s="1"/>
  <c r="N58" i="14" s="1"/>
  <c r="N60" i="14" s="1"/>
  <c r="P11" i="5" s="1"/>
  <c r="P18" i="5" s="1"/>
  <c r="L54" i="18" l="1"/>
  <c r="L58" i="18" s="1"/>
  <c r="N14" i="23"/>
  <c r="N15" i="23" s="1"/>
  <c r="N19" i="23" s="1"/>
  <c r="M139" i="15"/>
  <c r="M129" i="15"/>
  <c r="K36" i="18"/>
  <c r="K43" i="18"/>
  <c r="K34" i="18"/>
  <c r="K35" i="18"/>
  <c r="N132" i="15"/>
  <c r="N134" i="15"/>
  <c r="M135" i="15"/>
  <c r="K33" i="18"/>
  <c r="L59" i="18" l="1"/>
  <c r="L38" i="18"/>
  <c r="N20" i="23"/>
  <c r="N40" i="23"/>
  <c r="O13" i="14" s="1"/>
  <c r="O15" i="14" s="1"/>
  <c r="O23" i="14" s="1"/>
  <c r="L42" i="18" l="1"/>
  <c r="L33" i="18" s="1"/>
  <c r="N125" i="15"/>
  <c r="O27" i="14"/>
  <c r="O29" i="14"/>
  <c r="P10" i="14"/>
  <c r="O25" i="14"/>
  <c r="O31" i="14" s="1"/>
  <c r="O58" i="14" s="1"/>
  <c r="O60" i="14" s="1"/>
  <c r="Q11" i="5" s="1"/>
  <c r="Q18" i="5" s="1"/>
  <c r="O14" i="23" l="1"/>
  <c r="O15" i="23" s="1"/>
  <c r="O19" i="23" s="1"/>
  <c r="M54" i="18"/>
  <c r="M58" i="18" s="1"/>
  <c r="N139" i="15"/>
  <c r="N129" i="15"/>
  <c r="N135" i="15"/>
  <c r="L36" i="18"/>
  <c r="L35" i="18"/>
  <c r="L43" i="18"/>
  <c r="L34" i="18"/>
  <c r="M59" i="18" l="1"/>
  <c r="M38" i="18"/>
  <c r="O20" i="23"/>
  <c r="O40" i="23"/>
  <c r="P13" i="14" s="1"/>
  <c r="P15" i="14" s="1"/>
  <c r="P23" i="14" s="1"/>
  <c r="O125" i="15" l="1"/>
  <c r="M42" i="18"/>
  <c r="M33" i="18" s="1"/>
  <c r="Q10" i="14"/>
  <c r="P29" i="14"/>
  <c r="P27" i="14"/>
  <c r="P25" i="14"/>
  <c r="P31" i="14" s="1"/>
  <c r="P58" i="14" s="1"/>
  <c r="P60" i="14" s="1"/>
  <c r="R11" i="5" s="1"/>
  <c r="R18" i="5" s="1"/>
  <c r="O129" i="15" l="1"/>
  <c r="O131" i="15"/>
  <c r="O139" i="15"/>
  <c r="N54" i="18"/>
  <c r="N58" i="18" s="1"/>
  <c r="P14" i="23"/>
  <c r="P15" i="23" s="1"/>
  <c r="P19" i="23" s="1"/>
  <c r="M43" i="18"/>
  <c r="M35" i="18"/>
  <c r="M34" i="18"/>
  <c r="M36" i="18"/>
  <c r="O134" i="15" l="1"/>
  <c r="O135" i="15" s="1"/>
  <c r="P131" i="15"/>
  <c r="O132" i="15"/>
  <c r="N38" i="18"/>
  <c r="N59" i="18"/>
  <c r="P20" i="23"/>
  <c r="P40" i="23"/>
  <c r="Q13" i="14" s="1"/>
  <c r="Q15" i="14" s="1"/>
  <c r="Q23" i="14" s="1"/>
  <c r="P132" i="15" l="1"/>
  <c r="P134" i="15"/>
  <c r="Q29" i="14"/>
  <c r="Q27" i="14"/>
  <c r="Q25" i="14"/>
  <c r="Q31" i="14" s="1"/>
  <c r="Q58" i="14" s="1"/>
  <c r="Q60" i="14" s="1"/>
  <c r="P125" i="15"/>
  <c r="N42" i="18"/>
  <c r="N33" i="18" s="1"/>
  <c r="P129" i="15" l="1"/>
  <c r="P139" i="15"/>
  <c r="N35" i="18"/>
  <c r="N34" i="18"/>
  <c r="N36" i="18"/>
  <c r="N43" i="18"/>
  <c r="P13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  <author>Bart  Kreps</author>
  </authors>
  <commentList>
    <comment ref="X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Removed because of reduced billable flows in 2010.</t>
        </r>
      </text>
    </comment>
    <comment ref="H34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Bart Kreps:</t>
        </r>
        <r>
          <rPr>
            <sz val="9"/>
            <color indexed="81"/>
            <rFont val="Tahoma"/>
            <charset val="1"/>
          </rPr>
          <t xml:space="preserve">
Proposed settlement is $571,464.</t>
        </r>
      </text>
    </comment>
    <comment ref="V5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Bart  Kreps:</t>
        </r>
        <r>
          <rPr>
            <sz val="8"/>
            <color indexed="81"/>
            <rFont val="Tahoma"/>
            <family val="2"/>
          </rPr>
          <t xml:space="preserve">
removed in various options.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C23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Since the majority of this project will be completed in 2013, the full cost is assumed in the depreciation adjustment.</t>
        </r>
      </text>
    </comment>
    <comment ref="B28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From Board Approved Budget List for smaller capital outlays.</t>
        </r>
      </text>
    </comment>
    <comment ref="C28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48% of $18,205 to Radcliff.</t>
        </r>
      </text>
    </comment>
    <comment ref="C29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50% of $35,600 to Radcliff.</t>
        </r>
      </text>
    </comment>
    <comment ref="C30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47% of $7,500 to Radcliff.</t>
        </r>
      </text>
    </comment>
    <comment ref="C32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21% of $33,000 to Radcliff.</t>
        </r>
      </text>
    </comment>
    <comment ref="C33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47% of $17,430 to Radcliff.</t>
        </r>
      </text>
    </comment>
    <comment ref="C35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47% of $6,450 to Radcliff.</t>
        </r>
      </text>
    </comment>
    <comment ref="C39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30% of $7,345 to Radcliff.
</t>
        </r>
      </text>
    </comment>
    <comment ref="C42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30% of $5,200 to Radcliff.
</t>
        </r>
      </text>
    </comment>
    <comment ref="C4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30% of $5,200 to Radcliff.</t>
        </r>
      </text>
    </comment>
    <comment ref="C45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30% of $2,100 to Radcliff.</t>
        </r>
      </text>
    </comment>
    <comment ref="C46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47% of $6,400 to Radcliff.
</t>
        </r>
      </text>
    </comment>
    <comment ref="C47" authorId="0" shapeId="0" xr:uid="{00000000-0006-0000-1600-00000E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Allocated 47% of $7,587 to Radcliff.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  <author>jbruce</author>
  </authors>
  <commentList>
    <comment ref="F22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Per Jim and Scott on 7/25/12.</t>
        </r>
      </text>
    </comment>
    <comment ref="F29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jbruce:</t>
        </r>
        <r>
          <rPr>
            <sz val="9"/>
            <color indexed="81"/>
            <rFont val="Tahoma"/>
            <family val="2"/>
          </rPr>
          <t xml:space="preserve">
Lowered from 50 to 10 based on current slow new construction growth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B6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Estimated based on principal payments in 2010.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F23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To be conservative, assume all usage billed at the Tier 1 rate.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  <author xml:space="preserve"> </author>
  </authors>
  <commentList>
    <comment ref="F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Includes adjustment per Scott's email on audit adjustments.(1/24/13).</t>
        </r>
      </text>
    </comment>
    <comment ref="F3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Includes customer deposit interest expense.</t>
        </r>
      </text>
    </comment>
    <comment ref="Q14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Includes commissioner salaries + admin salaries &amp; overhead + commission expense.</t>
        </r>
      </text>
    </comment>
    <comment ref="K147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Moved up because lines were not matching..double check with general ledger.</t>
        </r>
      </text>
    </comment>
    <comment ref="Q148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 Includes Maintenance and Repairs.</t>
        </r>
      </text>
    </comment>
    <comment ref="M149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Difference from items on overage limits that were capitalized. </t>
        </r>
      </text>
    </comment>
    <comment ref="Q149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Includes Veolia fee + HCWD2 sewer readings + contract services + billing &amp; printing + contracted security + cash/over short+ contracted services.</t>
        </r>
      </text>
    </comment>
    <comment ref="Q152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Includes materials &amp; supplies + materials &amp; supplies + computer supplies+ dues and subscriptions + postage + safety committee. </t>
        </r>
      </text>
    </comment>
    <comment ref="Q153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Includes routine maintenance services + internal maintenance supervisor labor &amp; benefits.</t>
        </r>
      </text>
    </comment>
    <comment ref="Q156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Includes Transportation &amp; Fuel and Repair (Jim &amp; Brett) + Travel and Lodging.
</t>
        </r>
      </text>
    </comment>
    <comment ref="Q161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Includes credit card charges and other direct charges + monthly franchise fee.</t>
        </r>
      </text>
    </comment>
    <comment ref="Q162" authorId="1" shapeId="0" xr:uid="{00000000-0006-0000-0400-00000C000000}">
      <text>
        <r>
          <rPr>
            <b/>
            <sz val="8"/>
            <color indexed="81"/>
            <rFont val="Tahoma"/>
            <family val="2"/>
          </rPr>
          <t>Self bill water usage at Lincoln Lift Station and 325 New St. + allocation of utility expense and phone expense.</t>
        </r>
      </text>
    </comment>
    <comment ref="P168" authorId="1" shapeId="0" xr:uid="{00000000-0006-0000-0400-00000D000000}">
      <text>
        <r>
          <rPr>
            <b/>
            <sz val="8"/>
            <color indexed="81"/>
            <rFont val="Tahoma"/>
            <family val="2"/>
          </rPr>
          <t>Trial Balance - includes depreciation, allocated depreciation, and amortization of acquisition expense.</t>
        </r>
      </text>
    </comment>
    <comment ref="P169" authorId="1" shapeId="0" xr:uid="{00000000-0006-0000-0400-00000E000000}">
      <text>
        <r>
          <rPr>
            <b/>
            <sz val="8"/>
            <color indexed="81"/>
            <rFont val="Tahoma"/>
            <family val="2"/>
          </rPr>
          <t xml:space="preserve">Includes amortization of debt expense, allocation of amortized debt expense, interest on long-term debt, loan service fees, allocated interest expense, and customer interest expense. </t>
        </r>
      </text>
    </comment>
    <comment ref="N204" authorId="1" shapeId="0" xr:uid="{00000000-0006-0000-0400-00000F000000}">
      <text>
        <r>
          <rPr>
            <b/>
            <sz val="8"/>
            <color indexed="81"/>
            <rFont val="Tahoma"/>
            <family val="2"/>
          </rPr>
          <t>Adjustment</t>
        </r>
      </text>
    </comment>
    <comment ref="N213" authorId="1" shapeId="0" xr:uid="{00000000-0006-0000-0400-000010000000}">
      <text>
        <r>
          <rPr>
            <b/>
            <sz val="8"/>
            <color indexed="81"/>
            <rFont val="Tahoma"/>
            <family val="2"/>
          </rPr>
          <t>Adjustment</t>
        </r>
      </text>
    </comment>
    <comment ref="N214" authorId="1" shapeId="0" xr:uid="{00000000-0006-0000-0400-000011000000}">
      <text>
        <r>
          <rPr>
            <b/>
            <sz val="8"/>
            <color indexed="81"/>
            <rFont val="Tahoma"/>
            <family val="2"/>
          </rPr>
          <t>Adjustment</t>
        </r>
      </text>
    </comment>
    <comment ref="N217" authorId="1" shapeId="0" xr:uid="{00000000-0006-0000-0400-000012000000}">
      <text>
        <r>
          <rPr>
            <b/>
            <sz val="8"/>
            <color indexed="81"/>
            <rFont val="Tahoma"/>
            <family val="2"/>
          </rPr>
          <t>Adjustment</t>
        </r>
      </text>
    </comment>
    <comment ref="I275" authorId="0" shapeId="0" xr:uid="{00000000-0006-0000-0400-000013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per JB.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H3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Bart Kreps:
Projected Depreciation.</t>
        </r>
      </text>
    </comment>
    <comment ref="I3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Projected Depreciation.</t>
        </r>
      </text>
    </comment>
    <comment ref="J36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5-year average CIP.</t>
        </r>
      </text>
    </comment>
    <comment ref="K36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5-year average CIP.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 Kreps</author>
    <author>Bart Kreps</author>
  </authors>
  <commentList>
    <comment ref="I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Bart  Kreps:</t>
        </r>
        <r>
          <rPr>
            <sz val="8"/>
            <color indexed="81"/>
            <rFont val="Tahoma"/>
            <family val="2"/>
          </rPr>
          <t xml:space="preserve">
pulls from prior year unrestricted reserves to avoid a circular reference. </t>
        </r>
      </text>
    </comment>
    <comment ref="C41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Per Jim and Scott on 7/25/12.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F1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Assumes rate increase not effective until January 2014.</t>
        </r>
      </text>
    </comment>
    <comment ref="J1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Prospective change in rates.</t>
        </r>
      </text>
    </comment>
    <comment ref="M10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Prospective change in rates.</t>
        </r>
      </text>
    </comment>
    <comment ref="P1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Prospective change in rates.</t>
        </r>
      </text>
    </comment>
    <comment ref="E3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What could be supported - not necessarily what was done.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</authors>
  <commentList>
    <comment ref="G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Assumes rate increase in not effetive until January 1, 2014.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  <author xml:space="preserve"> </author>
  </authors>
  <commentList>
    <comment ref="H2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Excludes interest adjustment…already captured above.</t>
        </r>
      </text>
    </comment>
    <comment ref="G38" authorId="1" shapeId="0" xr:uid="{00000000-0006-0000-0F00-000002000000}">
      <text>
        <r>
          <rPr>
            <b/>
            <sz val="8"/>
            <color indexed="81"/>
            <rFont val="Tahoma"/>
            <family val="2"/>
          </rPr>
          <t xml:space="preserve"> Includes new customers. </t>
        </r>
      </text>
    </comment>
    <comment ref="G44" authorId="1" shapeId="0" xr:uid="{00000000-0006-0000-0F00-000003000000}">
      <text>
        <r>
          <rPr>
            <b/>
            <sz val="8"/>
            <color indexed="81"/>
            <rFont val="Tahoma"/>
            <family val="2"/>
          </rPr>
          <t>Includes new customers and adjustment for winter quarter billing.</t>
        </r>
      </text>
    </comment>
    <comment ref="H77" authorId="0" shapeId="0" xr:uid="{00000000-0006-0000-0F00-000004000000}">
      <text>
        <r>
          <rPr>
            <b/>
            <sz val="9"/>
            <color indexed="81"/>
            <rFont val="Tahoma"/>
            <charset val="1"/>
          </rPr>
          <t>Bart Kreps:</t>
        </r>
        <r>
          <rPr>
            <sz val="9"/>
            <color indexed="81"/>
            <rFont val="Tahoma"/>
            <charset val="1"/>
          </rPr>
          <t xml:space="preserve">
PSC negotiated settlement.</t>
        </r>
      </text>
    </comment>
    <comment ref="F108" authorId="1" shapeId="0" xr:uid="{00000000-0006-0000-0F00-000005000000}">
      <text>
        <r>
          <rPr>
            <b/>
            <sz val="8"/>
            <color indexed="81"/>
            <rFont val="Tahoma"/>
            <family val="2"/>
          </rPr>
          <t>Excludes revenue from new customers.</t>
        </r>
      </text>
    </comment>
    <comment ref="I114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Assumes 3-year cycle with PSC for rate filing. 
</t>
        </r>
      </text>
    </comment>
    <comment ref="F125" authorId="1" shapeId="0" xr:uid="{00000000-0006-0000-0F00-000007000000}">
      <text>
        <r>
          <rPr>
            <b/>
            <sz val="8"/>
            <color indexed="81"/>
            <rFont val="Tahoma"/>
            <family val="2"/>
          </rPr>
          <t>Excludes Revenue from new customers because they are already included in flow and account data.</t>
        </r>
      </text>
    </comment>
    <comment ref="I131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Assumes 3-year cycle with PSC for rate filing.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Bart  Kreps</author>
  </authors>
  <commentList>
    <comment ref="P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Adjusted to tie with actual revenues.</t>
        </r>
      </text>
    </comment>
    <comment ref="D175" authorId="1" shapeId="0" xr:uid="{00000000-0006-0000-1000-000002000000}">
      <text>
        <r>
          <rPr>
            <b/>
            <sz val="8"/>
            <color indexed="81"/>
            <rFont val="Tahoma"/>
            <family val="2"/>
          </rPr>
          <t>Bart  Kreps:</t>
        </r>
        <r>
          <rPr>
            <sz val="8"/>
            <color indexed="81"/>
            <rFont val="Tahoma"/>
            <family val="2"/>
          </rPr>
          <t xml:space="preserve">
includes adjustment for winter quarter billing….Removed this adjustment for Option 4.</t>
        </r>
      </text>
    </comment>
    <comment ref="D176" authorId="1" shapeId="0" xr:uid="{00000000-0006-0000-1000-000003000000}">
      <text>
        <r>
          <rPr>
            <b/>
            <sz val="8"/>
            <color indexed="81"/>
            <rFont val="Tahoma"/>
            <family val="2"/>
          </rPr>
          <t>Bart  Kreps:</t>
        </r>
        <r>
          <rPr>
            <sz val="8"/>
            <color indexed="81"/>
            <rFont val="Tahoma"/>
            <family val="2"/>
          </rPr>
          <t xml:space="preserve">
includes adjustment for winter quarter billing…..Removed this adjustment for Option 4.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Kreps</author>
    <author xml:space="preserve"> </author>
  </authors>
  <commentList>
    <comment ref="H12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new contract per email from Scott on 4/24</t>
        </r>
      </text>
    </comment>
    <comment ref="H38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per discussion with Scott on 4/24. Consistent with contract.</t>
        </r>
      </text>
    </comment>
    <comment ref="F194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Bart Kreps:</t>
        </r>
        <r>
          <rPr>
            <sz val="9"/>
            <color indexed="81"/>
            <rFont val="Tahoma"/>
            <family val="2"/>
          </rPr>
          <t xml:space="preserve">
part-time, half year.</t>
        </r>
      </text>
    </comment>
    <comment ref="C287" authorId="1" shapeId="0" xr:uid="{00000000-0006-0000-1400-000004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02" authorId="1" shapeId="0" xr:uid="{00000000-0006-0000-1400-000005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17" authorId="1" shapeId="0" xr:uid="{00000000-0006-0000-1400-00000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32" authorId="1" shapeId="0" xr:uid="{00000000-0006-0000-1400-000007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47" authorId="1" shapeId="0" xr:uid="{00000000-0006-0000-1400-000008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62" authorId="1" shapeId="0" xr:uid="{00000000-0006-0000-1400-000009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77" authorId="1" shapeId="0" xr:uid="{00000000-0006-0000-1400-00000A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  <comment ref="C392" authorId="1" shapeId="0" xr:uid="{00000000-0006-0000-1400-00000B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Vacant.</t>
        </r>
      </text>
    </comment>
  </commentList>
</comments>
</file>

<file path=xl/sharedStrings.xml><?xml version="1.0" encoding="utf-8"?>
<sst xmlns="http://schemas.openxmlformats.org/spreadsheetml/2006/main" count="3321" uniqueCount="1675">
  <si>
    <t xml:space="preserve">Prepared By: </t>
  </si>
  <si>
    <t xml:space="preserve">Raftelis Financial Consultants, Inc. </t>
  </si>
  <si>
    <t>Hardin County Water District #1</t>
  </si>
  <si>
    <t>Radcliff Wastewater Utility</t>
  </si>
  <si>
    <t>HCWD1 - Radcliff Utility</t>
  </si>
  <si>
    <t>Test Year</t>
  </si>
  <si>
    <t>Operating Expenses</t>
  </si>
  <si>
    <t>Collection System Labor</t>
  </si>
  <si>
    <t>Customer Service Labor</t>
  </si>
  <si>
    <t>Administrative Labor</t>
  </si>
  <si>
    <t>Professional Services-Accounting</t>
  </si>
  <si>
    <t>Professional Services-Legal</t>
  </si>
  <si>
    <t>Information Technology Expense</t>
  </si>
  <si>
    <t>Certification &amp; Training</t>
  </si>
  <si>
    <t>Education &amp; Conferences</t>
  </si>
  <si>
    <t>Bad Debt Expense</t>
  </si>
  <si>
    <t>Agency Collection Expense</t>
  </si>
  <si>
    <t>Miscellaneous Customer Expense</t>
  </si>
  <si>
    <t>Contractual Services</t>
  </si>
  <si>
    <t>Supplies for Collection System</t>
  </si>
  <si>
    <t>Office Expense</t>
  </si>
  <si>
    <t>Repairs &amp; Maintenance</t>
  </si>
  <si>
    <t>Insurance Services</t>
  </si>
  <si>
    <t>Transportation Fuel &amp; Repairs</t>
  </si>
  <si>
    <t>Dues &amp; Subscriptions</t>
  </si>
  <si>
    <t>Advertising Expense</t>
  </si>
  <si>
    <t>Regulatory Commission Expense</t>
  </si>
  <si>
    <t>Rent Expense</t>
  </si>
  <si>
    <t>Miscellaneous Expense</t>
  </si>
  <si>
    <t>Utilities</t>
  </si>
  <si>
    <t>Pumping System Labor</t>
  </si>
  <si>
    <t>Total Operating Expenses</t>
  </si>
  <si>
    <t>12 Month</t>
  </si>
  <si>
    <t>% Change</t>
  </si>
  <si>
    <t>Investment Expense</t>
  </si>
  <si>
    <t>Interest Expense</t>
  </si>
  <si>
    <t>Adjustments</t>
  </si>
  <si>
    <t>Rate Year</t>
  </si>
  <si>
    <t>Rate and Cost of Service Study</t>
  </si>
  <si>
    <t>Support Schedule</t>
  </si>
  <si>
    <t>Debt Service</t>
  </si>
  <si>
    <t>Kentucky Infrastructure Authority</t>
  </si>
  <si>
    <t>Principal</t>
  </si>
  <si>
    <t>Interest</t>
  </si>
  <si>
    <t>Total</t>
  </si>
  <si>
    <t>Fiduciary Fee</t>
  </si>
  <si>
    <t>Total Existing Debt</t>
  </si>
  <si>
    <t>Materials &amp; Supplies</t>
  </si>
  <si>
    <t>Maintenance &amp; Repairs</t>
  </si>
  <si>
    <t>Bill Printing/Mailing Contract</t>
  </si>
  <si>
    <t>Contracted Security Service</t>
  </si>
  <si>
    <t>Cash Over &amp; Short</t>
  </si>
  <si>
    <t xml:space="preserve">Commissioners' Salary </t>
  </si>
  <si>
    <t>Legal OASDI</t>
  </si>
  <si>
    <t>Legal Pension</t>
  </si>
  <si>
    <t>Computer Supplies</t>
  </si>
  <si>
    <t>Uniform Expense</t>
  </si>
  <si>
    <t>Variable Rate Interest on Long Term Debt</t>
  </si>
  <si>
    <t>Remarketing &amp; Other Bond Fees</t>
  </si>
  <si>
    <t>Amortization of Debt Discount &amp; Expense</t>
  </si>
  <si>
    <t>Transportation Fuel &amp; Repairs (Jim/Brett)</t>
  </si>
  <si>
    <t>Telephone Expense</t>
  </si>
  <si>
    <t>Postage &amp; Mailing</t>
  </si>
  <si>
    <t>Safety Committee</t>
  </si>
  <si>
    <t>Information Technology Committee</t>
  </si>
  <si>
    <t>Commission Expense</t>
  </si>
  <si>
    <t>Travel &amp; Lodging</t>
  </si>
  <si>
    <t>Basis of Allocation</t>
  </si>
  <si>
    <t>Code</t>
  </si>
  <si>
    <t>% Allocation to Radcliff</t>
  </si>
  <si>
    <t>Legal Wages</t>
  </si>
  <si>
    <t>Account #</t>
  </si>
  <si>
    <t>#15.6009032</t>
  </si>
  <si>
    <t>#15.6809210</t>
  </si>
  <si>
    <t>#15.6709050</t>
  </si>
  <si>
    <t>#15.6809230</t>
  </si>
  <si>
    <t>#14.6507102</t>
  </si>
  <si>
    <t>#19.7004270</t>
  </si>
  <si>
    <t>#19.7004271</t>
  </si>
  <si>
    <t>#19.6009200</t>
  </si>
  <si>
    <t>#19.6307330</t>
  </si>
  <si>
    <t>#19.6107012</t>
  </si>
  <si>
    <t>#19.6809210</t>
  </si>
  <si>
    <t>#19.6809230</t>
  </si>
  <si>
    <t>#14.6507101</t>
  </si>
  <si>
    <t>#19.6809290</t>
  </si>
  <si>
    <t>#19.6307340</t>
  </si>
  <si>
    <t>#19.6307350</t>
  </si>
  <si>
    <t>#19.6307360</t>
  </si>
  <si>
    <t>#14.6007011</t>
  </si>
  <si>
    <t>#19.7004071</t>
  </si>
  <si>
    <t>Depreciation</t>
  </si>
  <si>
    <t>a</t>
  </si>
  <si>
    <t>e</t>
  </si>
  <si>
    <t>b</t>
  </si>
  <si>
    <t>c</t>
  </si>
  <si>
    <t>d</t>
  </si>
  <si>
    <t>Department Codes:</t>
  </si>
  <si>
    <t>14 - Distribution/Collection</t>
  </si>
  <si>
    <t>15 - Customer Service</t>
  </si>
  <si>
    <t>16 - Maintenance</t>
  </si>
  <si>
    <t>19 - Administration</t>
  </si>
  <si>
    <t>% is based upon Radcliff Sewer Customers compared to Total Customers.</t>
  </si>
  <si>
    <t>% was determined by how many times Commission voted on Radcliff issues during 2008.</t>
  </si>
  <si>
    <t>Expense for the Variable Rate Bond issued for the Service Center is allocated to Radcliff based upon the occupancy % of personnel devoted to Radcliff Sewer.  This was based on square footage of office space and amount of time employees designate to Radcliff.</t>
  </si>
  <si>
    <t>Inspection Expense</t>
  </si>
  <si>
    <t>Depreciation/Amortization</t>
  </si>
  <si>
    <t>Non-Operating Expenses</t>
  </si>
  <si>
    <t>Total Non-Operating Expenses</t>
  </si>
  <si>
    <t xml:space="preserve">PSC Case </t>
  </si>
  <si>
    <t>Exhibit ?</t>
  </si>
  <si>
    <t>Revenue Requirement Detail</t>
  </si>
  <si>
    <t>Test Year (1)</t>
  </si>
  <si>
    <t>sum check (0)</t>
  </si>
  <si>
    <t>Net Revenue Requirements</t>
  </si>
  <si>
    <t>P&amp;I</t>
  </si>
  <si>
    <t>Fees</t>
  </si>
  <si>
    <t>Total Debt Service</t>
  </si>
  <si>
    <t>KIA Loan # A97-03 (1)</t>
  </si>
  <si>
    <t>Debt service payment schedules provided by the Hardin County Water District #1 Finance Department.</t>
  </si>
  <si>
    <t>Revenue Offsets</t>
  </si>
  <si>
    <t>Penalties, Service Fee &amp; Miscellaneous</t>
  </si>
  <si>
    <t>Gain of Sale of Assets</t>
  </si>
  <si>
    <t>Tap Fees</t>
  </si>
  <si>
    <t>Total Revenue Offsets</t>
  </si>
  <si>
    <t>Other Operating Income</t>
  </si>
  <si>
    <t>Non-Operating Income</t>
  </si>
  <si>
    <t>Interest Earnings</t>
  </si>
  <si>
    <t>Subtotal Other Operating Income</t>
  </si>
  <si>
    <t>Subtotal Non-Operating Income</t>
  </si>
  <si>
    <t>Capital Contributions</t>
  </si>
  <si>
    <t>Subtotal Capital Contributions</t>
  </si>
  <si>
    <t>Gain on Sale of Assets</t>
  </si>
  <si>
    <t>Capital Projects</t>
  </si>
  <si>
    <t>Capital Improvement Plan</t>
  </si>
  <si>
    <t>Total Capital Projects</t>
  </si>
  <si>
    <t>Funding Sources</t>
  </si>
  <si>
    <t>Rate Funded Capital</t>
  </si>
  <si>
    <t>Total Funding Sources</t>
  </si>
  <si>
    <t xml:space="preserve">Test Year </t>
  </si>
  <si>
    <t>Cost of Service</t>
  </si>
  <si>
    <t>Volume</t>
  </si>
  <si>
    <t xml:space="preserve">Customer Service </t>
  </si>
  <si>
    <t>Meter Reading</t>
  </si>
  <si>
    <t>Cost of Service - % Allocations</t>
  </si>
  <si>
    <t>Billing &amp; Collections</t>
  </si>
  <si>
    <t>Amortization and Depreciation Expense</t>
  </si>
  <si>
    <t>Non Operating Income/Expenses</t>
  </si>
  <si>
    <t>Interest Income</t>
  </si>
  <si>
    <t>Amortization/Depreciation Expense</t>
  </si>
  <si>
    <t>Total Test Year Cost of Service</t>
  </si>
  <si>
    <t>Total Non-Operating Income/Expenses</t>
  </si>
  <si>
    <t>Less: Non-Operating Income/Expenses</t>
  </si>
  <si>
    <t>Total Capital Contributions</t>
  </si>
  <si>
    <t>Exhibit</t>
  </si>
  <si>
    <t>Cost of Service Allocations</t>
  </si>
  <si>
    <t>Adjustments to Test Year Cost:</t>
  </si>
  <si>
    <t>Adjustments to Test-Year</t>
  </si>
  <si>
    <t>check sum(0)</t>
  </si>
  <si>
    <t>Total Amortization Depreciation Expenses</t>
  </si>
  <si>
    <t>Sal + OH  allocate to other funds (Collection System)</t>
  </si>
  <si>
    <t>Sal + OH  allocate to other funds (Customer Service)</t>
  </si>
  <si>
    <t>Sal + OH  allocate to other funds (Maintenance)</t>
  </si>
  <si>
    <t>Sal + OH  allocate to other funds (Administration)</t>
  </si>
  <si>
    <t>Administration</t>
  </si>
  <si>
    <t>Accountant</t>
  </si>
  <si>
    <t>Accounting Specialist</t>
  </si>
  <si>
    <t>Project Coordinator</t>
  </si>
  <si>
    <t>General Manager</t>
  </si>
  <si>
    <t>Capital Projects - New Additions</t>
  </si>
  <si>
    <t>Estimated Cost</t>
  </si>
  <si>
    <t>Service Life</t>
  </si>
  <si>
    <t xml:space="preserve">Total </t>
  </si>
  <si>
    <t>Amortized Cost</t>
  </si>
  <si>
    <t>Amortized Rate Case Expense</t>
  </si>
  <si>
    <t>Allocation Support - Does not tie to income statement because of additional direct expenses and capitalization of certain operating costs.</t>
  </si>
  <si>
    <t>Includes interest expense on debt allocated directly to the Radcliff Utility as well as allocated debt service associated with</t>
  </si>
  <si>
    <t>interest expense on the 2002 Variable Rate Bond issued for the Service Center. For this specific obligation, debt service</t>
  </si>
  <si>
    <t>employees designate to the Radcliff Utility.  Interest expense also includes the amortization of debt expense, amortization of allocated</t>
  </si>
  <si>
    <t>debt discount/expense, loan service fees, and customer interest expense.</t>
  </si>
  <si>
    <t>Interest Expense - Radcliff Utility (3)</t>
  </si>
  <si>
    <t>Depreciation/Amortization (2)</t>
  </si>
  <si>
    <t>Includes depreciation, allocated depreciation and amortization of acquisition costs associated with the Radcliff Utility.</t>
  </si>
  <si>
    <t>Sewer Service Revenue</t>
  </si>
  <si>
    <t>Total Operating Revenue</t>
  </si>
  <si>
    <t>Insurance</t>
  </si>
  <si>
    <t>Insurance Services (1)</t>
  </si>
  <si>
    <t>Additional Funding Needs</t>
  </si>
  <si>
    <t>KIA Loans</t>
  </si>
  <si>
    <t>Revenue Bonds</t>
  </si>
  <si>
    <t>a,b,e</t>
  </si>
  <si>
    <t>Direct</t>
  </si>
  <si>
    <t>f</t>
  </si>
  <si>
    <t>Direct + e</t>
  </si>
  <si>
    <t>g</t>
  </si>
  <si>
    <t>Capital Financing Calculations</t>
  </si>
  <si>
    <t>Proposed KIA Loans</t>
  </si>
  <si>
    <t>Total Payment</t>
  </si>
  <si>
    <t>Principal Balance</t>
  </si>
  <si>
    <t>KIA Loan Assumptions</t>
  </si>
  <si>
    <t xml:space="preserve">Term </t>
  </si>
  <si>
    <t>Rate</t>
  </si>
  <si>
    <t>Proposed Revenue Bonds</t>
  </si>
  <si>
    <t>Add:</t>
  </si>
  <si>
    <t>Issuance Costs</t>
  </si>
  <si>
    <t>Total Cost of Bonds</t>
  </si>
  <si>
    <t>Revenue Bond Assumptions</t>
  </si>
  <si>
    <t>The District has been awarded a total of $3.75 million in grants from the Base Realignment And Closure (BRAC).</t>
  </si>
  <si>
    <t>Work Area</t>
  </si>
  <si>
    <t>Veolia Contract Operating Agreement</t>
  </si>
  <si>
    <t>Electric</t>
  </si>
  <si>
    <t>Odor Control</t>
  </si>
  <si>
    <t>Operation and Management</t>
  </si>
  <si>
    <t>Repair &amp; Maintenance</t>
  </si>
  <si>
    <t>Contractual Services (1)</t>
  </si>
  <si>
    <t>HCWD1 capitalizes a portion of the Veolia contract operating agreement.</t>
  </si>
  <si>
    <t>Addition of Amortized Rate Case Consultation (5 years)</t>
  </si>
  <si>
    <t>Kentucky Municipal League Pooled Lease Financing</t>
  </si>
  <si>
    <t>Addition of 3-year average debt service (principal, interest, and coverage)</t>
  </si>
  <si>
    <t>3-Year Average Debt Service (Principal &amp; Interest)</t>
  </si>
  <si>
    <t>KLA Rev. Ref. - Series 2001A</t>
  </si>
  <si>
    <t>Debt Service (Principal, Interest &amp; Fees)</t>
  </si>
  <si>
    <t>Times (x) Debt Service Coverage</t>
  </si>
  <si>
    <t>Total Debt Service Plus Coverage</t>
  </si>
  <si>
    <t>Total Debt Service Plus Coverage (3 years)</t>
  </si>
  <si>
    <t>3-Year Average</t>
  </si>
  <si>
    <t>Deduction of Depreciation</t>
  </si>
  <si>
    <t>Addition of Depreciation</t>
  </si>
  <si>
    <t>Cash Reserves</t>
  </si>
  <si>
    <t>User Charge Revenue</t>
  </si>
  <si>
    <t>Reserves</t>
  </si>
  <si>
    <t>Operating Reserve</t>
  </si>
  <si>
    <t>Surplus/Deficit</t>
  </si>
  <si>
    <t>Transfer from Rates</t>
  </si>
  <si>
    <t>Subtotal</t>
  </si>
  <si>
    <t>Sources</t>
  </si>
  <si>
    <t>Uses</t>
  </si>
  <si>
    <t>Ending Balance</t>
  </si>
  <si>
    <t>Beginning Balance (1)</t>
  </si>
  <si>
    <t>Projected Competion Date</t>
  </si>
  <si>
    <t>Monthly Depreciation</t>
  </si>
  <si>
    <t>Depreciation Adjustment</t>
  </si>
  <si>
    <t>Total Adjustments to Test Year Cost</t>
  </si>
  <si>
    <t>Inch-Feet Sewer Mains</t>
  </si>
  <si>
    <t>Nominal Diameter</t>
  </si>
  <si>
    <t>% Total</t>
  </si>
  <si>
    <t>Functional Categories</t>
  </si>
  <si>
    <t>Billing and Collections</t>
  </si>
  <si>
    <t>Rate Year Cost of Service</t>
  </si>
  <si>
    <t>Allocation Percentages</t>
  </si>
  <si>
    <t>Account Component</t>
  </si>
  <si>
    <t>Volume Component</t>
  </si>
  <si>
    <t>Allocation $s</t>
  </si>
  <si>
    <t>Volume Component (1)</t>
  </si>
  <si>
    <t>Account Component (2)</t>
  </si>
  <si>
    <t>(1) Allocated costs to be recovered by the volumetric charge.</t>
  </si>
  <si>
    <t>Unknown (assume 8")</t>
  </si>
  <si>
    <t>Length in Feet (Known)</t>
  </si>
  <si>
    <t>Add Unknown</t>
  </si>
  <si>
    <t>Unknown Sewer Mains</t>
  </si>
  <si>
    <t>Allocated to 8-inch</t>
  </si>
  <si>
    <t>Allocated to all other</t>
  </si>
  <si>
    <t>Known % Allocation</t>
  </si>
  <si>
    <t>Revised Length in Feet</t>
  </si>
  <si>
    <t>Revised Inch/Feet</t>
  </si>
  <si>
    <t>Usage Block</t>
  </si>
  <si>
    <t>Bills</t>
  </si>
  <si>
    <t>% of Total</t>
  </si>
  <si>
    <t>Change from Prior Month</t>
  </si>
  <si>
    <t>Flows</t>
  </si>
  <si>
    <t>Monthly Billing Data - Bills</t>
  </si>
  <si>
    <t>Monthly Billing Data - Flows</t>
  </si>
  <si>
    <t>Monthly Billing Data - Annualized Summary</t>
  </si>
  <si>
    <t>0 - 2,000 gallons</t>
  </si>
  <si>
    <t>2,000 - 15,000 gallons</t>
  </si>
  <si>
    <t>Above 15,000 gallons</t>
  </si>
  <si>
    <t>Annual Bills</t>
  </si>
  <si>
    <t>Usage</t>
  </si>
  <si>
    <t>Adjusted Usage (1)</t>
  </si>
  <si>
    <t>Existing Rate Blocks</t>
  </si>
  <si>
    <t>Minimum Charge Revenues</t>
  </si>
  <si>
    <t>Type of Charge</t>
  </si>
  <si>
    <t>Test Year Number of Bills</t>
  </si>
  <si>
    <t xml:space="preserve">Annual Bills </t>
  </si>
  <si>
    <t>Total Revenues from Minimum Charge Under Existing Rates</t>
  </si>
  <si>
    <t>Volumetric Charge Revenues</t>
  </si>
  <si>
    <t>Rate Block 1 (2,000 - 15,000 Gallons)</t>
  </si>
  <si>
    <t>Rate Block 2 (Above 15,000 Gallons)</t>
  </si>
  <si>
    <t>Current Charge (per kgal)</t>
  </si>
  <si>
    <t>Current Charge (per bill)</t>
  </si>
  <si>
    <t>Test Year Billable Flows</t>
  </si>
  <si>
    <t>Total Revenues from Volumetric Charges Under Existing Rates</t>
  </si>
  <si>
    <t>Adjusted Usage (kgal)</t>
  </si>
  <si>
    <t>Rate Year Revenue Requirements</t>
  </si>
  <si>
    <t>Additional Revenue Needed</t>
  </si>
  <si>
    <t>% Rate Increase/Decrease Needed</t>
  </si>
  <si>
    <t>Rate Year Revenue Under Existing Charge</t>
  </si>
  <si>
    <t>Proposed Rates</t>
  </si>
  <si>
    <t>Rate Year Cost Categories</t>
  </si>
  <si>
    <t>Calculated Customer Service Charge</t>
  </si>
  <si>
    <t>Account Related Costs (1)</t>
  </si>
  <si>
    <t>(1) Includes customer service, billing and collections, and meter reading costs.</t>
  </si>
  <si>
    <t>Base Charge</t>
  </si>
  <si>
    <t>Volumetric Charge</t>
  </si>
  <si>
    <t>Calculated Volume Charge (per kgal)</t>
  </si>
  <si>
    <t>Volume Related Costs (1)</t>
  </si>
  <si>
    <t>(1) Includes all other system revenue requirements.</t>
  </si>
  <si>
    <t>Base Charge Revenues</t>
  </si>
  <si>
    <t>Proposed Charge (per bill)</t>
  </si>
  <si>
    <t>Rate Year Number of Bills</t>
  </si>
  <si>
    <t>Rate Year Revenue Under Proposed Charge</t>
  </si>
  <si>
    <t>Billable Flows (kgal)</t>
  </si>
  <si>
    <t>Minimum Charge (1)</t>
  </si>
  <si>
    <t>(1) Includes the first 2,000 gallons of flow.</t>
  </si>
  <si>
    <t>Base Charge (1)</t>
  </si>
  <si>
    <t>Volumetric Rate</t>
  </si>
  <si>
    <t>Proposed Charge (per kgal)</t>
  </si>
  <si>
    <t>From</t>
  </si>
  <si>
    <t xml:space="preserve">To </t>
  </si>
  <si>
    <t>Average Usage</t>
  </si>
  <si>
    <t xml:space="preserve">Accounts </t>
  </si>
  <si>
    <t>Monthly Charge for Average Use</t>
  </si>
  <si>
    <t>(1) Includes first 2,000 gallons of flow.</t>
  </si>
  <si>
    <t>Calculated Revenue From Minimum Charge</t>
  </si>
  <si>
    <t>Calculated Total Revenue</t>
  </si>
  <si>
    <t>Test Year Revenues</t>
  </si>
  <si>
    <t>Revenues from Billing Analysis</t>
  </si>
  <si>
    <t xml:space="preserve">  Volume Charge</t>
  </si>
  <si>
    <t>Error in Billing Analysis</t>
  </si>
  <si>
    <t>Calculated Revenue From Base Charge</t>
  </si>
  <si>
    <t>Volume Charge for Average Use</t>
  </si>
  <si>
    <t>Calculate Revenue from Volume Charge for Avg. Use</t>
  </si>
  <si>
    <t xml:space="preserve">  Base Charge</t>
  </si>
  <si>
    <t>Existing Rates</t>
  </si>
  <si>
    <t>$ Change</t>
  </si>
  <si>
    <t>Revenue Requirement Summary</t>
  </si>
  <si>
    <t>Revenue Requirements</t>
  </si>
  <si>
    <t>Revenues from New Customers</t>
  </si>
  <si>
    <t>Pro-forma Adjustments for Rate Year</t>
  </si>
  <si>
    <t>Veolia Contract Operating Costs</t>
  </si>
  <si>
    <t>Salaries and Wages</t>
  </si>
  <si>
    <t>Amortization of Rate Case (5-year)</t>
  </si>
  <si>
    <t>Subtotal Operating Expense Adjustments</t>
  </si>
  <si>
    <t>Subtotal Depreciation/Amortization Adjustments</t>
  </si>
  <si>
    <t>Total Revenue Requirements</t>
  </si>
  <si>
    <t>Less:</t>
  </si>
  <si>
    <t>Interest Earned</t>
  </si>
  <si>
    <t>Revenue Requirement from Operations</t>
  </si>
  <si>
    <t>Plus:</t>
  </si>
  <si>
    <t>Revenue Requirement from Sewer Sales</t>
  </si>
  <si>
    <t>Less: Capital Contributions</t>
  </si>
  <si>
    <t>Less: Capital Contributions (Cash)</t>
  </si>
  <si>
    <t>Other Non-Operating Revenue/Expenses</t>
  </si>
  <si>
    <t>Revenue From Sewer Sales During Test Year</t>
  </si>
  <si>
    <t>% Increase Needed</t>
  </si>
  <si>
    <t>Check</t>
  </si>
  <si>
    <t>Total Revenue Requirement</t>
  </si>
  <si>
    <t xml:space="preserve">Less:  </t>
  </si>
  <si>
    <t>Total Test Year Revenues from Operations</t>
  </si>
  <si>
    <t>Increase Needed</t>
  </si>
  <si>
    <t>Debt Service Requirement</t>
  </si>
  <si>
    <t>Less: Income Available for Debt Service</t>
  </si>
  <si>
    <t>Adjusted Revenues from Sewer Sales During Test Year</t>
  </si>
  <si>
    <t>Plus: Other Non-Operating Revenues/Expenses</t>
  </si>
  <si>
    <t>Plus:  Interest Income</t>
  </si>
  <si>
    <t>Less:  Operating Expenses</t>
  </si>
  <si>
    <t>Income Available for Debt Service</t>
  </si>
  <si>
    <t>% Increase</t>
  </si>
  <si>
    <t>Total Revenues from Base Charge Under Proposed Rates</t>
  </si>
  <si>
    <t>Total Revenues from Volumetric Charges Under Proposed Rates</t>
  </si>
  <si>
    <t>Total Rate Year Revenue From Proposed Rates and Charges</t>
  </si>
  <si>
    <t>Deduction of allocated interest expense</t>
  </si>
  <si>
    <t>Adjusted Test Year COS Revenue Requirements</t>
  </si>
  <si>
    <t>3-year average debt service (principal, interest, and coverage)</t>
  </si>
  <si>
    <t>% Allocation to Wholesale</t>
  </si>
  <si>
    <t>$ Allocation to Wholesale</t>
  </si>
  <si>
    <t>Wastewater Treated (kgal)</t>
  </si>
  <si>
    <t>Wastewater Rate and Cost of Service Model</t>
  </si>
  <si>
    <t>Section I:  Summary and Impacts</t>
  </si>
  <si>
    <t>Billing Analysis - Comparison</t>
  </si>
  <si>
    <t>Section II:  Test Year Detail</t>
  </si>
  <si>
    <t>Capital Improvements Plan</t>
  </si>
  <si>
    <t>3-Year Average Debt Service</t>
  </si>
  <si>
    <t>Miscellaneous Charge Support</t>
  </si>
  <si>
    <t>Cost Categories</t>
  </si>
  <si>
    <t>Section IV:  Cost of Service</t>
  </si>
  <si>
    <t>Calculation of Additional Revenue Needs</t>
  </si>
  <si>
    <t>Prepared By:</t>
  </si>
  <si>
    <t>Print Schedules "Click Below"</t>
  </si>
  <si>
    <t>Known and Measurable Changes - Personnel</t>
  </si>
  <si>
    <t>Known and Measurable Changes - Insurance</t>
  </si>
  <si>
    <t>Known and Measurable Changes - Depreciation/Amortization</t>
  </si>
  <si>
    <t>Known and Measurable Changes - Contract Operations</t>
  </si>
  <si>
    <t>Wholesale Rate Summary</t>
  </si>
  <si>
    <t>Fixed Assets</t>
  </si>
  <si>
    <t>Sewer System Inch/Feet Piping</t>
  </si>
  <si>
    <t>Section III:  Rate Year Support</t>
  </si>
  <si>
    <t>Section VI:  Wholesale Rates</t>
  </si>
  <si>
    <t>Test Year Billing Data - Flows</t>
  </si>
  <si>
    <t>Test Year Billing Data - Annualized Summary</t>
  </si>
  <si>
    <t>Test Year Billing Data - Bills</t>
  </si>
  <si>
    <t>Section V:  Rate Calculations &amp; Units of Service</t>
  </si>
  <si>
    <t>Billing Analysis - Existing Tariff Structure</t>
  </si>
  <si>
    <t>Billing Analysis - Proposed Tariff Structure</t>
  </si>
  <si>
    <t>is allocated to the Radcliff Utility based on the occupancy percentage of personnel in the Service Center dedicated to the Radcliff Utility.</t>
  </si>
  <si>
    <t>% was assigned to each employee based upon amount of time employee spent on Radcliff.  2008 Salary &amp; Benefits adjusted for 2009 raises and increase in benefits multiplied by said %.</t>
  </si>
  <si>
    <t>Attorney receives retainer fee of $325/mth for both Radcliff &amp; Ft. Knox.  He also receives retainer thru PR for Water fund in order to receive Pension and Insurance.  Since the fee is run thru PR, and is for both water &amp; Radcliff sewer customers, the OASDI and Pension expense are split evenly.</t>
  </si>
  <si>
    <t>KLC Sewer System Revenue Refunding - Series 2001A (1)</t>
  </si>
  <si>
    <t>Administration Fee</t>
  </si>
  <si>
    <t>Oil and Grease Trap Inspection Charge</t>
  </si>
  <si>
    <t>Includes only unrestricted reserve funds.</t>
  </si>
  <si>
    <t>Total Amortization/Depreciation Expense</t>
  </si>
  <si>
    <t xml:space="preserve">(2)  Allocated costs to be recovered by the base charge. </t>
  </si>
  <si>
    <t>(1) Base charge not include a minimum flow purchase requirement.</t>
  </si>
  <si>
    <t>Calculated Operating Cost ( per kgal)</t>
  </si>
  <si>
    <t>Indirect Cost Allocation Support</t>
  </si>
  <si>
    <t>% is based on Radcliff Sewer Customers compared to Total Customers.</t>
  </si>
  <si>
    <t>% based on Radcliff revenue collected to total revenue collected.</t>
  </si>
  <si>
    <r>
      <t xml:space="preserve">Direct - </t>
    </r>
    <r>
      <rPr>
        <sz val="12"/>
        <rFont val="Times New Roman"/>
        <family val="1"/>
      </rPr>
      <t xml:space="preserve">Veolia Fee+HCWD#2 Sewer Readings. </t>
    </r>
    <r>
      <rPr>
        <b/>
        <sz val="12"/>
        <rFont val="Times New Roman"/>
        <family val="1"/>
      </rPr>
      <t xml:space="preserve">Allocated </t>
    </r>
    <r>
      <rPr>
        <sz val="12"/>
        <rFont val="Times New Roman"/>
        <family val="1"/>
      </rPr>
      <t>-  Allocation Spreadsheet-Contractual Svcs+Bill Printings Svc+Contracted Security Svc +Cash Over/Short+Contractual Svcs -  These expenses are allocated based on Radcliff Sewer Customers compared to Total Customers.</t>
    </r>
  </si>
  <si>
    <t>% based on Radcliff revenue to total revenue.</t>
  </si>
  <si>
    <r>
      <t xml:space="preserve">Direct </t>
    </r>
    <r>
      <rPr>
        <sz val="12"/>
        <rFont val="Times New Roman"/>
        <family val="1"/>
      </rPr>
      <t xml:space="preserve">- Self bill for water at several pump stations. 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1"/>
      </rPr>
      <t xml:space="preserve"> - telephone and other utility expenses - these expenses are allocatd based upon Radcliff Sewer Customers compared to Total Customers.</t>
    </r>
  </si>
  <si>
    <t>Dept. Code</t>
  </si>
  <si>
    <t>Revenue Proof</t>
  </si>
  <si>
    <t>Revenue</t>
  </si>
  <si>
    <t>Operating Revenues</t>
  </si>
  <si>
    <t>User Rates and Charges</t>
  </si>
  <si>
    <t>Non-Operating Revenue</t>
  </si>
  <si>
    <t>Revenue from Specific Services</t>
  </si>
  <si>
    <t>Total Revenue</t>
  </si>
  <si>
    <t>Existing</t>
  </si>
  <si>
    <t>Proposed</t>
  </si>
  <si>
    <t>Proposed Debt</t>
  </si>
  <si>
    <t>Total Proposed Debt</t>
  </si>
  <si>
    <t>Rate Funded Capital (PAYGO)</t>
  </si>
  <si>
    <t xml:space="preserve">Average Balance </t>
  </si>
  <si>
    <t xml:space="preserve">Test Year Actual Revenue </t>
  </si>
  <si>
    <t>Expenses for new customers</t>
  </si>
  <si>
    <t>Hardin County Water District No. 1</t>
  </si>
  <si>
    <t>Finance &amp; Accouting Manager</t>
  </si>
  <si>
    <t>Operations Manager</t>
  </si>
  <si>
    <t>Current Hourly Rate</t>
  </si>
  <si>
    <t>Hours per Week</t>
  </si>
  <si>
    <t>Commissioner</t>
  </si>
  <si>
    <t>Customer Service Representative</t>
  </si>
  <si>
    <t>Customer Service Manager</t>
  </si>
  <si>
    <t>Utility Billing Specialist</t>
  </si>
  <si>
    <t>Distribution Operator - III</t>
  </si>
  <si>
    <t>Distribution Operator - I or II</t>
  </si>
  <si>
    <t>Dist. System GIS/Planning Specialist</t>
  </si>
  <si>
    <t>Distribution Operator - I</t>
  </si>
  <si>
    <t>Heavy Equipment Operator - IVD</t>
  </si>
  <si>
    <t>Distribution Supervisor</t>
  </si>
  <si>
    <t>TEMP Summer Help</t>
  </si>
  <si>
    <t>Allocation to Radcliff Utility</t>
  </si>
  <si>
    <t>% Allocation</t>
  </si>
  <si>
    <t>$ Allocation</t>
  </si>
  <si>
    <t>Salaries &amp; Wages</t>
  </si>
  <si>
    <t>Dental &amp; Vision</t>
  </si>
  <si>
    <t>Life &amp; LTD</t>
  </si>
  <si>
    <t>Pension</t>
  </si>
  <si>
    <t>% Capitalized</t>
  </si>
  <si>
    <t>Net O&amp;M</t>
  </si>
  <si>
    <t>Total Administration</t>
  </si>
  <si>
    <t>Total Commissioners</t>
  </si>
  <si>
    <t>Customer Service</t>
  </si>
  <si>
    <t>Total Customer Service</t>
  </si>
  <si>
    <t>Collection System</t>
  </si>
  <si>
    <t>Total Collection System</t>
  </si>
  <si>
    <t>Legal</t>
  </si>
  <si>
    <t>Total Legal</t>
  </si>
  <si>
    <t>Maint. &amp; Control Specialist</t>
  </si>
  <si>
    <t>Total Maintenance</t>
  </si>
  <si>
    <t>Overtime</t>
  </si>
  <si>
    <t>Health</t>
  </si>
  <si>
    <t>W_Comp</t>
  </si>
  <si>
    <t>Attorney (Professional Services)</t>
  </si>
  <si>
    <t>Allocated to Radcliff</t>
  </si>
  <si>
    <t>Salaries and Benefits</t>
  </si>
  <si>
    <t>Deduction of Insurance Services</t>
  </si>
  <si>
    <t xml:space="preserve">Depreciation/Amortization </t>
  </si>
  <si>
    <t>Accounts</t>
  </si>
  <si>
    <t xml:space="preserve">Estimate from staff for bad debt. </t>
  </si>
  <si>
    <t>Projections - Functional Categories</t>
  </si>
  <si>
    <t>Capital Costs</t>
  </si>
  <si>
    <t xml:space="preserve">  Debt Service</t>
  </si>
  <si>
    <t xml:space="preserve">  Depreciation</t>
  </si>
  <si>
    <t xml:space="preserve">  Subtotal</t>
  </si>
  <si>
    <t>Less: Revenue Offsets</t>
  </si>
  <si>
    <t>Rate Year Billable Flows</t>
  </si>
  <si>
    <t>Revenue from Base Charge</t>
  </si>
  <si>
    <t>Revenue from Volumetric Charge</t>
  </si>
  <si>
    <t>Debt Service Coverage</t>
  </si>
  <si>
    <t>Revenues</t>
  </si>
  <si>
    <t>Revenue from Specific Services (1)</t>
  </si>
  <si>
    <t>Senior Debt Service</t>
  </si>
  <si>
    <t>Senior Debt Service Coverage - Must Exceed 1.3x</t>
  </si>
  <si>
    <t>Other Indebtedness</t>
  </si>
  <si>
    <t>Total Debt</t>
  </si>
  <si>
    <t>Total Debt Service Coverage - Must Exceed 1.0x</t>
  </si>
  <si>
    <t>Can include all "reasonably anticipated annual income of the system" based on defined term in bond documents.  For the purpose of this calculation</t>
  </si>
  <si>
    <t>this includes penalities, service fees, miscellaneous charges, and tap fees.</t>
  </si>
  <si>
    <t>Fixed Asset Detail</t>
  </si>
  <si>
    <t>Asset Description (1)</t>
  </si>
  <si>
    <t>Sewer Plant &amp; Lift Stations</t>
  </si>
  <si>
    <t>System Additions</t>
  </si>
  <si>
    <t>Sewer Plant Building</t>
  </si>
  <si>
    <t>Sewer Plant Additions &amp; Lift Stations</t>
  </si>
  <si>
    <t>Sewer Lift Stations &amp; Lines</t>
  </si>
  <si>
    <t>Sewer Plant Additions, Lines, &amp; Lift Stations</t>
  </si>
  <si>
    <t>Acquired Value</t>
  </si>
  <si>
    <t>OCLD</t>
  </si>
  <si>
    <t>Replace Liners EQ Basin 1 &amp; 3</t>
  </si>
  <si>
    <t>Replace Lift Stations</t>
  </si>
  <si>
    <t>Sewer Construction</t>
  </si>
  <si>
    <t>Sewer Lift Station</t>
  </si>
  <si>
    <t>Logan Lift Station Replacement</t>
  </si>
  <si>
    <t>Sewer Plant Construction-Expansion</t>
  </si>
  <si>
    <t>Church &amp; Kindervater Lift Station Replacement</t>
  </si>
  <si>
    <t>Sewer Lift Stations</t>
  </si>
  <si>
    <t>Lift Station Control-Lincoln Trail</t>
  </si>
  <si>
    <t>Construction of Storage Barn</t>
  </si>
  <si>
    <t>Hwy. 313 Lift Station &amp; Force Main</t>
  </si>
  <si>
    <t>Greenview Lift Station-Progress</t>
  </si>
  <si>
    <t>Greenview Lift Station Replacement</t>
  </si>
  <si>
    <t>Paradise Lift Stations 1 &amp; 2</t>
  </si>
  <si>
    <t>Sewer Plant Bar Screen Replacement</t>
  </si>
  <si>
    <t>Church St./Shelton Rd. Manhole Replacement</t>
  </si>
  <si>
    <t>N. Wilson Rd 955 Manhole Replacement</t>
  </si>
  <si>
    <t>Wilma Ave. 805 Manhole Replacement</t>
  </si>
  <si>
    <t>Pin Oak &amp; Poplar St. Manhole Replacement</t>
  </si>
  <si>
    <t>Oak Dr. Lift Station Replacement</t>
  </si>
  <si>
    <t>Arlington Heights Lift Station Install</t>
  </si>
  <si>
    <t>Southern Heights Lift Station Install</t>
  </si>
  <si>
    <t>Replace Liners EO Basins 1&amp;2 Progress</t>
  </si>
  <si>
    <t>Replace Liners EQ Basins 1 &amp;2</t>
  </si>
  <si>
    <t>Floating Aeration Pump for Basins</t>
  </si>
  <si>
    <t>Equalization Basins #2 &amp; #3</t>
  </si>
  <si>
    <t>IMIX-Flexifill-IMI</t>
  </si>
  <si>
    <t>Improve lighting</t>
  </si>
  <si>
    <t>Landscaping</t>
  </si>
  <si>
    <t>Install heater to improve HVAC</t>
  </si>
  <si>
    <t>Trojan PLC Equipment &amp; Davit Crane</t>
  </si>
  <si>
    <t>Sewer Line Ext./313 &amp; Wilson</t>
  </si>
  <si>
    <t>Redmar Force Main-Progress</t>
  </si>
  <si>
    <t>Redmar Force Main Replacement</t>
  </si>
  <si>
    <t>Elm Road Force Main Replacement</t>
  </si>
  <si>
    <t>Knox Blvd. New Line</t>
  </si>
  <si>
    <t>Thomas Street New Line</t>
  </si>
  <si>
    <t>Novak Sewer Line Replacement</t>
  </si>
  <si>
    <t>S Woodland Dr./586 Sewer Line Replacement</t>
  </si>
  <si>
    <t>Carolyn St 706 Sewer Line Replacement</t>
  </si>
  <si>
    <t>Hitchew/Lily Cove LI 3&amp;4 Sewer Line</t>
  </si>
  <si>
    <t>Eagle Pass Sewer Line Replacement</t>
  </si>
  <si>
    <t>Douglas Estates Sewer Line</t>
  </si>
  <si>
    <t>Replace Old Boone Trace F/M Line</t>
  </si>
  <si>
    <t>313/Cowley Est Sewer Line Extension</t>
  </si>
  <si>
    <t>313/Cowley Est. Sewer Line Extension</t>
  </si>
  <si>
    <t>Boone Trace F/M Line Replacement</t>
  </si>
  <si>
    <t>Brushy Fork Sewer Line</t>
  </si>
  <si>
    <t>Adena Trace</t>
  </si>
  <si>
    <t>Emerald Isle</t>
  </si>
  <si>
    <t>Clermont Sewer Line</t>
  </si>
  <si>
    <t>A Arnold Project</t>
  </si>
  <si>
    <t>Sewer Line Replacement - 3 houses on Atcher St.</t>
  </si>
  <si>
    <t>Sewer lines installed at Tam MHP</t>
  </si>
  <si>
    <t>Slip lining on S. Atcher St.</t>
  </si>
  <si>
    <t>Pin Oak Villa Phase 3</t>
  </si>
  <si>
    <t>Mouser 2, 123' gravity sewer main 8 manholes</t>
  </si>
  <si>
    <t>Construction Crew Office Building</t>
  </si>
  <si>
    <t>Sludge Holding Tanks Building</t>
  </si>
  <si>
    <t>Yard repairs for cleanout installation</t>
  </si>
  <si>
    <t>Paving for new connection for KNB at Elm Rd.</t>
  </si>
  <si>
    <t>22% River Rock/Landscaping at Service Center</t>
  </si>
  <si>
    <t>22% Sewer Line Replacement at Service Center</t>
  </si>
  <si>
    <t>22% Sealing &amp; Striping of Parking Lot at Service Center</t>
  </si>
  <si>
    <t>Godwin Driprime 4" Pump</t>
  </si>
  <si>
    <t>Control panel for lift station</t>
  </si>
  <si>
    <t>Wetwell for Audubon lift station</t>
  </si>
  <si>
    <t>Pump &amp; Motor for Sludge at Plant</t>
  </si>
  <si>
    <t>Control Panel for C-Square lift station</t>
  </si>
  <si>
    <t>Portable 6-inch Godwin T Pump</t>
  </si>
  <si>
    <t>Model L Grit Classifier</t>
  </si>
  <si>
    <t>Ariat Spiral Dewat Press</t>
  </si>
  <si>
    <t>Work Equipment</t>
  </si>
  <si>
    <t>Safety Equipment</t>
  </si>
  <si>
    <t>Aerator installation</t>
  </si>
  <si>
    <t>Hose reel with clamp</t>
  </si>
  <si>
    <t>Blower &amp; Motor Replacement (newer model)</t>
  </si>
  <si>
    <t>Upgrade press-coated stub can idlers</t>
  </si>
  <si>
    <t>Upgrade to Sewer Camera</t>
  </si>
  <si>
    <t>Butterfly Valve-EQ Basins #1 &amp; #2</t>
  </si>
  <si>
    <t>Plant Gate Chain Link 16'x7'</t>
  </si>
  <si>
    <t>35% Brett's Furniture</t>
  </si>
  <si>
    <t>Workstation Desk-Manager</t>
  </si>
  <si>
    <t>Ultra SV14 Desktop Notebook</t>
  </si>
  <si>
    <t>22% Panasonic Copier</t>
  </si>
  <si>
    <t>26% Sage FAS100 Software</t>
  </si>
  <si>
    <t>Remit Plus Software</t>
  </si>
  <si>
    <t>1/3 Document Imaging System</t>
  </si>
  <si>
    <t>32%T3400 Convertible MiniTower Q600, 2.40GHz-Scott Schmuck</t>
  </si>
  <si>
    <t>47% Phaser 3300MFPX Copier</t>
  </si>
  <si>
    <t>47% Drive Thru Drawer Unit</t>
  </si>
  <si>
    <t>45%LatitudeE4200,Intel Core 2 Duo SU9300, 1.2GHz-Charlene Easter</t>
  </si>
  <si>
    <t>35%T3400 Convertible MiniTower Q600, 2.40GHz-Jenny Huff</t>
  </si>
  <si>
    <t>35%T3400 MiniTower Q600, 2.40GHz-Brett Pyles</t>
  </si>
  <si>
    <t>22% Zeus Server-Quad Core Xeon E5410 Processor2x6MB Cache, 2.33GHz, 1333MHz FSB</t>
  </si>
  <si>
    <t>Hand Rail for Loading Dock at Service Center</t>
  </si>
  <si>
    <t>1999 Ford F250 Truck</t>
  </si>
  <si>
    <t>John Deere Gator Utility Vehicle</t>
  </si>
  <si>
    <t>Timberwolf Cargo Trailor</t>
  </si>
  <si>
    <t>2001 Sterling/Vactor Combo</t>
  </si>
  <si>
    <t>2003 Ford F150 Truck</t>
  </si>
  <si>
    <t>2003 Ford F350 Truck</t>
  </si>
  <si>
    <t>2003 Ford F250 Truck</t>
  </si>
  <si>
    <t>Mini Cam with Koala Transportation</t>
  </si>
  <si>
    <t>35% 2007 Honda Ridgeline RTL</t>
  </si>
  <si>
    <t>35%Brett's 2004 Jeep Laredo</t>
  </si>
  <si>
    <t>25% 2007 Dodge Sprinter Van</t>
  </si>
  <si>
    <t>2008 F150 4X2 White Regular Cab</t>
  </si>
  <si>
    <t>2008 Kawasaki 4x4 Mule Utility Vehicle</t>
  </si>
  <si>
    <t>2% 2008 F250 Distribution Truck</t>
  </si>
  <si>
    <t>2008 F450 Crane Truck</t>
  </si>
  <si>
    <t>2008 F550 Dump Truck</t>
  </si>
  <si>
    <t>Electric Start 30 Gal Air Compressor &amp; Power Inverters</t>
  </si>
  <si>
    <t>Analytical Balance Level Lab</t>
  </si>
  <si>
    <t>Compact Sample Refrigerator</t>
  </si>
  <si>
    <t>John Deere 345 Lawn Tractor</t>
  </si>
  <si>
    <t>John Deere 345 Mower</t>
  </si>
  <si>
    <t>Rig K Sewer Machine</t>
  </si>
  <si>
    <t>Portable Cam Inspection System</t>
  </si>
  <si>
    <t>185 Atlas Copco Air Compressor</t>
  </si>
  <si>
    <t>John Deere 5105 Tractor</t>
  </si>
  <si>
    <t>2004 Case 580sm Backhoe</t>
  </si>
  <si>
    <t>Cues Camera System Upgrade</t>
  </si>
  <si>
    <t>Vactor Clean Kit Upgrade</t>
  </si>
  <si>
    <t>2006 Bobcat S220 Loader</t>
  </si>
  <si>
    <t>47% Finish Mower #RDTH84R</t>
  </si>
  <si>
    <t>Communication Equipment  (GL Account:  30.00.1733935)</t>
  </si>
  <si>
    <t>Alto GSP/GIS Receiver</t>
  </si>
  <si>
    <t>Vodavi STS Key Phone System</t>
  </si>
  <si>
    <t>Total (Depreciation Summary Report)</t>
  </si>
  <si>
    <t>Allocated Depreciation</t>
  </si>
  <si>
    <t>Allocation %</t>
  </si>
  <si>
    <t>Allocated OCLD</t>
  </si>
  <si>
    <t>Calculated Capital Cost (per kgal)</t>
  </si>
  <si>
    <t>Wholeale Rate (per kgal)</t>
  </si>
  <si>
    <t>Wholesale Rate Calculation</t>
  </si>
  <si>
    <t>Includes only depreciation associated with the wastewater treatment plant and wastewater</t>
  </si>
  <si>
    <t xml:space="preserve">conveyance system. </t>
  </si>
  <si>
    <t>Rate Year Flow Data (Wastewater Plant Flows) (kgal) (2)</t>
  </si>
  <si>
    <t>Collection System Labor (3)</t>
  </si>
  <si>
    <t>Pumping System Labor (3)</t>
  </si>
  <si>
    <t>Costs allocated between the wasteater collection and conveyance system based on inch-feet</t>
  </si>
  <si>
    <t>are conveyance system infrastructure.</t>
  </si>
  <si>
    <t>Addition of Annual Meter Reading Support O&amp;M Expense</t>
  </si>
  <si>
    <t>Addition of Annual Meter Reading Labor Expense</t>
  </si>
  <si>
    <t>Meter Reading Costs</t>
  </si>
  <si>
    <t>Transportation/Fuel</t>
  </si>
  <si>
    <t>Contract Services</t>
  </si>
  <si>
    <t>Transfer from Reserves</t>
  </si>
  <si>
    <t>Deduction of transfer from reserves</t>
  </si>
  <si>
    <t>Transfer to Revenue Offset</t>
  </si>
  <si>
    <t>Less: Transfer from Reserves</t>
  </si>
  <si>
    <t>Plus:  Transfer from Reserves</t>
  </si>
  <si>
    <t>Total Rate Year Revenue From Existing Rates and Charges (Calculated)</t>
  </si>
  <si>
    <t>Property, General, and Liability Insurance</t>
  </si>
  <si>
    <t>Revenues from Billing Analysis (1)</t>
  </si>
  <si>
    <t xml:space="preserve">(1) Excludes revenue from projected new customers. </t>
  </si>
  <si>
    <t>Monthly Test Year Detail Provided Below - NO LONGER VALID - FULL 2009 TEST YEAR</t>
  </si>
  <si>
    <t xml:space="preserve">Payments Due </t>
  </si>
  <si>
    <t>Recommended Volume Charge (per kgal)</t>
  </si>
  <si>
    <t>Recommended Customer Service Charge</t>
  </si>
  <si>
    <t xml:space="preserve">% assigned to each employee based on amount of time employee spent on Radcliff Utility.  </t>
  </si>
  <si>
    <t>Attorney receives retainer fee of $325/mth for both Radcliff &amp; Ft. Knox.  He also receives retainer through PR for Water fund in order to receive Pension and Insurance.  Since the fee is run through PR and is for both water &amp; Radcliff sewer customers, the OASDI and Pension expense are split evenly.</t>
  </si>
  <si>
    <t>Wastewater Treatment Plant Improvements</t>
  </si>
  <si>
    <t>Access Road for Audubon Lift Station</t>
  </si>
  <si>
    <t>Spectro D2800 to Read Amonia Levels</t>
  </si>
  <si>
    <t>Fork Lift Hopper Rubber Casters</t>
  </si>
  <si>
    <t>Generator for WWTP, Installation &amp; Training</t>
  </si>
  <si>
    <t>Insignia 47" LCD w/ Blue Ray Player</t>
  </si>
  <si>
    <t>Disposals</t>
  </si>
  <si>
    <t>Net Total (Depreciation Summary Report)</t>
  </si>
  <si>
    <t>Winter Quarter Billing</t>
  </si>
  <si>
    <t>Depreciation Deductions</t>
  </si>
  <si>
    <t>April - November</t>
  </si>
  <si>
    <t>December - March</t>
  </si>
  <si>
    <t>Usage (Gallons)</t>
  </si>
  <si>
    <t>Qualification Criteria:</t>
  </si>
  <si>
    <t>Must maintain at least 36 months of continous service</t>
  </si>
  <si>
    <t>Average Monthly Usage</t>
  </si>
  <si>
    <t>Adjusted for Winter Average (April - November)</t>
  </si>
  <si>
    <t>Maximum Flow Adjustment for Winter Quarter Billing</t>
  </si>
  <si>
    <t>Estimated Flow Adjustment (kgal)</t>
  </si>
  <si>
    <t>Gallons Between (2,000 - 15,000)</t>
  </si>
  <si>
    <t>Gallons Above 15,000</t>
  </si>
  <si>
    <t>Estimated Revenue Loss</t>
  </si>
  <si>
    <t>Net Revenue From Sewer Sales During Test Year</t>
  </si>
  <si>
    <t>Months in Service for Rate Year</t>
  </si>
  <si>
    <t>Required Income Available for Debt Service (1)</t>
  </si>
  <si>
    <t>(1) 3-year average debt service.</t>
  </si>
  <si>
    <t>Average Monthly Consumption (Gallons)</t>
  </si>
  <si>
    <t>Monthly Bill</t>
  </si>
  <si>
    <t>Estimated Revenue From New Retail Customers</t>
  </si>
  <si>
    <t>Commercial Flows</t>
  </si>
  <si>
    <t>Residential Flows</t>
  </si>
  <si>
    <t>Total New Flows (Gallons)</t>
  </si>
  <si>
    <t>Commercial Billable Flows (kgal)</t>
  </si>
  <si>
    <t>Residential Billable Flows (kgal)</t>
  </si>
  <si>
    <t>Minimum (0-2,000 gallons)</t>
  </si>
  <si>
    <t>Revenue From New Customers</t>
  </si>
  <si>
    <t xml:space="preserve">Residential </t>
  </si>
  <si>
    <t>Commercial</t>
  </si>
  <si>
    <t>Total Revenue From New Customers</t>
  </si>
  <si>
    <t>Estimated Annual Bill</t>
  </si>
  <si>
    <t>Pro-Forma Revenue Adjustment</t>
  </si>
  <si>
    <t>Adjusted Additional Revenue Needed</t>
  </si>
  <si>
    <t>Revenue Adjustment for Winter Quarter Billing</t>
  </si>
  <si>
    <t>Deduction of Allocated Expenses for Support Services</t>
  </si>
  <si>
    <t>Allocated Support Services</t>
  </si>
  <si>
    <t>Revenue from New Customers</t>
  </si>
  <si>
    <t>Operating Costs</t>
  </si>
  <si>
    <t>Business Costs</t>
  </si>
  <si>
    <t>Liability Insurance</t>
  </si>
  <si>
    <t>Contractural - Credit Card Processing Fees, Collection Fees, Bill Printing/Mailing Contract, Security Svc - Cust Svc &amp; Admin</t>
  </si>
  <si>
    <t>Office Supplies, Materials, Computer Supplies, Postage, Dues</t>
  </si>
  <si>
    <t>Utilities/Telephone</t>
  </si>
  <si>
    <t>2002 VR Bond Interest &amp; LOC Fees</t>
  </si>
  <si>
    <t>Tranprotation Fuel &amp; Repairs/Travel &amp; Lodging</t>
  </si>
  <si>
    <t>IT Committee</t>
  </si>
  <si>
    <t>$ Fort Knox Sewer</t>
  </si>
  <si>
    <t>$ Radcliff Sewer</t>
  </si>
  <si>
    <t>$ Fort Knox Stormwater</t>
  </si>
  <si>
    <t>$ Water</t>
  </si>
  <si>
    <t>% Radcliff Sewer</t>
  </si>
  <si>
    <t>% Fort Knox Sewer</t>
  </si>
  <si>
    <t>% Fort Knox Stormwater</t>
  </si>
  <si>
    <t>% Water</t>
  </si>
  <si>
    <t>2009 Test Year ($ Allocations)</t>
  </si>
  <si>
    <t>2009 Test Year (% Allocations)</t>
  </si>
  <si>
    <t>Allocation Basis</t>
  </si>
  <si>
    <t>Personnel/Benefit Costs</t>
  </si>
  <si>
    <t>Distribution Labor</t>
  </si>
  <si>
    <t>C/S Labor</t>
  </si>
  <si>
    <t>Maintenance Labor</t>
  </si>
  <si>
    <t>Admin Labor/Commissioner Labor &amp; Expense</t>
  </si>
  <si>
    <t>Legal Labor</t>
  </si>
  <si>
    <t>Subtotal Business Costs</t>
  </si>
  <si>
    <t>Subtotal Personnel/Benefit Costs</t>
  </si>
  <si>
    <t>Class AB:  Billing Clerk &amp; CS Mgr Computers</t>
  </si>
  <si>
    <t>Class AD:  Service center, Security Camera, Phone System</t>
  </si>
  <si>
    <t>Class AM:  Administration Staff Computers</t>
  </si>
  <si>
    <t>Class CS:  Drive Thru Equipment, Meters, Service Lines, CSR/FSR Computers, Credit Card Software, FSR Trucks, Web Page</t>
  </si>
  <si>
    <t>Class FM:  Flow Meter</t>
  </si>
  <si>
    <t>Class GI:  Aerial Imagery, GPS Unit</t>
  </si>
  <si>
    <t>Class GS:  GIS Mapping</t>
  </si>
  <si>
    <t>Class MT:  Meter Tester</t>
  </si>
  <si>
    <t>Class PC:  Project Cooridnator Computer</t>
  </si>
  <si>
    <t>Subtotal Allocated Depreciation</t>
  </si>
  <si>
    <t>Total Allocated Costs</t>
  </si>
  <si>
    <t>% Allocated Costs</t>
  </si>
  <si>
    <t>Total Adjustment to Radcliff Cost Allocations</t>
  </si>
  <si>
    <t>Number of customers per system compared to total customers (small % given to Ft. Knox)</t>
  </si>
  <si>
    <t>Insurance agent values/assesses each fund independently</t>
  </si>
  <si>
    <t>Radcliff sewer customers compared to total water &amp; Radcliff sewer customers</t>
  </si>
  <si>
    <t>VR debt associated with service center. Allocated based on % occupany of personnel devoted to Radcliff sewer, which utilized office square feet and employee time allocated to Radcliff</t>
  </si>
  <si>
    <t>Dollars budgeted per utility fund compared to total dollars budgeted for all funds</t>
  </si>
  <si>
    <t xml:space="preserve">Time employees spent supporting each fund. </t>
  </si>
  <si>
    <t>Time employees spent supporting each fund. Commissioner expenses included in admininstration labor and allcoated based on number of motions per fund compared to total motions</t>
  </si>
  <si>
    <t>Attorney receives retainer fee per utility.</t>
  </si>
  <si>
    <t>Budget salary and benefits by fund</t>
  </si>
  <si>
    <t xml:space="preserve">Budget salary and benefits for admininstration department.  </t>
  </si>
  <si>
    <t>Budgeted salary and benefits for billing specialist</t>
  </si>
  <si>
    <t>Number of sewer billings as a percentage of total billings</t>
  </si>
  <si>
    <t>Previous time used for water and sewer</t>
  </si>
  <si>
    <t>Split evenly between Radcliff and water utilities</t>
  </si>
  <si>
    <t>Number of megabytes used by system to total megabytes used</t>
  </si>
  <si>
    <t>Number of Radcliff only meters to total meters</t>
  </si>
  <si>
    <t>Budgeted salary and benefits for project coordinator</t>
  </si>
  <si>
    <t>% of total revenues billed with zero allocation for Fort Knox.</t>
  </si>
  <si>
    <t>Same</t>
  </si>
  <si>
    <t>Total personnel costs by utility (2010 Budget)</t>
  </si>
  <si>
    <t xml:space="preserve">% of meter reader employees with uniforms, times number of meter reads per utility, none for Fort Knox </t>
  </si>
  <si>
    <t>Prior 12-month actual (based on Operating Manger Knowledge)</t>
  </si>
  <si>
    <t>Radcliff Delta</t>
  </si>
  <si>
    <t>Allocated Costs (Dollars)</t>
  </si>
  <si>
    <t>Allocated Costs (Percentages)</t>
  </si>
  <si>
    <t>Contractual Operating Agreement</t>
  </si>
  <si>
    <t>Allocation of Meter Reading Costs</t>
  </si>
  <si>
    <t xml:space="preserve">Meter Reading </t>
  </si>
  <si>
    <t>Operating Cost Allocation</t>
  </si>
  <si>
    <t>Contractual, Maintenance, and Supplies</t>
  </si>
  <si>
    <t>(Includes Fuel/Utilities, Insurance, Repairs, and Preventative Maintenance)</t>
  </si>
  <si>
    <t>Reading Devices/System</t>
  </si>
  <si>
    <t>FSR Trucks and Tools</t>
  </si>
  <si>
    <t>Fuel - Trucks</t>
  </si>
  <si>
    <t>Service Center Utilities (47%)</t>
  </si>
  <si>
    <t>Meter Reading Supplies</t>
  </si>
  <si>
    <t>HCWD2 Radcliff Readings</t>
  </si>
  <si>
    <t>Annual Cost</t>
  </si>
  <si>
    <t xml:space="preserve">Water </t>
  </si>
  <si>
    <t>Radcliff</t>
  </si>
  <si>
    <t>Total Number of Bills</t>
  </si>
  <si>
    <t>Water</t>
  </si>
  <si>
    <t>Hourly Personnel Costs by Position</t>
  </si>
  <si>
    <t>FSR Part-Time Assistance</t>
  </si>
  <si>
    <t>Billing Specialist</t>
  </si>
  <si>
    <t>Net Hourly</t>
  </si>
  <si>
    <t>Ben/OH</t>
  </si>
  <si>
    <t>Gross Hourly</t>
  </si>
  <si>
    <t>Ben/OH Multiplier</t>
  </si>
  <si>
    <t>Comments</t>
  </si>
  <si>
    <t>Includes annual support fees/repairs</t>
  </si>
  <si>
    <t>Only used for FSR trucks</t>
  </si>
  <si>
    <t>30% of actual 2008/2009 premium cost</t>
  </si>
  <si>
    <t>FSR office of total Service Center (1%)</t>
  </si>
  <si>
    <t>Locks, pumps, site tubes, and hand tools</t>
  </si>
  <si>
    <t>To bill sewer in Deer Haven, Dixie, and Wilson</t>
  </si>
  <si>
    <t>Average of 3 FSRs</t>
  </si>
  <si>
    <t>Weekly Hours per Task By Position</t>
  </si>
  <si>
    <t>(3) FSRs</t>
  </si>
  <si>
    <t>(4) PT FSRs</t>
  </si>
  <si>
    <t>Average of 4 PT FSR (about 40 hrs per month)</t>
  </si>
  <si>
    <t>Read Meters</t>
  </si>
  <si>
    <t>Check/Verify Readings</t>
  </si>
  <si>
    <t>Turn On/Off Check Cards</t>
  </si>
  <si>
    <t>Weekly Cost by Position and Task</t>
  </si>
  <si>
    <t>Weekly Total</t>
  </si>
  <si>
    <t>Annual Total</t>
  </si>
  <si>
    <t>Total Contractual, Maintenance, and Supplies</t>
  </si>
  <si>
    <t>Summary</t>
  </si>
  <si>
    <t>Labor</t>
  </si>
  <si>
    <t>Total Meter Reading Related Opertating Costs</t>
  </si>
  <si>
    <t>Radcliff (1)</t>
  </si>
  <si>
    <t>Average monthly bills in 2009.</t>
  </si>
  <si>
    <t>Distribution for Income Statement</t>
  </si>
  <si>
    <t>Income Statement Cost Category</t>
  </si>
  <si>
    <t>Completion Year</t>
  </si>
  <si>
    <t>Debt Service Reserve</t>
  </si>
  <si>
    <t>Transfer from Operating Reserve</t>
  </si>
  <si>
    <t>Average Balance</t>
  </si>
  <si>
    <t>Total Interest Earned</t>
  </si>
  <si>
    <t>Operating Reserve (Unrestricted)</t>
  </si>
  <si>
    <t>Debt Service Reserve (Restricted)</t>
  </si>
  <si>
    <t>Interest Rate</t>
  </si>
  <si>
    <t>2009 Costs - Actual and Projected</t>
  </si>
  <si>
    <t>Vehicle (Veolia + HCWD1)</t>
  </si>
  <si>
    <t>Chemicals</t>
  </si>
  <si>
    <t>WWTP Phone</t>
  </si>
  <si>
    <t>* Water/Sewer</t>
  </si>
  <si>
    <t>Nextel Phones</t>
  </si>
  <si>
    <t>Contractor Services</t>
  </si>
  <si>
    <t>Collection</t>
  </si>
  <si>
    <t>Treatment</t>
  </si>
  <si>
    <t>Lift Station</t>
  </si>
  <si>
    <t>Pre-Treatment</t>
  </si>
  <si>
    <t>Admin/Supervision</t>
  </si>
  <si>
    <t>Allocated Costs</t>
  </si>
  <si>
    <t>R&amp;M Expenses</t>
  </si>
  <si>
    <t>Trav, Bonus, Train, Misc</t>
  </si>
  <si>
    <t>Total Unallocated Costs</t>
  </si>
  <si>
    <t>Unallocated Costs (Composite Allocation)</t>
  </si>
  <si>
    <t>2009 Actual and Contract Veolia Costs</t>
  </si>
  <si>
    <t>Actual</t>
  </si>
  <si>
    <t>Contract Limit</t>
  </si>
  <si>
    <t>Delta</t>
  </si>
  <si>
    <t>Expenses Only</t>
  </si>
  <si>
    <t xml:space="preserve">Operation and Management </t>
  </si>
  <si>
    <t>Repair and maintenance actual expenses went over contract limit</t>
  </si>
  <si>
    <t>Does not include $88,638 in repair costs that were capitalized</t>
  </si>
  <si>
    <t>Electric expenses went over contract limit</t>
  </si>
  <si>
    <t>Odor control costs were lower as only LS odor control equipment was out of service for 4 months</t>
  </si>
  <si>
    <t>Adjustments to Test Year</t>
  </si>
  <si>
    <t>Total Adjustments</t>
  </si>
  <si>
    <t>To adjust for Veolia's base annual fee increase, effective 1/1/2010 (+4.8%)</t>
  </si>
  <si>
    <t>Estimated overage above Veolia annual R&amp;M contract limit</t>
  </si>
  <si>
    <t>Odor control for LTLS continues to be much lower than contact limit</t>
  </si>
  <si>
    <t>Assuming electric costs continue higher than current Veolia contract (25% less than 2009 overage)</t>
  </si>
  <si>
    <t>Adjusted Contract Limit for Rate Year</t>
  </si>
  <si>
    <t>Test Year Adjustment (Expenses)</t>
  </si>
  <si>
    <t>Total Adjusted Contract Limit for Rate Year</t>
  </si>
  <si>
    <t>Final Allocations</t>
  </si>
  <si>
    <t>Plus</t>
  </si>
  <si>
    <t>Water and Sewer Costs for Radcliff System</t>
  </si>
  <si>
    <t>Rate Year Costs w/ Water for Ops</t>
  </si>
  <si>
    <t>Related to Operations but not charged to Veolia</t>
  </si>
  <si>
    <t>Wholesale</t>
  </si>
  <si>
    <t>Conveyance</t>
  </si>
  <si>
    <t>Pretreatment</t>
  </si>
  <si>
    <t>Treatment, Admin/Supervision</t>
  </si>
  <si>
    <t>Non-Recurring Charges</t>
  </si>
  <si>
    <t>Special Discharge Permit Fee</t>
  </si>
  <si>
    <t>Private Line Clearing - Day</t>
  </si>
  <si>
    <t>Private Line Clearing - Night</t>
  </si>
  <si>
    <t>Service Callout - Day</t>
  </si>
  <si>
    <t>Service Callout - Night</t>
  </si>
  <si>
    <t>Discharge Permit Inspection</t>
  </si>
  <si>
    <t>Equipment</t>
  </si>
  <si>
    <t>Labor/Benefits</t>
  </si>
  <si>
    <t>Materials</t>
  </si>
  <si>
    <t>Residential Construction Tap Fee</t>
  </si>
  <si>
    <t>Estimated Taps/Year (Only for construction taps, does not include new development installation)</t>
  </si>
  <si>
    <t>&lt; Estimated Annual Revenues</t>
  </si>
  <si>
    <t>NOTES:</t>
  </si>
  <si>
    <t>1. This NRC is only used when a sewer main exists, but no tap is installed for parcel</t>
  </si>
  <si>
    <t>2. Currently, Veolia contract does not include or provide for installing taps.  Veolia agreed to do 24/year without adding to contract</t>
  </si>
  <si>
    <t>3. The current "tap fee" is $150, but is really only a tap "processing" fee for paperwork and inspection of tap installed by others</t>
  </si>
  <si>
    <t>4. Customer would have choice of paying HCWD1 to install tap, or still use private plumber</t>
  </si>
  <si>
    <t>Tap Fee</t>
  </si>
  <si>
    <t>Private Line Clearing</t>
  </si>
  <si>
    <t>Total incl TV Line (If customer requests TV after clearing)</t>
  </si>
  <si>
    <t>Deduct for Camera Check (if customer declines to have line TV'd after clearing)</t>
  </si>
  <si>
    <t>Total w/o TV Check</t>
  </si>
  <si>
    <t>&lt; Added night call out premium</t>
  </si>
  <si>
    <t>Estimated Annual Day Call Out (Based 60% of 2009 Act)</t>
  </si>
  <si>
    <t>Estimated Annual Nite Call Out (Based 60% of 2009 Act)</t>
  </si>
  <si>
    <t>Total Day Call Out Estimated Revenues (Day)</t>
  </si>
  <si>
    <t>Total Day Call Out Estimated Revenues (Nite)</t>
  </si>
  <si>
    <t>&lt; Estimated Annual Revenues (Both fees)</t>
  </si>
  <si>
    <t>1. This is if after a service call, the customer agrees and request Veolia to clear line</t>
  </si>
  <si>
    <t>2. Customer would have to sign a liability waiver</t>
  </si>
  <si>
    <t>3. If customer pays the clearing fee, the service call fee would be waived</t>
  </si>
  <si>
    <t>4. The District would be able to deny request if site conditions and service line condition could cause sewage spray back into building</t>
  </si>
  <si>
    <t>Service Call</t>
  </si>
  <si>
    <t>Total for Nightime Call Out Fee</t>
  </si>
  <si>
    <t>Total for daytime call out (Rounded Up)</t>
  </si>
  <si>
    <t>NRC Proposed Construction Tap Fee - 4" only (Rounded up)</t>
  </si>
  <si>
    <t>Total for Nightime Call Out Fee (No TV Check) (Rounded up)</t>
  </si>
  <si>
    <t xml:space="preserve">Field Service Representative (FSR) </t>
  </si>
  <si>
    <t>Deduction for new non-recurring charges</t>
  </si>
  <si>
    <t>Capital Equipment (See Depreciation Exhibit)</t>
  </si>
  <si>
    <t>Customer Meter Installations</t>
  </si>
  <si>
    <t>Total Capital Equipment</t>
  </si>
  <si>
    <t>Purchase Cost</t>
  </si>
  <si>
    <t>AMR System Purchased in 2005</t>
  </si>
  <si>
    <t>2009 Toyota, 2005 Chevy Colorado, 2002 Ford F-150</t>
  </si>
  <si>
    <t>Total Depreciation of all Meter/Services Installed</t>
  </si>
  <si>
    <t>Transfer from Reserves for Capital</t>
  </si>
  <si>
    <t>Interest (4)</t>
  </si>
  <si>
    <t xml:space="preserve">Interest allocated based on the percentage of allocated depreciation associated with the </t>
  </si>
  <si>
    <t xml:space="preserve">wastewater treatment plant and conveyance system only. </t>
  </si>
  <si>
    <t>Interest/Fees</t>
  </si>
  <si>
    <t>Supplies</t>
  </si>
  <si>
    <t>Miscellaneous</t>
  </si>
  <si>
    <t>% of Total Adjustment</t>
  </si>
  <si>
    <t>Portion to meter reading</t>
  </si>
  <si>
    <t>Inflow &amp; Infiltration</t>
  </si>
  <si>
    <t xml:space="preserve">Billed </t>
  </si>
  <si>
    <t>Treated</t>
  </si>
  <si>
    <t>12 Month (Adjusted)</t>
  </si>
  <si>
    <t>12 Month (Adjusted) (1)</t>
  </si>
  <si>
    <t>Adjusted for consistency with actual revenue.</t>
  </si>
  <si>
    <t>Applied for Rate Calculation</t>
  </si>
  <si>
    <t>I&amp;I Calculator</t>
  </si>
  <si>
    <t>I&amp;I</t>
  </si>
  <si>
    <t>Distribution</t>
  </si>
  <si>
    <t>Assigned to Volume</t>
  </si>
  <si>
    <t>Key Results</t>
  </si>
  <si>
    <t>Unrestricted Reserves</t>
  </si>
  <si>
    <t>Days of O&amp;M Expenses</t>
  </si>
  <si>
    <t>Days of O&amp;M Plus Debt Service</t>
  </si>
  <si>
    <t>Scenario Name:</t>
  </si>
  <si>
    <t>Estimated Average Annual Balance</t>
  </si>
  <si>
    <t>Non-Operating Revenues</t>
  </si>
  <si>
    <t>Transfers from Reserves</t>
  </si>
  <si>
    <t>Total Revenues</t>
  </si>
  <si>
    <t>Revenue Requirments</t>
  </si>
  <si>
    <t>Rate Structure</t>
  </si>
  <si>
    <t>Minimum Charge (Includes 2,000 Gallons)</t>
  </si>
  <si>
    <t>Volume Charge (per kgal)</t>
  </si>
  <si>
    <t>Customer Impacts</t>
  </si>
  <si>
    <t>Avg. Usage</t>
  </si>
  <si>
    <t>Current Bill</t>
  </si>
  <si>
    <t>Proposed Bill</t>
  </si>
  <si>
    <t>Required Revenue Increase</t>
  </si>
  <si>
    <t>Revenue Proof - Proposed Rates (Cash Basis)</t>
  </si>
  <si>
    <t>Existing Rate Structure</t>
  </si>
  <si>
    <t>Total Debt Service Coverage</t>
  </si>
  <si>
    <t xml:space="preserve">Base Charge </t>
  </si>
  <si>
    <t>Inflow &amp; Infiltration - Recovered from Account Charge</t>
  </si>
  <si>
    <t>Conveyance System -  10-inches and above</t>
  </si>
  <si>
    <t>Collection System - 8-inches and below</t>
  </si>
  <si>
    <t>of piping. Based on input from staff, it was determined that piping 10-inches and larger</t>
  </si>
  <si>
    <t>OASDI</t>
  </si>
  <si>
    <t>Non-Operating Income/Expenses</t>
  </si>
  <si>
    <t>Depreciation/Amortization (1) (3)</t>
  </si>
  <si>
    <t>Total Revenues from Minimum Charge Under Proposed Rates</t>
  </si>
  <si>
    <t>Total Rate Year Revenue From Proposed Rates and Charges (Calculated)</t>
  </si>
  <si>
    <t>Rate Differential</t>
  </si>
  <si>
    <t xml:space="preserve">  Minimum Charge</t>
  </si>
  <si>
    <t>Volume Rate Adjustment</t>
  </si>
  <si>
    <t>Minimum Charge Adjustment</t>
  </si>
  <si>
    <t>Enter "1" for Yes "2" for No</t>
  </si>
  <si>
    <t xml:space="preserve">Includes Winter Quarter </t>
  </si>
  <si>
    <t>Needed to Pay Off KIA Loan;</t>
  </si>
  <si>
    <t>If not retiring, will pay;</t>
  </si>
  <si>
    <t>Interest &amp; KIA Adm Fees</t>
  </si>
  <si>
    <t>Sources Available;</t>
  </si>
  <si>
    <t>Current KIA Reserve Fund</t>
  </si>
  <si>
    <t>Options to Provide Additional Funding;</t>
  </si>
  <si>
    <t>A - 20 Year</t>
  </si>
  <si>
    <t>B - 20 Year</t>
  </si>
  <si>
    <t>C - 20 Year</t>
  </si>
  <si>
    <t>D - 20 Year</t>
  </si>
  <si>
    <t>Bank Loan</t>
  </si>
  <si>
    <t>FR Bond</t>
  </si>
  <si>
    <t>In-House Funds</t>
  </si>
  <si>
    <t>RS Reserves</t>
  </si>
  <si>
    <t>Term / Years</t>
  </si>
  <si>
    <t>Int Rate / Year</t>
  </si>
  <si>
    <t>Issuance Cost</t>
  </si>
  <si>
    <t>Annual DS Payment</t>
  </si>
  <si>
    <t>Total Interest Expense</t>
  </si>
  <si>
    <t>Total Cost</t>
  </si>
  <si>
    <t>Cost Benefit / ROI Analysis;</t>
  </si>
  <si>
    <t>Outflows;</t>
  </si>
  <si>
    <t>Lost Interest Earnings - Use of DS Reserves</t>
  </si>
  <si>
    <t>Lost Interest Earnings - Use of Unrest Reserves</t>
  </si>
  <si>
    <t>Principal Spent on Pay Off</t>
  </si>
  <si>
    <t>Total Outflows</t>
  </si>
  <si>
    <t>Inflows;</t>
  </si>
  <si>
    <t>Saved Future Principal Payments</t>
  </si>
  <si>
    <t>Saved Future Int + Fees</t>
  </si>
  <si>
    <t>Total Inflows</t>
  </si>
  <si>
    <t>Net Savings / Costs</t>
  </si>
  <si>
    <t>Net Rate of Return / Annual</t>
  </si>
  <si>
    <t>Annual Debt Service Comparison;</t>
  </si>
  <si>
    <t>Avg Annual Used in Current Rate Model</t>
  </si>
  <si>
    <t>Amt to Use Assuming Option D</t>
  </si>
  <si>
    <t>Net Annual DS Savings</t>
  </si>
  <si>
    <t>NOTES &amp; ASSUMPTIONS:</t>
  </si>
  <si>
    <t>1. KIA Loan can be paid off without penalty or premium (confirmed with KIA)</t>
  </si>
  <si>
    <t>2. Lost of interest earnings based on current CD rates if purchased today</t>
  </si>
  <si>
    <t>Pay Off Debt Enter "1'</t>
  </si>
  <si>
    <t>Transfer to Debt Service Reserve</t>
  </si>
  <si>
    <t>Professional Services-Engineering</t>
  </si>
  <si>
    <t>Growth Rates 2012 - 2020</t>
  </si>
  <si>
    <t xml:space="preserve">Engineering Manager </t>
  </si>
  <si>
    <t xml:space="preserve">Pension </t>
  </si>
  <si>
    <t>Operation &amp; Maintenance</t>
  </si>
  <si>
    <t>Rate Year ($ Allocations)</t>
  </si>
  <si>
    <t>Rate Year (% Allocations)</t>
  </si>
  <si>
    <t>Based on a three-year average annual change in customers</t>
  </si>
  <si>
    <t>Lincoln Trail Odor Study</t>
  </si>
  <si>
    <t>WWTP Painting Project Phase 1</t>
  </si>
  <si>
    <t>Blacktop Lincoln Trail Lift Station</t>
  </si>
  <si>
    <t>7% of Curbing for Service Center Parking Lot</t>
  </si>
  <si>
    <t>7% Service Center Parking Lot</t>
  </si>
  <si>
    <t>08 HWY 313 Interceptor/A. Arnold Project</t>
  </si>
  <si>
    <t>Bridge Community Church</t>
  </si>
  <si>
    <t>Warwick Castle</t>
  </si>
  <si>
    <t>Woburn Place Section 1 520' 8" PVC</t>
  </si>
  <si>
    <t>New Cleanout Installations</t>
  </si>
  <si>
    <t>3T Portable Hoist</t>
  </si>
  <si>
    <t>Root Cutter w/ ring, assembly 8"-10"</t>
  </si>
  <si>
    <t>52% 4" Camera System</t>
  </si>
  <si>
    <t>Pressure Transmitter Model 1100</t>
  </si>
  <si>
    <t>Actuator Parts &amp; Installation</t>
  </si>
  <si>
    <t>Belt Filter Press Chute Modifications</t>
  </si>
  <si>
    <t>47% of Leightronics Mini Tnet Controller, interface, DVD Player</t>
  </si>
  <si>
    <t>47% Dell Inspiron 1150 100Lcords</t>
  </si>
  <si>
    <t>47% 5 Vostro 3500 Laptops</t>
  </si>
  <si>
    <t>26% SDI Geosync Enterprise for Utilities</t>
  </si>
  <si>
    <t>47% Remote I Web Harris Computers</t>
  </si>
  <si>
    <t>47% iCall IVR</t>
  </si>
  <si>
    <t>7% Server Room A/C Unit</t>
  </si>
  <si>
    <t>Trailer EX10 GAT E 2900 GVW Trailer</t>
  </si>
  <si>
    <t>6000 lb Pneumatic Forklisft</t>
  </si>
  <si>
    <t>Drug Store Lift Station Replacement</t>
  </si>
  <si>
    <t>WWTP Primary Treatment Building</t>
  </si>
  <si>
    <t>WWTP Plant Clarifier, Oxidaton Ditch, and Lower Half of WWTP</t>
  </si>
  <si>
    <t>Scenic Drive Main Sewer Line Replacement</t>
  </si>
  <si>
    <t>Future WWTP Projects</t>
  </si>
  <si>
    <t>Future Collection System Projects</t>
  </si>
  <si>
    <t>Electricity</t>
  </si>
  <si>
    <t>Electricity Savings</t>
  </si>
  <si>
    <t>Industiral Park Lift Station</t>
  </si>
  <si>
    <t>Safari Trail Lift Station</t>
  </si>
  <si>
    <t>Byerly Lift Station</t>
  </si>
  <si>
    <t>Elm Street Lift Station</t>
  </si>
  <si>
    <t>Total Estiamted Savings</t>
  </si>
  <si>
    <t>Deduction for anticipated electricty savings</t>
  </si>
  <si>
    <t>Electricty Cost Savings</t>
  </si>
  <si>
    <t>Enter "2" to remove commercial flows</t>
  </si>
  <si>
    <t>Days O&amp;M Expense (2)</t>
  </si>
  <si>
    <t>Days O&amp;M Expense Plus Debt Service (2)</t>
  </si>
  <si>
    <t xml:space="preserve">Beginning Balance </t>
  </si>
  <si>
    <t xml:space="preserve">Based on ending year balance. </t>
  </si>
  <si>
    <t>Transfer to Pay Debt Service</t>
  </si>
  <si>
    <t>Revenue decrease from Winter Quarter Billing</t>
  </si>
  <si>
    <t>Historical Flows</t>
  </si>
  <si>
    <t>Radcliff WWTP Flows &amp; Billed Gallons</t>
  </si>
  <si>
    <t>2005 ~ 2010</t>
  </si>
  <si>
    <t>Year</t>
  </si>
  <si>
    <t>Billed</t>
  </si>
  <si>
    <t>I&amp;I Gals</t>
  </si>
  <si>
    <t>% Un-Billed</t>
  </si>
  <si>
    <t>I&amp;I Factor</t>
  </si>
  <si>
    <t>Mean</t>
  </si>
  <si>
    <t>Median</t>
  </si>
  <si>
    <t>Lin Reg Estimate</t>
  </si>
  <si>
    <t>5-Year Trended I&amp;I</t>
  </si>
  <si>
    <t>Do Not Pay Off Debt Enter "2"</t>
  </si>
  <si>
    <t>2012 KIA Loan</t>
  </si>
  <si>
    <t>2014 KIA Loan</t>
  </si>
  <si>
    <t>2016 KIA Loan</t>
  </si>
  <si>
    <t>2012 Revenue Bonds</t>
  </si>
  <si>
    <t>2014 Revenue Bonds</t>
  </si>
  <si>
    <t>2016 Revenue Bonds</t>
  </si>
  <si>
    <t>Growth Rates 2013 - 2022</t>
  </si>
  <si>
    <t>WQ / Measurement Specialist</t>
  </si>
  <si>
    <t>Executive Assistant</t>
  </si>
  <si>
    <t>Growth in Billable Flows (2013 - 2022)</t>
  </si>
  <si>
    <t>Customer Service Representative (Vacant)</t>
  </si>
  <si>
    <t>Adjustment per estimated premium breakdown by utility fund provided by Hardin</t>
  </si>
  <si>
    <t>Plant Flows (kgal)</t>
  </si>
  <si>
    <t>3-year average</t>
  </si>
  <si>
    <r>
      <t>Admin Salaries &amp; Overhead</t>
    </r>
    <r>
      <rPr>
        <sz val="12"/>
        <rFont val="Times New Roman"/>
        <family val="1"/>
      </rPr>
      <t xml:space="preserve"> - % assigned to each employee based on amount of time employee spent on Radcliff.   </t>
    </r>
    <r>
      <rPr>
        <b/>
        <sz val="12"/>
        <rFont val="Times New Roman"/>
        <family val="1"/>
      </rPr>
      <t>Commissioner Salaries -</t>
    </r>
    <r>
      <rPr>
        <sz val="12"/>
        <rFont val="Times New Roman"/>
        <family val="1"/>
      </rPr>
      <t xml:space="preserve"> % determined based on how many times the commission voted for Radcliff issues during 2011</t>
    </r>
    <r>
      <rPr>
        <b/>
        <sz val="12"/>
        <rFont val="Times New Roman"/>
        <family val="1"/>
      </rPr>
      <t xml:space="preserve">.  Commission Expense </t>
    </r>
    <r>
      <rPr>
        <sz val="12"/>
        <rFont val="Times New Roman"/>
        <family val="1"/>
      </rPr>
      <t xml:space="preserve">- based on Radcliff sewer customers compared to total customers. </t>
    </r>
  </si>
  <si>
    <t>Adjustment for Fort Knox Water</t>
  </si>
  <si>
    <t>Fort Knox Water (1)</t>
  </si>
  <si>
    <t>Adjustment to recognize reduced allocations of general and administrative costs to the</t>
  </si>
  <si>
    <t>Radcliff Utility due to the new contract operating agreement between HCWD1 and the</t>
  </si>
  <si>
    <t>Administrative Labor (4)</t>
  </si>
  <si>
    <t>Includes adjustment for reduced general and administrative costs as a result of the new contract operating agreeement HCWD1</t>
  </si>
  <si>
    <t>and the Fort Knox water system.</t>
  </si>
  <si>
    <t>Adjustment for Fort Knox (4)</t>
  </si>
  <si>
    <t>Average</t>
  </si>
  <si>
    <t>Median 6 yr + LR Est</t>
  </si>
  <si>
    <t>% Chg from 201 Actual</t>
  </si>
  <si>
    <t>Revenue Decrease from Trended Six-Year Flow Data</t>
  </si>
  <si>
    <t>Billing Analysis - Proposed Tariff Structure (Option 1)</t>
  </si>
  <si>
    <t>Billing Analysis - Comparison (Option 1)</t>
  </si>
  <si>
    <t>Hwy. 313 Lift Station Project</t>
  </si>
  <si>
    <t>Redmar Lift Station Pump 1 Rebuild</t>
  </si>
  <si>
    <t>Redmar Lift Station Pump 2 Rebuild</t>
  </si>
  <si>
    <t>C Square Lift Station Pump Rebuild</t>
  </si>
  <si>
    <t>Arlingtonwoods Lift Station</t>
  </si>
  <si>
    <t>Clarifier #1 Pump Rebuild</t>
  </si>
  <si>
    <t>Crocus Lift Station</t>
  </si>
  <si>
    <t>Refurbished Flyght Pump</t>
  </si>
  <si>
    <t>EQ Basin Chain Link Fence</t>
  </si>
  <si>
    <t>Radcliff WWTP Drainage Project</t>
  </si>
  <si>
    <t>Radcliff WWTP UV Building</t>
  </si>
  <si>
    <t>Lateral CIPP</t>
  </si>
  <si>
    <t>Wilson Rd Main Relocate 182 ft. 8 in PVC &amp; 2 Manholes</t>
  </si>
  <si>
    <t>Hillcrest Sewer Main Repair 1,048 lf of line &amp; 4 manholes</t>
  </si>
  <si>
    <t>Pearman/Wilma Ave 2,311 lf of gravity main &amp; 14 manholes</t>
  </si>
  <si>
    <t>Sheltonwoods Phase 2 3942' of mains &amp; 12 manholes</t>
  </si>
  <si>
    <t xml:space="preserve">Arlingtonwoods 5864' of main &amp; 26 manholes </t>
  </si>
  <si>
    <t>Byerly LS Elim 164 ft Main  1 Manhole</t>
  </si>
  <si>
    <t>Elm LS Elm 963 ft of main $ 5 manholes</t>
  </si>
  <si>
    <t>Woods @ Atcher 98' of 8" main &amp; 1 manhole</t>
  </si>
  <si>
    <t>Outdoor Properties 120 ft. of 8" main</t>
  </si>
  <si>
    <t>Isco 4501 Pump Meter</t>
  </si>
  <si>
    <t>860 H2S 0-2--PPM Monitor</t>
  </si>
  <si>
    <t>50% of Pan Tilt Zoom Camera</t>
  </si>
  <si>
    <t>Crane Gantry</t>
  </si>
  <si>
    <t>50% of 2 15,000 Watt Generators</t>
  </si>
  <si>
    <t>50% of 6" Diamond Core Drill</t>
  </si>
  <si>
    <t>50% of 6" WW Pump Bypass Hose</t>
  </si>
  <si>
    <t>26% of 2 Dell Computers for GIS Mapping</t>
  </si>
  <si>
    <t>2011 Ford F450</t>
  </si>
  <si>
    <t>33% Solar Assisted Arrowboard</t>
  </si>
  <si>
    <t>25% 2008 Toyota Tacoma 2wd Truck</t>
  </si>
  <si>
    <t>60% of Vac Truck Hydro Excavating Assembly</t>
  </si>
  <si>
    <t>58% of Generators - Emergency Power Upgrades</t>
  </si>
  <si>
    <t>NO LONGER VALID</t>
  </si>
  <si>
    <t>Lincoln Trail I/I Reduction Project</t>
  </si>
  <si>
    <t>Seminole I/I Reduction Project</t>
  </si>
  <si>
    <t>Quiggins and Boone Trace I/I Reduction Project</t>
  </si>
  <si>
    <t>WWTP Oxidation Ditch Improvements</t>
  </si>
  <si>
    <t>Boone Trace and Lincoln Trail Lift Station Improvements</t>
  </si>
  <si>
    <t>Redmar Lift Station Improvements</t>
  </si>
  <si>
    <t>Future Lift Station Projects</t>
  </si>
  <si>
    <t>LS Grant (BRAC) (1)</t>
  </si>
  <si>
    <t>SI Grant (BRAC) (1)</t>
  </si>
  <si>
    <t xml:space="preserve">Repair &amp; Maintenance </t>
  </si>
  <si>
    <t xml:space="preserve">Electric Overage </t>
  </si>
  <si>
    <t>Esitimated Number of Accounts Applying Annually for WQ Billing</t>
  </si>
  <si>
    <t>Enter "1" to Include New Charges</t>
  </si>
  <si>
    <t>Repayment Schedule</t>
  </si>
  <si>
    <t>Loan #A97-03</t>
  </si>
  <si>
    <t>Payment Date</t>
  </si>
  <si>
    <t>Servicing Fee</t>
  </si>
  <si>
    <t>Restricted Assets:</t>
  </si>
  <si>
    <t>CD with Cecilian Bank for Maint &amp; Repair Fund</t>
  </si>
  <si>
    <t>Matures 05/18/12, Interest Rate = 1.29%</t>
  </si>
  <si>
    <t>% Pay off from restricted reserves</t>
  </si>
  <si>
    <t>Int earn lost</t>
  </si>
  <si>
    <t>Lost Int Earnings (RA Rest Funds - 1.3% APR, $337,000)</t>
  </si>
  <si>
    <t>J. Bruce - HCWD1 (Revised April, 2012)</t>
  </si>
  <si>
    <t>6 Year Period (Assuming Option D)</t>
  </si>
  <si>
    <t>Added Int Earnings on DS Savings (1.3% earnings)</t>
  </si>
  <si>
    <t>Avg monthly value of savings</t>
  </si>
  <si>
    <t>Net Unres Funds Required</t>
  </si>
  <si>
    <t>% Pay off from un-restricted reserves</t>
  </si>
  <si>
    <t>Lost Int Earnings (RA Unres Funds - 1.3% APR, $1,503,721)</t>
  </si>
  <si>
    <t>Radcliff Early Debt Retirement Analysis</t>
  </si>
  <si>
    <t>4. Option D - Assumes using DS reserves ($377,000) and unrestricted reserves ($1,503,721)</t>
  </si>
  <si>
    <t>3. Earned rate of return based on current Money Market account, CB</t>
  </si>
  <si>
    <t>5. Lost interest earnings calculations using 6 year period</t>
  </si>
  <si>
    <t>Potential Accounts WQB</t>
  </si>
  <si>
    <t>Estimated percent</t>
  </si>
  <si>
    <t>Monthly Cost to non WQB accounts</t>
  </si>
  <si>
    <t>&lt; Total wages charged to RS</t>
  </si>
  <si>
    <t>2011 Base RR</t>
  </si>
  <si>
    <t>2011 Actual Sales Revenue</t>
  </si>
  <si>
    <t>Net Needed</t>
  </si>
  <si>
    <t>% Needed</t>
  </si>
  <si>
    <t>Standard Adjustments</t>
  </si>
  <si>
    <t>Add for Depr and Oper Expense Increases</t>
  </si>
  <si>
    <t>Less Interest Income</t>
  </si>
  <si>
    <t>Less Non Sales Revenue</t>
  </si>
  <si>
    <t>Less loss on scrapped assets</t>
  </si>
  <si>
    <t>Expense Pie</t>
  </si>
  <si>
    <t>Depreciation Expense</t>
  </si>
  <si>
    <t>Contracted Operations</t>
  </si>
  <si>
    <t>Other HCWD1 G&amp;A Costs</t>
  </si>
  <si>
    <t>Net Adjustments</t>
  </si>
  <si>
    <t>Less FKW Shared G&amp;A Expense</t>
  </si>
  <si>
    <t>Revised RR</t>
  </si>
  <si>
    <t>Revised Test Year Total Expenses</t>
  </si>
  <si>
    <t>HCWD1 Allocated Labor (4.6% of total)</t>
  </si>
  <si>
    <t>Before 6/1/2012</t>
  </si>
  <si>
    <t>Income / Cash Flow Statement</t>
  </si>
  <si>
    <t>Revenues;</t>
  </si>
  <si>
    <t>Int income</t>
  </si>
  <si>
    <t>Non-Sales</t>
  </si>
  <si>
    <t>Sales</t>
  </si>
  <si>
    <t>TOTAL</t>
  </si>
  <si>
    <t>Expenses;</t>
  </si>
  <si>
    <t>HCWD1</t>
  </si>
  <si>
    <t>Contractual</t>
  </si>
  <si>
    <t>Debt Int</t>
  </si>
  <si>
    <t>NIBD</t>
  </si>
  <si>
    <t>NIAD</t>
  </si>
  <si>
    <t>Beg Yr</t>
  </si>
  <si>
    <t>Less Capital</t>
  </si>
  <si>
    <t>Less DS Princ</t>
  </si>
  <si>
    <t>Other</t>
  </si>
  <si>
    <t>End Year</t>
  </si>
  <si>
    <t>Add Depr</t>
  </si>
  <si>
    <t>Add Grant/CC</t>
  </si>
  <si>
    <t>Add Oper Inc</t>
  </si>
  <si>
    <t>|</t>
  </si>
  <si>
    <t>Veolia - Radcliff</t>
  </si>
  <si>
    <t>2009 - 2012 Fees</t>
  </si>
  <si>
    <t>2009 Actual</t>
  </si>
  <si>
    <t>Base Fee, Net of Odor Control</t>
  </si>
  <si>
    <t>Electric Plus Overages</t>
  </si>
  <si>
    <t>R&amp;M Plus Overages</t>
  </si>
  <si>
    <t>Total Charges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</si>
  <si>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</si>
  <si>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</si>
  <si>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</si>
  <si>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</si>
  <si>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</si>
  <si>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</si>
  <si>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</si>
  <si>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</si>
  <si>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</si>
  <si>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</si>
  <si>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</si>
  <si>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</si>
  <si>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Actual</t>
  </si>
  <si>
    <t>2011 Actual</t>
  </si>
  <si>
    <t>2012 Budget</t>
  </si>
  <si>
    <t>Per Amendment #4 + $100,000 Electric Overage Accrual - $16,000 Sales</t>
  </si>
  <si>
    <t xml:space="preserve">  Tax Savings on Electric + $25,000 R&amp;M Overage Accrual</t>
  </si>
  <si>
    <t>Base</t>
  </si>
  <si>
    <t>Elect</t>
  </si>
  <si>
    <t>R&amp;M</t>
  </si>
  <si>
    <t>(From RN/JB 2006 model estimates)</t>
  </si>
  <si>
    <t>2008 Based on initial annual contract fee</t>
  </si>
  <si>
    <t>YEAR</t>
  </si>
  <si>
    <t>Veolia Annual Fee Summary</t>
  </si>
  <si>
    <t>Annualized increase rate</t>
  </si>
  <si>
    <t>&lt; 1 = No Debt</t>
  </si>
  <si>
    <t>&lt; 1 = Add NRC</t>
  </si>
  <si>
    <t>Comparison chart - options</t>
  </si>
  <si>
    <t>No Debt</t>
  </si>
  <si>
    <t>Net OIAD</t>
  </si>
  <si>
    <t>Cash Bal</t>
  </si>
  <si>
    <t>Cash Chg</t>
  </si>
  <si>
    <t>With Debt</t>
  </si>
  <si>
    <t>No Debt + NCR</t>
  </si>
  <si>
    <t>NRC Revenue Summary;</t>
  </si>
  <si>
    <t>Tap Installations</t>
  </si>
  <si>
    <t>Special Permit Fee</t>
  </si>
  <si>
    <t>Ann Permint Insp</t>
  </si>
  <si>
    <t>Line Clear - Day</t>
  </si>
  <si>
    <t>Line Clear - Night</t>
  </si>
  <si>
    <t>Serv Call - Day</t>
  </si>
  <si>
    <t>Serv Call - Night</t>
  </si>
  <si>
    <t>A</t>
  </si>
  <si>
    <t>B</t>
  </si>
  <si>
    <t>C</t>
  </si>
  <si>
    <t>D</t>
  </si>
  <si>
    <t>No Debt + NCR + 13.8% Rate Incr</t>
  </si>
  <si>
    <t>Act</t>
  </si>
  <si>
    <t>Limits</t>
  </si>
  <si>
    <t>Elect Limit</t>
  </si>
  <si>
    <t>R&amp;M Limit</t>
  </si>
  <si>
    <t>Elect Ovg</t>
  </si>
  <si>
    <t>R&amp;M Ovg</t>
  </si>
  <si>
    <t>Parks at Vine Apts</t>
  </si>
  <si>
    <t>Apts</t>
  </si>
  <si>
    <t>Min Bill at Master Meter</t>
  </si>
  <si>
    <t>2012 First year only 6 months filled</t>
  </si>
  <si>
    <t>Use 3 Year Avg</t>
  </si>
  <si>
    <t>144 units in phase 1, assume 10% vacancy rate</t>
  </si>
  <si>
    <t>Total gals, with first 2kgal not included in master meter</t>
  </si>
  <si>
    <t>Min bill charge at master</t>
  </si>
  <si>
    <t>Total apt complex monthly bill (sewer current rates)</t>
  </si>
  <si>
    <t>Total apt complex annual bill (sewer current rates) after 2012</t>
  </si>
  <si>
    <t>Total apt complex annual bill (sewer current rates) during 2012 (occupation started in June)</t>
  </si>
  <si>
    <t>3 Yr avg annual revenue</t>
  </si>
  <si>
    <t>Adjustment for Tap Fee</t>
  </si>
  <si>
    <t>Adjustment for Test Year</t>
  </si>
  <si>
    <t>Addition for one-time Gain on Sale</t>
  </si>
  <si>
    <t>Deduction for reduced interest earnings</t>
  </si>
  <si>
    <t xml:space="preserve">Revenue decrease (interest earnings) </t>
  </si>
  <si>
    <t>First 2,000 ga - $17.62
2,001 - 13,000 ga - $5.58 per thousand
&gt;15,000 ga - $4.60 per thousand</t>
  </si>
  <si>
    <t>None</t>
  </si>
  <si>
    <t>No</t>
  </si>
  <si>
    <t>2006</t>
  </si>
  <si>
    <t>UNK</t>
  </si>
  <si>
    <t>Yes</t>
  </si>
  <si>
    <t>Charlene
270-351-3222</t>
  </si>
  <si>
    <t>HCWD1 - With 11% Increase</t>
  </si>
  <si>
    <t>First 2,000 ga - $19.56
2,001 - 13,000 ga - $6.19 per thousand
&gt;15,000 ga - $5.11 per thousand</t>
  </si>
  <si>
    <t>N/A</t>
  </si>
  <si>
    <t>Oldham County Environmental Authority
Current</t>
  </si>
  <si>
    <t>$5.85 per thousand gallons</t>
  </si>
  <si>
    <t>$14.43 Residential
$47.40-$257.23 Commercial</t>
  </si>
  <si>
    <t>Sept 2011</t>
  </si>
  <si>
    <t>July 2012</t>
  </si>
  <si>
    <t>Residential
Commercial</t>
  </si>
  <si>
    <t>Andrea
502-225-9476</t>
  </si>
  <si>
    <t>Oldham County Environmental Authority
As of July 1, 2012</t>
  </si>
  <si>
    <t>$6.14 per thousand gallons</t>
  </si>
  <si>
    <t>$20.54 Residential
$55.43-$275.75 Commercial</t>
  </si>
  <si>
    <t>Andrea
502-225-9477</t>
  </si>
  <si>
    <t>City of Etown (Current)</t>
  </si>
  <si>
    <t>First 2,000 ga - $8
&gt;2,000 - $3.40 per thousand</t>
  </si>
  <si>
    <t>2012</t>
  </si>
  <si>
    <t>Betty
270-765-6121</t>
  </si>
  <si>
    <t>City of Etown (2013 Approved)</t>
  </si>
  <si>
    <t>First 2,000 ga - $10
&gt;2,000 ga - $4.40 per thousand</t>
  </si>
  <si>
    <t>Betty
270-765-6122</t>
  </si>
  <si>
    <t>City of Bardstown</t>
  </si>
  <si>
    <t>First 2,000 ga - $17.25 (City) or $18.94 (county)
&gt;2,000 ga - $4.34 per thousand</t>
  </si>
  <si>
    <t>$17.25 (city)
$18.94 (county)</t>
  </si>
  <si>
    <t>Fall 2011</t>
  </si>
  <si>
    <t>Residential
Industrial</t>
  </si>
  <si>
    <t>Yes
Amt UNK</t>
  </si>
  <si>
    <t>Jessica
502-348-5947</t>
  </si>
  <si>
    <t>City of Vine Grove</t>
  </si>
  <si>
    <t>First 1,000 ga - $7.76
&gt;1,000 ga - $.50 per hundred</t>
  </si>
  <si>
    <t>2007</t>
  </si>
  <si>
    <t>Janelle
270-877-2422</t>
  </si>
  <si>
    <t>City of Ashland</t>
  </si>
  <si>
    <t>$4.16 per thousand gallons</t>
  </si>
  <si>
    <t>Jan 2012</t>
  </si>
  <si>
    <t>Jan 2013</t>
  </si>
  <si>
    <t>City
County (1.5 times city rate)</t>
  </si>
  <si>
    <t>Danielle
606-327-2022</t>
  </si>
  <si>
    <t>City of Georgetown</t>
  </si>
  <si>
    <t>First 2,000 ga - $7.82
&gt;2,000 ga - $5.58 per thousand</t>
  </si>
  <si>
    <t>Barb
502-863-7816</t>
  </si>
  <si>
    <t>Bullit Co Sanitation Dist</t>
  </si>
  <si>
    <t>First 2,000 ga - $14.00
&gt;2,000 ga - $14.48 per thousand</t>
  </si>
  <si>
    <t>Dec 2011</t>
  </si>
  <si>
    <t>&gt;3500</t>
  </si>
  <si>
    <t>Jeanie
502-957-6140</t>
  </si>
  <si>
    <t>City of Henderson</t>
  </si>
  <si>
    <t>First 5,000 cubic feet - $3.91 per 100 cubic feet (748 gallons)
&gt;5,000 cubic feet - $2.85 per 100 cubic feet (748 gallons)</t>
  </si>
  <si>
    <t>Residential
Contractual</t>
  </si>
  <si>
    <t>Leason Neel
270-826-2421</t>
  </si>
  <si>
    <t>City of Campbellsville</t>
  </si>
  <si>
    <t>First 1,000 ga - $7.53
&gt;1,000 ga - $3.31 per thousand</t>
  </si>
  <si>
    <t>Vicky
270-789-3133</t>
  </si>
  <si>
    <t>Warren County</t>
  </si>
  <si>
    <t>5/8" -  First 2,000 g - $9.24
Next 6,000 ga - $3.82 per thousand
Next 12,000 ga - $2.63 per thousand
Next 80,000 ga - $2.24 per thousand
&gt;100,000 ga - $1.62 per thousand</t>
  </si>
  <si>
    <t>5/8" - $9.24
3/4" - $13.06
1" - $20.70
1.5" - $37.45
2" - $53.20
3" - $86.12
4" - $130.92
6" - $242.92</t>
  </si>
  <si>
    <t>Marqueeta
270-842-0052</t>
  </si>
  <si>
    <t>Oldham County</t>
  </si>
  <si>
    <t>CPI</t>
  </si>
  <si>
    <t>RSWR</t>
  </si>
  <si>
    <t>HC1W</t>
  </si>
  <si>
    <t>Adjustment for Consistency with Revenues (Accounts)</t>
  </si>
  <si>
    <t>Adjustment for Consistency with Revenues (Flows)</t>
  </si>
  <si>
    <t>Min Bill</t>
  </si>
  <si>
    <t>0-15 Kgal</t>
  </si>
  <si>
    <t>15+ Kgal</t>
  </si>
  <si>
    <t>Kgals Incl</t>
  </si>
  <si>
    <t>Use Block</t>
  </si>
  <si>
    <t>No Bills</t>
  </si>
  <si>
    <t>No Change to Structure</t>
  </si>
  <si>
    <t>Min Bil + Declining Block 20%/15 kgal</t>
  </si>
  <si>
    <t>Revs $</t>
  </si>
  <si>
    <t>For Revenue Calculation Purposes</t>
  </si>
  <si>
    <t>No. of Bill in Block</t>
  </si>
  <si>
    <t>Cumulative Bill Through Block</t>
  </si>
  <si>
    <t>Total Use of Bills Stopping in Block</t>
  </si>
  <si>
    <t>Cumulative Use of Bills Stopping in Block</t>
  </si>
  <si>
    <t>Total Use to this Block of All Bills Passing Through Block</t>
  </si>
  <si>
    <t>Cumulative Billed Usage</t>
  </si>
  <si>
    <t>Billed Usage for Revenue Calculation (kgal)</t>
  </si>
  <si>
    <t xml:space="preserve">Billed Usage for Revenue Calculation </t>
  </si>
  <si>
    <t>new customer</t>
  </si>
  <si>
    <t>monthly</t>
  </si>
  <si>
    <t>Gals (kgal) (Ending in Block)</t>
  </si>
  <si>
    <t>Option A</t>
  </si>
  <si>
    <t>Option B</t>
  </si>
  <si>
    <t>Cust Chg + Level Blocks</t>
  </si>
  <si>
    <t>No WQB Included</t>
  </si>
  <si>
    <t>Per Kgal</t>
  </si>
  <si>
    <t>Option B2</t>
  </si>
  <si>
    <t>With WQB Included</t>
  </si>
  <si>
    <t>Option C</t>
  </si>
  <si>
    <t>Min Bil + No declining block</t>
  </si>
  <si>
    <t>Option D</t>
  </si>
  <si>
    <t>2~ 15 kgals</t>
  </si>
  <si>
    <t>&gt; 15 kgal</t>
  </si>
  <si>
    <t>Opt A</t>
  </si>
  <si>
    <t>Opt B</t>
  </si>
  <si>
    <t>Opt B2</t>
  </si>
  <si>
    <t>Opt C</t>
  </si>
  <si>
    <t>Opt D</t>
  </si>
  <si>
    <t>% Tot Bills</t>
  </si>
  <si>
    <t>Cust Chg</t>
  </si>
  <si>
    <t>0-50 Kgal</t>
  </si>
  <si>
    <t>50+ Kgal</t>
  </si>
  <si>
    <t>Option E</t>
  </si>
  <si>
    <t>Opt E</t>
  </si>
  <si>
    <t>Weighted Avg % Change Based on Number of Bills per Block</t>
  </si>
  <si>
    <t>Weighted Avg % Change Based on Gallons Billed per Block</t>
  </si>
  <si>
    <t>Option F</t>
  </si>
  <si>
    <t>All Bills</t>
  </si>
  <si>
    <t>Opt F</t>
  </si>
  <si>
    <t>Cust Chg w/ Inclining Block</t>
  </si>
  <si>
    <t xml:space="preserve"> (+20%/50kgal) w/ WQB</t>
  </si>
  <si>
    <t>Comparison of All Options to Current Rates</t>
  </si>
  <si>
    <t>Flat Rate, w/o WQB</t>
  </si>
  <si>
    <t>% Change From Current 2012 Rates</t>
  </si>
  <si>
    <t>No Acts</t>
  </si>
  <si>
    <t>North Hardin Nursing Ctr</t>
  </si>
  <si>
    <t>North Hardin High School</t>
  </si>
  <si>
    <t>Housing Authority</t>
  </si>
  <si>
    <t>Lincoln Tr Hospital</t>
  </si>
  <si>
    <t>TK Properties</t>
  </si>
  <si>
    <t>Hampton Inn</t>
  </si>
  <si>
    <t>Holiday Inn Express</t>
  </si>
  <si>
    <t>Wal-Mart</t>
  </si>
  <si>
    <t>Dixie Coin Laundry</t>
  </si>
  <si>
    <t>Gold Vault Inn</t>
  </si>
  <si>
    <t>10 Largest Customers 2012</t>
  </si>
  <si>
    <t>Ann Gals</t>
  </si>
  <si>
    <t>Monthly</t>
  </si>
  <si>
    <t>$ / Month</t>
  </si>
  <si>
    <t>= Percent of Total 2011 Gallons</t>
  </si>
  <si>
    <t>= Percent of Total 2011 Rate Revenue</t>
  </si>
  <si>
    <t>75+ Kgal</t>
  </si>
  <si>
    <t>15~74 Kgal</t>
  </si>
  <si>
    <t>w/ WQO</t>
  </si>
  <si>
    <t>Min Bill + 3 Blocks, 1 inc, 1 decr</t>
  </si>
  <si>
    <t>Management Fee - Veolia</t>
  </si>
  <si>
    <t>Travel and Lodging</t>
  </si>
  <si>
    <t>Adjustment for Fort Knox</t>
  </si>
  <si>
    <t>Watkins LS Project</t>
  </si>
  <si>
    <t>Greenview and Cement LS Improvements</t>
  </si>
  <si>
    <t>Greenview and Cement Gravity System Improvements</t>
  </si>
  <si>
    <t>North Logsdon Parkway Gravity System Improvements</t>
  </si>
  <si>
    <t>Stovall LS/FM Improvements</t>
  </si>
  <si>
    <t>North Woodland Gravity System Improvements</t>
  </si>
  <si>
    <t>John Hardin Force Main Improvements</t>
  </si>
  <si>
    <t>WWTP RAS/WAS Improvements</t>
  </si>
  <si>
    <t>LS Bypass Improvements</t>
  </si>
  <si>
    <t>North Logsdon LS Improvements Project</t>
  </si>
  <si>
    <t>Quiggins Lift Station Improvements</t>
  </si>
  <si>
    <t>Future Projects</t>
  </si>
  <si>
    <t>Transfer to Fund Capital Improvements</t>
  </si>
  <si>
    <t>BRAC funds can be used for sewer inflow and infiltration improvements and lift station improvements. The majority</t>
  </si>
  <si>
    <t>Quiggins Gravity System Project</t>
  </si>
  <si>
    <t>&lt; Total 2013 Payroll &amp; Benefits budget</t>
  </si>
  <si>
    <t>&lt; Percent 2013 Wage expense charged to Radcliff Sewer</t>
  </si>
  <si>
    <t>PT Salaries</t>
  </si>
  <si>
    <t xml:space="preserve">County staff. </t>
  </si>
  <si>
    <t>Replace 5 Laptops/Workstations</t>
  </si>
  <si>
    <t>Easement Jetter Machine</t>
  </si>
  <si>
    <t>Trimble GeoXH 6000 GPS Receiver</t>
  </si>
  <si>
    <t>Replace Sludge Belt Press</t>
  </si>
  <si>
    <t>Service Center Roof Painting &amp; Equip. Bldg. Door Coating</t>
  </si>
  <si>
    <t>Vertical Edge 700 Phone System</t>
  </si>
  <si>
    <t>Replace Influent &amp; Effluent Refridgerated Samplers</t>
  </si>
  <si>
    <t>Upgrade Utility Billing System</t>
  </si>
  <si>
    <t>Chain Cutter Head</t>
  </si>
  <si>
    <t>Internal Crane for CCTV Van</t>
  </si>
  <si>
    <t>Ladder/Pipe Racks for Trucks</t>
  </si>
  <si>
    <t>AutoDesk Infrastructure Design Premium</t>
  </si>
  <si>
    <t>Aims 8000 Walt Power Invertors for Trucks</t>
  </si>
  <si>
    <t>Aries Wireless Pole Camera</t>
  </si>
  <si>
    <t>PT AutoCAD Drafter</t>
  </si>
  <si>
    <t>Trailer for Bobcat</t>
  </si>
  <si>
    <t>Smart Board</t>
  </si>
  <si>
    <t>Replace Carpet in Large Conference Room</t>
  </si>
  <si>
    <t>Replace Carpet in Lobby</t>
  </si>
  <si>
    <t>Replace Lobby and Customer Service Area Furniture</t>
  </si>
  <si>
    <t>Budget</t>
  </si>
  <si>
    <t>Actual Spent 2012 (with overages)</t>
  </si>
  <si>
    <t>Work Area - Veolia Costs (2009 Data)</t>
  </si>
  <si>
    <t>Fort Knox water system. The Radcliff Utility was allocated 17.86% of a total of $306,102</t>
  </si>
  <si>
    <t>available savings.</t>
  </si>
  <si>
    <t>Reduced G&amp;A savings From Fort Knox Water</t>
  </si>
  <si>
    <t>Greenview/Pearman/Wilma Lift Station</t>
  </si>
  <si>
    <t>3 Pressure Transfucer Sensors for N. Logsdon, Oak &amp; Arlington</t>
  </si>
  <si>
    <t>Radcliff Lateral Lining CIPP</t>
  </si>
  <si>
    <t>Greenview/Pearman/Wilma Mains</t>
  </si>
  <si>
    <t>85 ft of 8' main on Logan St</t>
  </si>
  <si>
    <t>350 LF of 8' DI Pipe for Fredmar Force Main</t>
  </si>
  <si>
    <t>1 Manhole for E2RC Relocation</t>
  </si>
  <si>
    <t>321 LF of 18" PVC for E2RC Relocation</t>
  </si>
  <si>
    <t>Hwy 1500 Phase II Relocation 325 LF of 6" PVC &amp;727 LF of 8" PVC</t>
  </si>
  <si>
    <t>Hwy 1500 Phase II Relocation</t>
  </si>
  <si>
    <t>21% of 3 HVAC Units at Service Center</t>
  </si>
  <si>
    <t>Greenview/Pearman/Wilma LS Pumps</t>
  </si>
  <si>
    <t>Greenview/Pearman/Wilma LS Control Pumps</t>
  </si>
  <si>
    <t>HWY 313 Pump 3 Replacement</t>
  </si>
  <si>
    <t>313 Lift Station Contractors for Control Panel</t>
  </si>
  <si>
    <t>25% Multiquip MTX60 4 Cycle Rammer Compactor</t>
  </si>
  <si>
    <t>25% Edco 18" Concrete &amp; Asphault Walk Behind Saw</t>
  </si>
  <si>
    <t>10 ft Baffle for Oxidation Ditch #2</t>
  </si>
  <si>
    <t>8 ft Baffle for Oxidation Ditch #2</t>
  </si>
  <si>
    <t>Filter Belt Press Conveyor &amp; Belt</t>
  </si>
  <si>
    <t>Amp Probe Analyzer</t>
  </si>
  <si>
    <t>Ditch 1 &amp; 2 Oxygen Reduction Sensor</t>
  </si>
  <si>
    <t>48% Dell Laptop for Tim Osborne</t>
  </si>
  <si>
    <t>47% of 6 workstation computers (Dist Supervisor, Billing Specialist, &amp; 4 CSR's)</t>
  </si>
  <si>
    <t>47% of Dell Web Server</t>
  </si>
  <si>
    <t>70% of Tipping Rain Bucket Gauge</t>
  </si>
  <si>
    <t>47% of New CSR Chairs</t>
  </si>
  <si>
    <t>CCTV Van</t>
  </si>
  <si>
    <t>2012 Chevy Silverado</t>
  </si>
  <si>
    <t>47% of 2012 Ford F150 VIN 1FTMFEF6CFC22627</t>
  </si>
  <si>
    <t>30% of Software:ArcPad 10, GPS Analyst, &amp; GPS Correct</t>
  </si>
  <si>
    <t>Receiver and Module for Oxidation Ditch 1&amp;2</t>
  </si>
  <si>
    <t>Vertical SBX Phone System</t>
  </si>
  <si>
    <t>Land (GL Account:  4.00.31000)</t>
  </si>
  <si>
    <t>Sewer Plant (GL Account: 4.00.35201)</t>
  </si>
  <si>
    <t xml:space="preserve"> Accumulated Depreciation</t>
  </si>
  <si>
    <t>Sewer Plant Improvements (GL Account: 4.00.35211)</t>
  </si>
  <si>
    <t>Gravity Collection Sewers (GL Account: 4.00.35202)</t>
  </si>
  <si>
    <t>Other Collection Plant Facilities (GL Account: 4.00.35300)</t>
  </si>
  <si>
    <t>Services to Customers (GL Account: 4.00.35400)</t>
  </si>
  <si>
    <t>Flow Measuring Devices (GL Account: 4.00.35500)</t>
  </si>
  <si>
    <t>Pumping Equipment Diesel (GL Account: 4.00.36302)</t>
  </si>
  <si>
    <t>Pumping Equipment Electric (GL Account: 4.00.36301)</t>
  </si>
  <si>
    <t>Treatment and Disposal Plant Equipment (GL Account:  4.00.37300)</t>
  </si>
  <si>
    <t>Other Treatment and Disposal and Plant Equipment (GL Account: 4.00.37600)</t>
  </si>
  <si>
    <t>Office Furniture and Equipment (GL Account: 4.00.39100)</t>
  </si>
  <si>
    <t>Transportatiom Equipment (GL Account:  4.00.39200)</t>
  </si>
  <si>
    <t>Lab Equipment (GL Account: 4.00.39301)</t>
  </si>
  <si>
    <t>Power Operated Equipment (GL Account:  4.00.39302)</t>
  </si>
  <si>
    <t xml:space="preserve">Adjustment for Fort Knox </t>
  </si>
  <si>
    <t>Historical Customer and Flow Data</t>
  </si>
  <si>
    <t>2012 Test Yr After Adjustment</t>
  </si>
  <si>
    <t>test year</t>
  </si>
  <si>
    <t>Billing Analysis - Proposed Tariff Structure (Board Approved Structure)</t>
  </si>
  <si>
    <t xml:space="preserve">Revenues from Billing Analysis </t>
  </si>
  <si>
    <t>Billing Analysis - Comparison (Board Approved Structure)</t>
  </si>
  <si>
    <t>Test Year Ended 12/31/12</t>
  </si>
  <si>
    <t>Increase in Wages and Benefits for Collection System Employees for 2013</t>
  </si>
  <si>
    <t>Increase in Wages and Benefits for Customer Service Employees for 2013</t>
  </si>
  <si>
    <t>Increase in Wages and Benefits for Administrative Employees for 2013</t>
  </si>
  <si>
    <t>Addition of Expenses from new 2013 customers</t>
  </si>
  <si>
    <t>Addition of contract operating cost increase for 2013</t>
  </si>
  <si>
    <t>Deduction for reduced allocated G&amp;A savings</t>
  </si>
  <si>
    <t>One-time gain/loss on sale from assets</t>
  </si>
  <si>
    <t>Detail Supporting Projected Rates (Calculated Base Charge Uniform Volume Rate Only)</t>
  </si>
  <si>
    <t>4-year average</t>
  </si>
  <si>
    <t>Less:  Depreciation/Amortization (rate funded capital)</t>
  </si>
  <si>
    <t>Depreciation/Amortization (rate funded capital)</t>
  </si>
  <si>
    <t>Addition for one-time Gain/Loss on Sale</t>
  </si>
  <si>
    <t>(3720 x 27,295)</t>
  </si>
  <si>
    <t>(120,551,700 - 101,537,400)</t>
  </si>
  <si>
    <t>Evaluation Period: 2012</t>
  </si>
  <si>
    <t>Total Accounts 12/31/2012</t>
  </si>
  <si>
    <t>Other Adjustments</t>
  </si>
  <si>
    <t>Proposed Rates (Option 2)</t>
  </si>
  <si>
    <t>Pro forma Adjustments</t>
  </si>
  <si>
    <t>Capital Outlays</t>
  </si>
  <si>
    <t>Schedule 1</t>
  </si>
  <si>
    <t>Schedule 3</t>
  </si>
  <si>
    <t>Schedule 4</t>
  </si>
  <si>
    <t>Schedule 5</t>
  </si>
  <si>
    <t>Schedule 6</t>
  </si>
  <si>
    <t>Schedule 7</t>
  </si>
  <si>
    <t>Schedule 8</t>
  </si>
  <si>
    <t>Schedule 9</t>
  </si>
  <si>
    <t>Schedule 10</t>
  </si>
  <si>
    <t>Schedule 11</t>
  </si>
  <si>
    <t>Schedule 13</t>
  </si>
  <si>
    <t>Schedule 14</t>
  </si>
  <si>
    <t>Schedule 15</t>
  </si>
  <si>
    <t>Income Statement</t>
  </si>
  <si>
    <t>Operating Revenue</t>
  </si>
  <si>
    <t>Sewer User Charges</t>
  </si>
  <si>
    <t>Penalties, Service Fees, &amp; Miscellaneous</t>
  </si>
  <si>
    <t xml:space="preserve">Administrative Labor </t>
  </si>
  <si>
    <t>Operating Income Before Depreciation/Amortization</t>
  </si>
  <si>
    <t>Less:  Depreciation/Amortization</t>
  </si>
  <si>
    <t>Interest Expense - Radcliff Utility</t>
  </si>
  <si>
    <t>3-year average debt service (principal and interest)</t>
  </si>
  <si>
    <t>Tap Fees (Cash)</t>
  </si>
  <si>
    <t>Grants</t>
  </si>
  <si>
    <t>Income Before Capital Contributions</t>
  </si>
  <si>
    <t>Operating Income</t>
  </si>
  <si>
    <t>Change in Net Assets</t>
  </si>
  <si>
    <t>Balance Sheet</t>
  </si>
  <si>
    <t>Assets</t>
  </si>
  <si>
    <t>Current Assets</t>
  </si>
  <si>
    <t>Other Current Assets</t>
  </si>
  <si>
    <t>Total Current Assets</t>
  </si>
  <si>
    <t>Other Assets</t>
  </si>
  <si>
    <t>Restricted Reserves</t>
  </si>
  <si>
    <t>Radcliff Acquisition Costs, Net</t>
  </si>
  <si>
    <t>Total Other Assets</t>
  </si>
  <si>
    <t>Property, Plant, and Equipment</t>
  </si>
  <si>
    <t>Less: Accumulated Depreciation</t>
  </si>
  <si>
    <t>Net Property Plant and Equipment</t>
  </si>
  <si>
    <t>Total Assets</t>
  </si>
  <si>
    <t>Liabilities and Net Assets</t>
  </si>
  <si>
    <t>Current Liabilities</t>
  </si>
  <si>
    <t>Current Portion of Long-Term Debt</t>
  </si>
  <si>
    <t>Accounts Payable, Cust. Dep, Accr. Exp.</t>
  </si>
  <si>
    <t>Accrued Interest on Long-Term Debt</t>
  </si>
  <si>
    <t>Total Current Liabilities</t>
  </si>
  <si>
    <t>Long-Term Liabilities</t>
  </si>
  <si>
    <t>Bonds Payable</t>
  </si>
  <si>
    <t>Total Liabilities</t>
  </si>
  <si>
    <t>Invested in Capital Assets, Net of Related Debt</t>
  </si>
  <si>
    <t>Restricted</t>
  </si>
  <si>
    <t>Unrestricted</t>
  </si>
  <si>
    <t>Total Operating Revenues</t>
  </si>
  <si>
    <t>Net Assets</t>
  </si>
  <si>
    <t>Total Net Assets</t>
  </si>
  <si>
    <t>Total Liabilities and Net Assets</t>
  </si>
  <si>
    <t>Cash and Cash Equivalents (1)</t>
  </si>
  <si>
    <t>of these funds will be spent on projects from 2011 through 2014.</t>
  </si>
  <si>
    <t>Decrease in cash will be used to fund capital improvements in 2013.</t>
  </si>
  <si>
    <t>Average annual flows treated at the wastewater treatment plant from 2009 through 2012.</t>
  </si>
  <si>
    <t>Schedule 2a</t>
  </si>
  <si>
    <t>Schedule 2b</t>
  </si>
  <si>
    <t>Schedule 9 Con't.</t>
  </si>
  <si>
    <t>Schedule 10 Con't</t>
  </si>
  <si>
    <t>Schedule 12</t>
  </si>
  <si>
    <t>Schedule 2c</t>
  </si>
  <si>
    <t>Schedule 16a</t>
  </si>
  <si>
    <t>Schedule 16b</t>
  </si>
  <si>
    <t>Schedule 16c</t>
  </si>
  <si>
    <t>Schedule 16d</t>
  </si>
  <si>
    <t>Schedule 16e</t>
  </si>
  <si>
    <t>Schedule 16f</t>
  </si>
  <si>
    <t>Schedule 17</t>
  </si>
  <si>
    <t>Schedule 18</t>
  </si>
  <si>
    <t>Schedule 19</t>
  </si>
  <si>
    <t>Schedule 20</t>
  </si>
  <si>
    <t>Calculated Inflow &amp; Infiltration (4-year average, 2009-2012)</t>
  </si>
  <si>
    <t>Test year period is the calendar year 2012 (January - December).</t>
  </si>
  <si>
    <t>The allocation percentage is calculated based on both square footage of office space and an estimate for the time</t>
  </si>
  <si>
    <t>Debt service payment schedules provided by the HCWD1 staff.</t>
  </si>
  <si>
    <t xml:space="preserve">Proposed Rates </t>
  </si>
  <si>
    <t>Minimum Charge (Includes 2,000 gallons)</t>
  </si>
  <si>
    <t xml:space="preserve">Rate Year Revenue Under Proposed Charge </t>
  </si>
  <si>
    <t>Revenue From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</si>
</sst>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&quot;$&quot;* #,##0.00_);_(&quot;$&quot;* \(#,##0.00\);_(&quot;$&quot;* &quot;-&quot;_);_(@_)"/>
    <numFmt numFmtId="168" formatCode="0_);\(0\)"/>
    <numFmt numFmtId="169" formatCode="_(&quot;$&quot;* #,##0_);_(&quot;$&quot;* \(#,##0\);_(&quot;$&quot;* &quot;-&quot;??_);_(@_)"/>
    <numFmt numFmtId="170" formatCode="_(&quot;$&quot;* #,##0_);_(&quot;$&quot;* \(#,##0\);_(&quot;$&quot;* &quot;-&quot;?_);_(@_)"/>
    <numFmt numFmtId="171" formatCode="_(* #,##0_);_(* \(#,##0\);_(* &quot;-&quot;??_);_(@_)"/>
    <numFmt numFmtId="172" formatCode="_(&quot;$&quot;* #,##0.000_);_(&quot;$&quot;* \(#,##0.000\);_(&quot;$&quot;* &quot;-&quot;??_);_(@_)"/>
    <numFmt numFmtId="173" formatCode="0.000%"/>
    <numFmt numFmtId="174" formatCode="0.0000%"/>
    <numFmt numFmtId="175" formatCode="_(&quot;$&quot;* #,##0.0000_);_(&quot;$&quot;* \(#,##0.0000\);_(&quot;$&quot;* &quot;-&quot;??_);_(@_)"/>
    <numFmt numFmtId="176" formatCode="_(* #,##0.00_);_(* \(#,##0.00\);_(* &quot;-&quot;_);_(@_)"/>
    <numFmt numFmtId="177" formatCode="&quot;$&quot;#,##0.00"/>
    <numFmt numFmtId="178" formatCode="&quot;$&quot;#,##0"/>
    <numFmt numFmtId="179" formatCode="_(&quot;$&quot;* #,##0.00000_);_(&quot;$&quot;* \(#,##0.00000\);_(&quot;$&quot;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doni MT Black"/>
      <family val="1"/>
    </font>
    <font>
      <b/>
      <u/>
      <sz val="22"/>
      <name val="Bodoni MT Black"/>
      <family val="1"/>
    </font>
    <font>
      <sz val="14"/>
      <name val="Bodoni MT Black"/>
      <family val="1"/>
    </font>
    <font>
      <sz val="18"/>
      <name val="Bodoni MT Black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0"/>
      <name val="Arial"/>
      <family val="2"/>
    </font>
    <font>
      <b/>
      <u/>
      <sz val="12"/>
      <color indexed="10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b/>
      <sz val="10"/>
      <name val="Times New Roman"/>
      <family val="1"/>
    </font>
    <font>
      <b/>
      <sz val="36"/>
      <color indexed="48"/>
      <name val="Times New Roman"/>
      <family val="1"/>
    </font>
    <font>
      <sz val="36"/>
      <color indexed="48"/>
      <name val="Times New Roman"/>
      <family val="1"/>
    </font>
    <font>
      <sz val="20"/>
      <color indexed="48"/>
      <name val="Times New Roman"/>
      <family val="1"/>
    </font>
    <font>
      <sz val="8"/>
      <color indexed="81"/>
      <name val="Tahoma"/>
      <family val="2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Times New Roman"/>
      <family val="1"/>
    </font>
    <font>
      <strike/>
      <sz val="10"/>
      <name val="Arial"/>
      <family val="2"/>
    </font>
    <font>
      <strike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sz val="10"/>
      <color rgb="FFC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3FBFB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D73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82F"/>
        <bgColor indexed="64"/>
      </patternFill>
    </fill>
    <fill>
      <patternFill patternType="solid">
        <fgColor rgb="FFD1F6F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354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4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50" fillId="0" borderId="51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52" applyNumberFormat="0" applyAlignment="0" applyProtection="0"/>
    <xf numFmtId="0" fontId="54" fillId="33" borderId="53" applyNumberFormat="0" applyAlignment="0" applyProtection="0"/>
    <xf numFmtId="0" fontId="55" fillId="33" borderId="52" applyNumberFormat="0" applyAlignment="0" applyProtection="0"/>
    <xf numFmtId="0" fontId="56" fillId="0" borderId="54" applyNumberFormat="0" applyFill="0" applyAlignment="0" applyProtection="0"/>
    <xf numFmtId="0" fontId="57" fillId="34" borderId="5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57" applyNumberFormat="0" applyFill="0" applyAlignment="0" applyProtection="0"/>
    <xf numFmtId="0" fontId="6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0" fillId="59" borderId="0" applyNumberFormat="0" applyBorder="0" applyAlignment="0" applyProtection="0"/>
    <xf numFmtId="0" fontId="1" fillId="0" borderId="0"/>
    <xf numFmtId="0" fontId="1" fillId="35" borderId="56" applyNumberFormat="0" applyFont="0" applyAlignment="0" applyProtection="0"/>
  </cellStyleXfs>
  <cellXfs count="617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/>
    <xf numFmtId="0" fontId="5" fillId="2" borderId="9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3" fillId="2" borderId="9" xfId="0" applyFont="1" applyFill="1" applyBorder="1"/>
    <xf numFmtId="0" fontId="3" fillId="2" borderId="10" xfId="0" applyFont="1" applyFill="1" applyBorder="1"/>
    <xf numFmtId="0" fontId="6" fillId="2" borderId="9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3" borderId="0" xfId="0" applyFont="1" applyFill="1" applyAlignment="1">
      <alignment horizontal="centerContinuous"/>
    </xf>
    <xf numFmtId="0" fontId="9" fillId="3" borderId="0" xfId="0" applyFont="1" applyFill="1"/>
    <xf numFmtId="42" fontId="9" fillId="0" borderId="0" xfId="0" applyNumberFormat="1" applyFont="1"/>
    <xf numFmtId="41" fontId="9" fillId="0" borderId="0" xfId="0" applyNumberFormat="1" applyFont="1"/>
    <xf numFmtId="41" fontId="9" fillId="0" borderId="18" xfId="0" applyNumberFormat="1" applyFont="1" applyBorder="1"/>
    <xf numFmtId="42" fontId="8" fillId="0" borderId="0" xfId="0" applyNumberFormat="1" applyFont="1"/>
    <xf numFmtId="42" fontId="9" fillId="0" borderId="19" xfId="0" applyNumberFormat="1" applyFont="1" applyBorder="1"/>
    <xf numFmtId="41" fontId="9" fillId="0" borderId="20" xfId="0" applyNumberFormat="1" applyFont="1" applyBorder="1"/>
    <xf numFmtId="41" fontId="9" fillId="0" borderId="21" xfId="0" applyNumberFormat="1" applyFont="1" applyBorder="1"/>
    <xf numFmtId="0" fontId="10" fillId="0" borderId="0" xfId="0" applyFont="1"/>
    <xf numFmtId="165" fontId="10" fillId="0" borderId="0" xfId="3" applyNumberFormat="1" applyFont="1"/>
    <xf numFmtId="41" fontId="9" fillId="4" borderId="0" xfId="0" applyNumberFormat="1" applyFont="1" applyFill="1"/>
    <xf numFmtId="41" fontId="9" fillId="4" borderId="18" xfId="0" applyNumberFormat="1" applyFont="1" applyFill="1" applyBorder="1"/>
    <xf numFmtId="0" fontId="13" fillId="0" borderId="0" xfId="0" applyFont="1"/>
    <xf numFmtId="42" fontId="9" fillId="4" borderId="0" xfId="0" applyNumberFormat="1" applyFont="1" applyFill="1"/>
    <xf numFmtId="0" fontId="8" fillId="0" borderId="17" xfId="0" applyFont="1" applyBorder="1" applyAlignment="1">
      <alignment horizontal="center" vertical="center" wrapText="1"/>
    </xf>
    <xf numFmtId="0" fontId="9" fillId="0" borderId="19" xfId="0" applyFont="1" applyBorder="1"/>
    <xf numFmtId="0" fontId="9" fillId="0" borderId="2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7" fontId="9" fillId="4" borderId="0" xfId="0" applyNumberFormat="1" applyFont="1" applyFill="1"/>
    <xf numFmtId="167" fontId="9" fillId="4" borderId="18" xfId="0" applyNumberFormat="1" applyFont="1" applyFill="1" applyBorder="1"/>
    <xf numFmtId="43" fontId="9" fillId="4" borderId="0" xfId="0" applyNumberFormat="1" applyFont="1" applyFill="1"/>
    <xf numFmtId="43" fontId="9" fillId="5" borderId="0" xfId="0" applyNumberFormat="1" applyFont="1" applyFill="1"/>
    <xf numFmtId="43" fontId="9" fillId="4" borderId="22" xfId="0" applyNumberFormat="1" applyFont="1" applyFill="1" applyBorder="1"/>
    <xf numFmtId="43" fontId="9" fillId="4" borderId="18" xfId="0" applyNumberFormat="1" applyFont="1" applyFill="1" applyBorder="1"/>
    <xf numFmtId="41" fontId="9" fillId="5" borderId="20" xfId="0" applyNumberFormat="1" applyFont="1" applyFill="1" applyBorder="1"/>
    <xf numFmtId="43" fontId="9" fillId="6" borderId="0" xfId="0" applyNumberFormat="1" applyFont="1" applyFill="1"/>
    <xf numFmtId="167" fontId="9" fillId="6" borderId="0" xfId="0" applyNumberFormat="1" applyFont="1" applyFill="1"/>
    <xf numFmtId="0" fontId="9" fillId="4" borderId="0" xfId="0" applyFont="1" applyFill="1"/>
    <xf numFmtId="42" fontId="9" fillId="0" borderId="0" xfId="0" applyNumberFormat="1" applyFont="1" applyAlignment="1">
      <alignment horizontal="center"/>
    </xf>
    <xf numFmtId="0" fontId="14" fillId="0" borderId="0" xfId="0" applyFont="1"/>
    <xf numFmtId="165" fontId="9" fillId="0" borderId="0" xfId="3" applyNumberFormat="1" applyFont="1" applyBorder="1" applyAlignment="1">
      <alignment horizontal="center"/>
    </xf>
    <xf numFmtId="41" fontId="9" fillId="5" borderId="0" xfId="0" applyNumberFormat="1" applyFont="1" applyFill="1"/>
    <xf numFmtId="43" fontId="9" fillId="5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1" fillId="7" borderId="0" xfId="0" applyFont="1" applyFill="1" applyAlignment="1">
      <alignment horizontal="centerContinuous"/>
    </xf>
    <xf numFmtId="0" fontId="9" fillId="7" borderId="0" xfId="0" applyFont="1" applyFill="1"/>
    <xf numFmtId="0" fontId="9" fillId="0" borderId="0" xfId="0" applyFont="1" applyAlignment="1">
      <alignment horizontal="left"/>
    </xf>
    <xf numFmtId="42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left"/>
    </xf>
    <xf numFmtId="41" fontId="9" fillId="0" borderId="18" xfId="0" applyNumberFormat="1" applyFont="1" applyBorder="1" applyAlignment="1">
      <alignment horizontal="left"/>
    </xf>
    <xf numFmtId="41" fontId="9" fillId="6" borderId="0" xfId="0" applyNumberFormat="1" applyFont="1" applyFill="1" applyAlignment="1">
      <alignment horizontal="left"/>
    </xf>
    <xf numFmtId="42" fontId="9" fillId="6" borderId="0" xfId="0" applyNumberFormat="1" applyFont="1" applyFill="1" applyAlignment="1">
      <alignment horizontal="left"/>
    </xf>
    <xf numFmtId="42" fontId="8" fillId="0" borderId="23" xfId="0" applyNumberFormat="1" applyFont="1" applyBorder="1" applyAlignment="1">
      <alignment horizontal="left"/>
    </xf>
    <xf numFmtId="41" fontId="11" fillId="8" borderId="0" xfId="0" applyNumberFormat="1" applyFont="1" applyFill="1" applyAlignment="1">
      <alignment horizontal="center"/>
    </xf>
    <xf numFmtId="0" fontId="9" fillId="0" borderId="18" xfId="0" applyFont="1" applyBorder="1"/>
    <xf numFmtId="0" fontId="11" fillId="8" borderId="0" xfId="0" applyFont="1" applyFill="1" applyAlignment="1">
      <alignment horizontal="center"/>
    </xf>
    <xf numFmtId="42" fontId="9" fillId="0" borderId="23" xfId="0" applyNumberFormat="1" applyFont="1" applyBorder="1"/>
    <xf numFmtId="168" fontId="9" fillId="0" borderId="0" xfId="0" applyNumberFormat="1" applyFont="1"/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19" xfId="0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41" fontId="9" fillId="0" borderId="29" xfId="0" applyNumberFormat="1" applyFont="1" applyBorder="1"/>
    <xf numFmtId="41" fontId="9" fillId="0" borderId="30" xfId="0" applyNumberFormat="1" applyFont="1" applyBorder="1"/>
    <xf numFmtId="0" fontId="8" fillId="0" borderId="31" xfId="0" applyFont="1" applyBorder="1" applyAlignment="1">
      <alignment horizontal="centerContinuous"/>
    </xf>
    <xf numFmtId="8" fontId="8" fillId="0" borderId="31" xfId="0" applyNumberFormat="1" applyFont="1" applyBorder="1" applyAlignment="1">
      <alignment horizontal="centerContinuous"/>
    </xf>
    <xf numFmtId="6" fontId="8" fillId="0" borderId="31" xfId="0" applyNumberFormat="1" applyFont="1" applyBorder="1" applyAlignment="1">
      <alignment horizontal="centerContinuous"/>
    </xf>
    <xf numFmtId="42" fontId="8" fillId="0" borderId="23" xfId="0" applyNumberFormat="1" applyFont="1" applyBorder="1"/>
    <xf numFmtId="0" fontId="9" fillId="0" borderId="26" xfId="0" applyFont="1" applyBorder="1"/>
    <xf numFmtId="41" fontId="8" fillId="0" borderId="20" xfId="0" applyNumberFormat="1" applyFont="1" applyBorder="1"/>
    <xf numFmtId="41" fontId="8" fillId="0" borderId="21" xfId="0" applyNumberFormat="1" applyFont="1" applyBorder="1"/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left"/>
    </xf>
    <xf numFmtId="42" fontId="9" fillId="0" borderId="18" xfId="0" applyNumberFormat="1" applyFont="1" applyBorder="1" applyAlignment="1">
      <alignment horizontal="left"/>
    </xf>
    <xf numFmtId="42" fontId="9" fillId="4" borderId="0" xfId="0" applyNumberFormat="1" applyFont="1" applyFill="1" applyAlignment="1">
      <alignment horizontal="left"/>
    </xf>
    <xf numFmtId="41" fontId="9" fillId="4" borderId="0" xfId="0" applyNumberFormat="1" applyFont="1" applyFill="1" applyAlignment="1">
      <alignment horizontal="left"/>
    </xf>
    <xf numFmtId="41" fontId="9" fillId="4" borderId="18" xfId="0" applyNumberFormat="1" applyFont="1" applyFill="1" applyBorder="1" applyAlignment="1">
      <alignment horizontal="left"/>
    </xf>
    <xf numFmtId="42" fontId="9" fillId="4" borderId="18" xfId="0" applyNumberFormat="1" applyFont="1" applyFill="1" applyBorder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4" fontId="9" fillId="0" borderId="0" xfId="0" applyNumberFormat="1" applyFont="1"/>
    <xf numFmtId="42" fontId="8" fillId="0" borderId="15" xfId="0" applyNumberFormat="1" applyFont="1" applyBorder="1"/>
    <xf numFmtId="42" fontId="9" fillId="0" borderId="18" xfId="0" applyNumberFormat="1" applyFont="1" applyBorder="1"/>
    <xf numFmtId="169" fontId="9" fillId="0" borderId="18" xfId="0" applyNumberFormat="1" applyFont="1" applyBorder="1"/>
    <xf numFmtId="44" fontId="9" fillId="0" borderId="18" xfId="0" applyNumberFormat="1" applyFont="1" applyBorder="1"/>
    <xf numFmtId="0" fontId="9" fillId="9" borderId="0" xfId="0" applyFont="1" applyFill="1"/>
    <xf numFmtId="0" fontId="9" fillId="0" borderId="0" xfId="0" applyFont="1" applyAlignment="1">
      <alignment horizontal="center" vertical="center" wrapText="1"/>
    </xf>
    <xf numFmtId="165" fontId="9" fillId="4" borderId="26" xfId="3" applyNumberFormat="1" applyFont="1" applyFill="1" applyBorder="1" applyAlignment="1">
      <alignment horizontal="center"/>
    </xf>
    <xf numFmtId="165" fontId="9" fillId="4" borderId="19" xfId="3" applyNumberFormat="1" applyFont="1" applyFill="1" applyBorder="1" applyAlignment="1">
      <alignment horizontal="center"/>
    </xf>
    <xf numFmtId="165" fontId="9" fillId="4" borderId="31" xfId="3" applyNumberFormat="1" applyFont="1" applyFill="1" applyBorder="1" applyAlignment="1">
      <alignment horizontal="center"/>
    </xf>
    <xf numFmtId="165" fontId="9" fillId="4" borderId="17" xfId="3" applyNumberFormat="1" applyFont="1" applyFill="1" applyBorder="1" applyAlignment="1">
      <alignment horizontal="center"/>
    </xf>
    <xf numFmtId="169" fontId="9" fillId="0" borderId="0" xfId="0" applyNumberFormat="1" applyFont="1"/>
    <xf numFmtId="42" fontId="13" fillId="0" borderId="0" xfId="0" applyNumberFormat="1" applyFont="1"/>
    <xf numFmtId="42" fontId="9" fillId="0" borderId="17" xfId="0" applyNumberFormat="1" applyFont="1" applyBorder="1"/>
    <xf numFmtId="0" fontId="14" fillId="0" borderId="0" xfId="0" applyFont="1" applyAlignment="1">
      <alignment horizontal="left"/>
    </xf>
    <xf numFmtId="0" fontId="9" fillId="0" borderId="17" xfId="0" applyFont="1" applyBorder="1" applyAlignment="1">
      <alignment vertical="center"/>
    </xf>
    <xf numFmtId="169" fontId="8" fillId="0" borderId="0" xfId="0" applyNumberFormat="1" applyFont="1"/>
    <xf numFmtId="0" fontId="11" fillId="0" borderId="0" xfId="0" applyFont="1"/>
    <xf numFmtId="0" fontId="9" fillId="0" borderId="35" xfId="0" applyFont="1" applyBorder="1"/>
    <xf numFmtId="0" fontId="9" fillId="0" borderId="36" xfId="0" applyFont="1" applyBorder="1"/>
    <xf numFmtId="42" fontId="9" fillId="4" borderId="35" xfId="0" applyNumberFormat="1" applyFont="1" applyFill="1" applyBorder="1"/>
    <xf numFmtId="41" fontId="9" fillId="4" borderId="36" xfId="0" applyNumberFormat="1" applyFont="1" applyFill="1" applyBorder="1"/>
    <xf numFmtId="41" fontId="9" fillId="4" borderId="22" xfId="0" applyNumberFormat="1" applyFont="1" applyFill="1" applyBorder="1"/>
    <xf numFmtId="41" fontId="9" fillId="4" borderId="38" xfId="0" applyNumberFormat="1" applyFont="1" applyFill="1" applyBorder="1"/>
    <xf numFmtId="41" fontId="9" fillId="4" borderId="32" xfId="0" applyNumberFormat="1" applyFont="1" applyFill="1" applyBorder="1"/>
    <xf numFmtId="42" fontId="9" fillId="0" borderId="36" xfId="0" applyNumberFormat="1" applyFont="1" applyBorder="1"/>
    <xf numFmtId="42" fontId="9" fillId="0" borderId="39" xfId="0" applyNumberFormat="1" applyFont="1" applyBorder="1"/>
    <xf numFmtId="42" fontId="10" fillId="0" borderId="0" xfId="0" applyNumberFormat="1" applyFont="1"/>
    <xf numFmtId="0" fontId="9" fillId="4" borderId="19" xfId="0" applyFont="1" applyFill="1" applyBorder="1" applyAlignment="1">
      <alignment horizontal="center"/>
    </xf>
    <xf numFmtId="165" fontId="9" fillId="4" borderId="21" xfId="3" applyNumberFormat="1" applyFont="1" applyFill="1" applyBorder="1" applyAlignment="1">
      <alignment horizontal="center"/>
    </xf>
    <xf numFmtId="0" fontId="8" fillId="0" borderId="27" xfId="0" applyFont="1" applyBorder="1"/>
    <xf numFmtId="0" fontId="16" fillId="0" borderId="0" xfId="0" applyFont="1"/>
    <xf numFmtId="42" fontId="9" fillId="3" borderId="40" xfId="0" applyNumberFormat="1" applyFont="1" applyFill="1" applyBorder="1"/>
    <xf numFmtId="170" fontId="9" fillId="0" borderId="0" xfId="0" applyNumberFormat="1" applyFont="1"/>
    <xf numFmtId="0" fontId="9" fillId="9" borderId="0" xfId="0" applyFont="1" applyFill="1" applyAlignment="1">
      <alignment horizontal="center"/>
    </xf>
    <xf numFmtId="0" fontId="9" fillId="0" borderId="2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 wrapText="1"/>
    </xf>
    <xf numFmtId="42" fontId="9" fillId="0" borderId="21" xfId="0" applyNumberFormat="1" applyFont="1" applyBorder="1"/>
    <xf numFmtId="42" fontId="9" fillId="0" borderId="20" xfId="0" applyNumberFormat="1" applyFont="1" applyBorder="1"/>
    <xf numFmtId="0" fontId="9" fillId="0" borderId="19" xfId="0" applyFont="1" applyBorder="1" applyAlignment="1">
      <alignment horizontal="center"/>
    </xf>
    <xf numFmtId="42" fontId="8" fillId="0" borderId="17" xfId="0" applyNumberFormat="1" applyFont="1" applyBorder="1"/>
    <xf numFmtId="0" fontId="10" fillId="0" borderId="0" xfId="0" applyFont="1" applyAlignment="1">
      <alignment horizontal="right"/>
    </xf>
    <xf numFmtId="0" fontId="10" fillId="0" borderId="31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37" fontId="9" fillId="0" borderId="17" xfId="0" applyNumberFormat="1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169" fontId="9" fillId="0" borderId="0" xfId="0" applyNumberFormat="1" applyFont="1" applyAlignment="1">
      <alignment horizontal="center"/>
    </xf>
    <xf numFmtId="3" fontId="9" fillId="0" borderId="0" xfId="0" applyNumberFormat="1" applyFont="1"/>
    <xf numFmtId="4" fontId="9" fillId="0" borderId="0" xfId="0" applyNumberFormat="1" applyFont="1"/>
    <xf numFmtId="9" fontId="9" fillId="0" borderId="0" xfId="3" applyFont="1"/>
    <xf numFmtId="165" fontId="9" fillId="0" borderId="0" xfId="3" applyNumberFormat="1" applyFont="1"/>
    <xf numFmtId="165" fontId="9" fillId="0" borderId="0" xfId="0" applyNumberFormat="1" applyFont="1"/>
    <xf numFmtId="165" fontId="9" fillId="0" borderId="19" xfId="0" applyNumberFormat="1" applyFont="1" applyBorder="1"/>
    <xf numFmtId="165" fontId="9" fillId="0" borderId="21" xfId="0" applyNumberFormat="1" applyFont="1" applyBorder="1"/>
    <xf numFmtId="0" fontId="8" fillId="0" borderId="17" xfId="0" applyFont="1" applyBorder="1" applyAlignment="1">
      <alignment horizontal="left" vertical="center"/>
    </xf>
    <xf numFmtId="0" fontId="9" fillId="0" borderId="17" xfId="0" applyFont="1" applyBorder="1"/>
    <xf numFmtId="42" fontId="9" fillId="0" borderId="17" xfId="3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3" fontId="9" fillId="0" borderId="0" xfId="3" applyNumberFormat="1" applyFont="1"/>
    <xf numFmtId="165" fontId="9" fillId="0" borderId="0" xfId="3" applyNumberFormat="1" applyFont="1" applyFill="1" applyBorder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165" fontId="10" fillId="0" borderId="26" xfId="3" applyNumberFormat="1" applyFont="1" applyBorder="1" applyAlignment="1">
      <alignment horizontal="center"/>
    </xf>
    <xf numFmtId="165" fontId="10" fillId="0" borderId="27" xfId="3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7" fontId="9" fillId="0" borderId="26" xfId="0" applyNumberFormat="1" applyFont="1" applyBorder="1" applyAlignment="1">
      <alignment horizontal="center"/>
    </xf>
    <xf numFmtId="37" fontId="9" fillId="0" borderId="27" xfId="0" applyNumberFormat="1" applyFont="1" applyBorder="1" applyAlignment="1">
      <alignment horizontal="center"/>
    </xf>
    <xf numFmtId="37" fontId="9" fillId="0" borderId="29" xfId="0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30" xfId="0" applyNumberFormat="1" applyFont="1" applyBorder="1" applyAlignment="1">
      <alignment horizontal="center"/>
    </xf>
    <xf numFmtId="37" fontId="9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9" fillId="0" borderId="18" xfId="0" applyNumberFormat="1" applyFont="1" applyBorder="1"/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69" fontId="9" fillId="0" borderId="25" xfId="0" applyNumberFormat="1" applyFont="1" applyBorder="1"/>
    <xf numFmtId="169" fontId="9" fillId="9" borderId="0" xfId="0" applyNumberFormat="1" applyFont="1" applyFill="1"/>
    <xf numFmtId="171" fontId="9" fillId="0" borderId="0" xfId="0" applyNumberFormat="1" applyFont="1"/>
    <xf numFmtId="165" fontId="8" fillId="0" borderId="0" xfId="3" applyNumberFormat="1" applyFont="1" applyBorder="1"/>
    <xf numFmtId="3" fontId="9" fillId="0" borderId="25" xfId="0" applyNumberFormat="1" applyFont="1" applyBorder="1"/>
    <xf numFmtId="44" fontId="9" fillId="0" borderId="27" xfId="0" applyNumberFormat="1" applyFont="1" applyBorder="1"/>
    <xf numFmtId="3" fontId="9" fillId="0" borderId="27" xfId="0" applyNumberFormat="1" applyFont="1" applyBorder="1"/>
    <xf numFmtId="41" fontId="9" fillId="0" borderId="27" xfId="0" applyNumberFormat="1" applyFont="1" applyBorder="1"/>
    <xf numFmtId="3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9" fontId="9" fillId="0" borderId="27" xfId="0" applyNumberFormat="1" applyFont="1" applyBorder="1"/>
    <xf numFmtId="42" fontId="9" fillId="0" borderId="27" xfId="0" applyNumberFormat="1" applyFont="1" applyBorder="1"/>
    <xf numFmtId="3" fontId="9" fillId="0" borderId="27" xfId="0" applyNumberFormat="1" applyFont="1" applyBorder="1" applyAlignment="1">
      <alignment horizontal="center"/>
    </xf>
    <xf numFmtId="167" fontId="9" fillId="0" borderId="0" xfId="0" applyNumberFormat="1" applyFont="1"/>
    <xf numFmtId="167" fontId="9" fillId="0" borderId="27" xfId="0" applyNumberFormat="1" applyFont="1" applyBorder="1"/>
    <xf numFmtId="167" fontId="9" fillId="0" borderId="18" xfId="0" applyNumberFormat="1" applyFont="1" applyBorder="1"/>
    <xf numFmtId="0" fontId="9" fillId="0" borderId="2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9" xfId="0" applyFont="1" applyBorder="1"/>
    <xf numFmtId="165" fontId="9" fillId="9" borderId="0" xfId="3" applyNumberFormat="1" applyFont="1" applyFill="1"/>
    <xf numFmtId="165" fontId="9" fillId="0" borderId="18" xfId="3" applyNumberFormat="1" applyFont="1" applyBorder="1"/>
    <xf numFmtId="172" fontId="9" fillId="0" borderId="25" xfId="0" applyNumberFormat="1" applyFont="1" applyBorder="1"/>
    <xf numFmtId="172" fontId="9" fillId="0" borderId="0" xfId="0" applyNumberFormat="1" applyFont="1"/>
    <xf numFmtId="172" fontId="9" fillId="0" borderId="18" xfId="0" applyNumberFormat="1" applyFont="1" applyBorder="1"/>
    <xf numFmtId="172" fontId="9" fillId="0" borderId="17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3" fontId="9" fillId="0" borderId="21" xfId="0" applyNumberFormat="1" applyFont="1" applyBorder="1"/>
    <xf numFmtId="171" fontId="9" fillId="0" borderId="19" xfId="0" applyNumberFormat="1" applyFont="1" applyBorder="1"/>
    <xf numFmtId="171" fontId="9" fillId="0" borderId="20" xfId="0" applyNumberFormat="1" applyFont="1" applyBorder="1"/>
    <xf numFmtId="171" fontId="9" fillId="0" borderId="21" xfId="0" applyNumberFormat="1" applyFont="1" applyBorder="1"/>
    <xf numFmtId="165" fontId="9" fillId="4" borderId="0" xfId="3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0" fontId="9" fillId="0" borderId="0" xfId="3" applyNumberFormat="1" applyFont="1"/>
    <xf numFmtId="0" fontId="10" fillId="0" borderId="17" xfId="0" applyFont="1" applyBorder="1" applyAlignment="1">
      <alignment horizontal="center" vertical="center"/>
    </xf>
    <xf numFmtId="9" fontId="9" fillId="4" borderId="20" xfId="0" applyNumberFormat="1" applyFont="1" applyFill="1" applyBorder="1" applyAlignment="1">
      <alignment horizontal="right"/>
    </xf>
    <xf numFmtId="169" fontId="9" fillId="0" borderId="29" xfId="0" applyNumberFormat="1" applyFont="1" applyBorder="1"/>
    <xf numFmtId="0" fontId="17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8" fillId="2" borderId="0" xfId="0" applyFont="1" applyFill="1"/>
    <xf numFmtId="0" fontId="20" fillId="2" borderId="0" xfId="2" applyFont="1" applyFill="1" applyAlignment="1" applyProtection="1"/>
    <xf numFmtId="0" fontId="21" fillId="2" borderId="0" xfId="0" applyFont="1" applyFill="1"/>
    <xf numFmtId="0" fontId="9" fillId="10" borderId="0" xfId="0" applyFont="1" applyFill="1"/>
    <xf numFmtId="0" fontId="9" fillId="8" borderId="0" xfId="0" applyFont="1" applyFill="1"/>
    <xf numFmtId="0" fontId="9" fillId="11" borderId="0" xfId="0" applyFont="1" applyFill="1"/>
    <xf numFmtId="0" fontId="9" fillId="12" borderId="0" xfId="0" applyFont="1" applyFill="1"/>
    <xf numFmtId="165" fontId="9" fillId="4" borderId="0" xfId="3" applyNumberFormat="1" applyFont="1" applyFill="1"/>
    <xf numFmtId="168" fontId="9" fillId="9" borderId="0" xfId="0" applyNumberFormat="1" applyFont="1" applyFill="1"/>
    <xf numFmtId="0" fontId="10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Continuous" vertical="center" wrapText="1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/>
    </xf>
    <xf numFmtId="42" fontId="9" fillId="4" borderId="0" xfId="3" applyNumberFormat="1" applyFont="1" applyFill="1" applyAlignment="1">
      <alignment horizontal="center"/>
    </xf>
    <xf numFmtId="42" fontId="9" fillId="0" borderId="0" xfId="3" applyNumberFormat="1" applyFont="1" applyFill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2" fontId="9" fillId="0" borderId="0" xfId="3" applyNumberFormat="1" applyFont="1" applyFill="1"/>
    <xf numFmtId="44" fontId="8" fillId="0" borderId="0" xfId="0" applyNumberFormat="1" applyFont="1"/>
    <xf numFmtId="44" fontId="9" fillId="9" borderId="0" xfId="0" applyNumberFormat="1" applyFont="1" applyFill="1"/>
    <xf numFmtId="42" fontId="9" fillId="9" borderId="0" xfId="0" applyNumberFormat="1" applyFont="1" applyFill="1"/>
    <xf numFmtId="42" fontId="9" fillId="9" borderId="0" xfId="3" applyNumberFormat="1" applyFont="1" applyFill="1" applyAlignment="1">
      <alignment horizontal="center"/>
    </xf>
    <xf numFmtId="165" fontId="9" fillId="4" borderId="17" xfId="3" applyNumberFormat="1" applyFont="1" applyFill="1" applyBorder="1"/>
    <xf numFmtId="167" fontId="8" fillId="0" borderId="0" xfId="0" applyNumberFormat="1" applyFont="1"/>
    <xf numFmtId="167" fontId="9" fillId="9" borderId="0" xfId="0" applyNumberFormat="1" applyFont="1" applyFill="1"/>
    <xf numFmtId="2" fontId="9" fillId="0" borderId="0" xfId="0" applyNumberFormat="1" applyFont="1"/>
    <xf numFmtId="165" fontId="9" fillId="0" borderId="0" xfId="3" applyNumberFormat="1" applyFont="1" applyFill="1"/>
    <xf numFmtId="42" fontId="10" fillId="0" borderId="0" xfId="3" applyNumberFormat="1" applyFont="1" applyFill="1" applyAlignment="1">
      <alignment horizontal="center"/>
    </xf>
    <xf numFmtId="10" fontId="9" fillId="4" borderId="0" xfId="3" applyNumberFormat="1" applyFont="1" applyFill="1"/>
    <xf numFmtId="42" fontId="9" fillId="0" borderId="30" xfId="0" applyNumberFormat="1" applyFont="1" applyBorder="1"/>
    <xf numFmtId="42" fontId="9" fillId="0" borderId="29" xfId="0" applyNumberFormat="1" applyFont="1" applyBorder="1"/>
    <xf numFmtId="3" fontId="9" fillId="0" borderId="0" xfId="3" applyNumberFormat="1" applyFont="1" applyFill="1"/>
    <xf numFmtId="10" fontId="10" fillId="0" borderId="0" xfId="0" applyNumberFormat="1" applyFont="1"/>
    <xf numFmtId="2" fontId="9" fillId="0" borderId="17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Continuous" vertical="center" wrapText="1"/>
    </xf>
    <xf numFmtId="42" fontId="26" fillId="0" borderId="0" xfId="0" applyNumberFormat="1" applyFont="1" applyAlignment="1">
      <alignment horizontal="right" vertical="top"/>
    </xf>
    <xf numFmtId="42" fontId="9" fillId="5" borderId="0" xfId="0" applyNumberFormat="1" applyFont="1" applyFill="1"/>
    <xf numFmtId="165" fontId="9" fillId="0" borderId="20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7" fillId="0" borderId="0" xfId="0" applyFont="1"/>
    <xf numFmtId="44" fontId="8" fillId="0" borderId="40" xfId="0" applyNumberFormat="1" applyFont="1" applyBorder="1"/>
    <xf numFmtId="44" fontId="10" fillId="0" borderId="0" xfId="0" applyNumberFormat="1" applyFont="1"/>
    <xf numFmtId="42" fontId="9" fillId="0" borderId="32" xfId="0" applyNumberFormat="1" applyFont="1" applyBorder="1"/>
    <xf numFmtId="165" fontId="10" fillId="0" borderId="0" xfId="3" applyNumberFormat="1" applyFont="1" applyBorder="1"/>
    <xf numFmtId="10" fontId="9" fillId="4" borderId="17" xfId="3" applyNumberFormat="1" applyFont="1" applyFill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2" fontId="9" fillId="4" borderId="32" xfId="0" applyNumberFormat="1" applyFont="1" applyFill="1" applyBorder="1"/>
    <xf numFmtId="175" fontId="9" fillId="0" borderId="0" xfId="0" applyNumberFormat="1" applyFont="1"/>
    <xf numFmtId="169" fontId="9" fillId="0" borderId="0" xfId="1" applyNumberFormat="1" applyFont="1"/>
    <xf numFmtId="0" fontId="9" fillId="0" borderId="24" xfId="0" applyFont="1" applyBorder="1" applyAlignment="1">
      <alignment horizontal="centerContinuous" vertical="center"/>
    </xf>
    <xf numFmtId="44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37" fontId="9" fillId="0" borderId="37" xfId="0" applyNumberFormat="1" applyFont="1" applyBorder="1" applyAlignment="1">
      <alignment horizontal="center"/>
    </xf>
    <xf numFmtId="37" fontId="9" fillId="0" borderId="22" xfId="0" applyNumberFormat="1" applyFont="1" applyBorder="1" applyAlignment="1">
      <alignment horizontal="center"/>
    </xf>
    <xf numFmtId="37" fontId="9" fillId="0" borderId="32" xfId="0" applyNumberFormat="1" applyFont="1" applyBorder="1" applyAlignment="1">
      <alignment horizontal="center"/>
    </xf>
    <xf numFmtId="0" fontId="9" fillId="14" borderId="0" xfId="0" applyFont="1" applyFill="1"/>
    <xf numFmtId="0" fontId="34" fillId="0" borderId="0" xfId="0" applyFont="1"/>
    <xf numFmtId="42" fontId="8" fillId="0" borderId="40" xfId="0" applyNumberFormat="1" applyFont="1" applyBorder="1"/>
    <xf numFmtId="0" fontId="10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Continuous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9" fillId="0" borderId="18" xfId="0" applyNumberFormat="1" applyFont="1" applyBorder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9" fillId="0" borderId="18" xfId="0" applyNumberFormat="1" applyFont="1" applyBorder="1" applyAlignment="1">
      <alignment horizontal="left" vertical="center"/>
    </xf>
    <xf numFmtId="165" fontId="10" fillId="0" borderId="0" xfId="0" applyNumberFormat="1" applyFont="1"/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67" fontId="9" fillId="0" borderId="20" xfId="0" applyNumberFormat="1" applyFont="1" applyBorder="1" applyAlignment="1">
      <alignment horizontal="left" vertical="center"/>
    </xf>
    <xf numFmtId="176" fontId="9" fillId="0" borderId="20" xfId="0" applyNumberFormat="1" applyFont="1" applyBorder="1" applyAlignment="1">
      <alignment horizontal="left" vertical="center"/>
    </xf>
    <xf numFmtId="176" fontId="9" fillId="0" borderId="21" xfId="0" applyNumberFormat="1" applyFont="1" applyBorder="1" applyAlignment="1">
      <alignment horizontal="left" vertical="center"/>
    </xf>
    <xf numFmtId="44" fontId="9" fillId="0" borderId="20" xfId="0" applyNumberFormat="1" applyFont="1" applyBorder="1" applyAlignment="1">
      <alignment horizontal="left" vertical="center"/>
    </xf>
    <xf numFmtId="43" fontId="9" fillId="0" borderId="20" xfId="0" applyNumberFormat="1" applyFont="1" applyBorder="1" applyAlignment="1">
      <alignment horizontal="left" vertical="center"/>
    </xf>
    <xf numFmtId="43" fontId="9" fillId="0" borderId="21" xfId="0" applyNumberFormat="1" applyFont="1" applyBorder="1" applyAlignment="1">
      <alignment horizontal="left" vertical="center"/>
    </xf>
    <xf numFmtId="0" fontId="9" fillId="0" borderId="20" xfId="0" applyFont="1" applyBorder="1"/>
    <xf numFmtId="44" fontId="9" fillId="0" borderId="20" xfId="0" applyNumberFormat="1" applyFont="1" applyBorder="1"/>
    <xf numFmtId="165" fontId="10" fillId="0" borderId="21" xfId="3" applyNumberFormat="1" applyFont="1" applyBorder="1"/>
    <xf numFmtId="0" fontId="9" fillId="15" borderId="0" xfId="0" applyFont="1" applyFill="1"/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5" fontId="10" fillId="0" borderId="0" xfId="3" applyNumberFormat="1" applyFont="1" applyBorder="1" applyAlignment="1">
      <alignment horizontal="center"/>
    </xf>
    <xf numFmtId="0" fontId="9" fillId="16" borderId="0" xfId="0" applyFont="1" applyFill="1" applyAlignment="1">
      <alignment horizontal="left" vertical="center" wrapText="1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18" xfId="0" applyNumberFormat="1" applyFont="1" applyBorder="1"/>
    <xf numFmtId="44" fontId="9" fillId="13" borderId="0" xfId="0" applyNumberFormat="1" applyFont="1" applyFill="1"/>
    <xf numFmtId="42" fontId="9" fillId="13" borderId="0" xfId="0" applyNumberFormat="1" applyFont="1" applyFill="1"/>
    <xf numFmtId="41" fontId="9" fillId="13" borderId="0" xfId="0" applyNumberFormat="1" applyFont="1" applyFill="1"/>
    <xf numFmtId="41" fontId="9" fillId="13" borderId="18" xfId="0" applyNumberFormat="1" applyFont="1" applyFill="1" applyBorder="1"/>
    <xf numFmtId="165" fontId="9" fillId="13" borderId="0" xfId="3" applyNumberFormat="1" applyFont="1" applyFill="1"/>
    <xf numFmtId="1" fontId="9" fillId="13" borderId="0" xfId="0" applyNumberFormat="1" applyFont="1" applyFill="1" applyAlignment="1">
      <alignment horizontal="center"/>
    </xf>
    <xf numFmtId="166" fontId="9" fillId="13" borderId="0" xfId="0" applyNumberFormat="1" applyFont="1" applyFill="1"/>
    <xf numFmtId="42" fontId="9" fillId="13" borderId="18" xfId="0" applyNumberFormat="1" applyFont="1" applyFill="1" applyBorder="1"/>
    <xf numFmtId="165" fontId="9" fillId="0" borderId="0" xfId="3" applyNumberFormat="1" applyFont="1" applyFill="1" applyAlignment="1">
      <alignment horizontal="center"/>
    </xf>
    <xf numFmtId="0" fontId="9" fillId="17" borderId="0" xfId="0" applyFont="1" applyFill="1"/>
    <xf numFmtId="0" fontId="9" fillId="0" borderId="31" xfId="0" applyFont="1" applyBorder="1" applyAlignment="1">
      <alignment horizontal="center" vertical="center"/>
    </xf>
    <xf numFmtId="41" fontId="10" fillId="0" borderId="0" xfId="0" applyNumberFormat="1" applyFont="1"/>
    <xf numFmtId="41" fontId="10" fillId="0" borderId="18" xfId="0" applyNumberFormat="1" applyFont="1" applyBorder="1"/>
    <xf numFmtId="0" fontId="29" fillId="0" borderId="0" xfId="0" applyFont="1"/>
    <xf numFmtId="165" fontId="29" fillId="0" borderId="0" xfId="3" applyNumberFormat="1" applyFont="1"/>
    <xf numFmtId="43" fontId="9" fillId="0" borderId="18" xfId="0" applyNumberFormat="1" applyFont="1" applyBorder="1"/>
    <xf numFmtId="0" fontId="10" fillId="0" borderId="0" xfId="0" applyFont="1" applyAlignment="1">
      <alignment horizontal="centerContinuous"/>
    </xf>
    <xf numFmtId="169" fontId="8" fillId="0" borderId="40" xfId="0" applyNumberFormat="1" applyFont="1" applyBorder="1"/>
    <xf numFmtId="165" fontId="9" fillId="0" borderId="0" xfId="3" applyNumberFormat="1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18" borderId="0" xfId="0" applyFont="1" applyFill="1"/>
    <xf numFmtId="37" fontId="9" fillId="0" borderId="0" xfId="0" applyNumberFormat="1" applyFont="1"/>
    <xf numFmtId="37" fontId="9" fillId="0" borderId="19" xfId="0" applyNumberFormat="1" applyFont="1" applyBorder="1" applyAlignment="1">
      <alignment horizontal="center"/>
    </xf>
    <xf numFmtId="37" fontId="9" fillId="0" borderId="20" xfId="0" applyNumberFormat="1" applyFont="1" applyBorder="1" applyAlignment="1">
      <alignment horizontal="center"/>
    </xf>
    <xf numFmtId="37" fontId="9" fillId="0" borderId="21" xfId="0" applyNumberFormat="1" applyFont="1" applyBorder="1" applyAlignment="1">
      <alignment horizontal="center"/>
    </xf>
    <xf numFmtId="165" fontId="10" fillId="0" borderId="37" xfId="3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165" fontId="9" fillId="13" borderId="0" xfId="3" applyNumberFormat="1" applyFont="1" applyFill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73" fontId="9" fillId="0" borderId="0" xfId="0" applyNumberFormat="1" applyFont="1" applyAlignment="1">
      <alignment horizontal="center"/>
    </xf>
    <xf numFmtId="165" fontId="9" fillId="0" borderId="26" xfId="3" applyNumberFormat="1" applyFont="1" applyFill="1" applyBorder="1" applyAlignment="1">
      <alignment horizontal="center"/>
    </xf>
    <xf numFmtId="165" fontId="9" fillId="0" borderId="31" xfId="3" applyNumberFormat="1" applyFont="1" applyFill="1" applyBorder="1" applyAlignment="1">
      <alignment horizontal="center"/>
    </xf>
    <xf numFmtId="165" fontId="9" fillId="0" borderId="17" xfId="3" applyNumberFormat="1" applyFont="1" applyFill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7" fillId="19" borderId="0" xfId="0" applyFont="1" applyFill="1"/>
    <xf numFmtId="0" fontId="36" fillId="19" borderId="0" xfId="0" applyFont="1" applyFill="1"/>
    <xf numFmtId="0" fontId="38" fillId="0" borderId="0" xfId="0" applyFont="1"/>
    <xf numFmtId="10" fontId="36" fillId="0" borderId="0" xfId="3" applyNumberFormat="1" applyFont="1" applyAlignment="1">
      <alignment horizontal="center"/>
    </xf>
    <xf numFmtId="10" fontId="36" fillId="0" borderId="0" xfId="3" applyNumberFormat="1" applyFont="1"/>
    <xf numFmtId="42" fontId="36" fillId="0" borderId="0" xfId="0" applyNumberFormat="1" applyFont="1"/>
    <xf numFmtId="1" fontId="36" fillId="0" borderId="0" xfId="0" applyNumberFormat="1" applyFont="1" applyAlignment="1">
      <alignment horizontal="center"/>
    </xf>
    <xf numFmtId="41" fontId="36" fillId="0" borderId="0" xfId="0" applyNumberFormat="1" applyFont="1"/>
    <xf numFmtId="0" fontId="36" fillId="0" borderId="17" xfId="0" applyFont="1" applyBorder="1" applyAlignment="1">
      <alignment horizontal="center"/>
    </xf>
    <xf numFmtId="165" fontId="10" fillId="0" borderId="0" xfId="3" applyNumberFormat="1" applyFont="1" applyAlignment="1">
      <alignment horizontal="center"/>
    </xf>
    <xf numFmtId="0" fontId="9" fillId="19" borderId="0" xfId="0" applyFont="1" applyFill="1"/>
    <xf numFmtId="165" fontId="9" fillId="0" borderId="19" xfId="3" applyNumberFormat="1" applyFont="1" applyFill="1" applyBorder="1"/>
    <xf numFmtId="0" fontId="9" fillId="20" borderId="0" xfId="0" applyFont="1" applyFill="1"/>
    <xf numFmtId="9" fontId="9" fillId="21" borderId="17" xfId="3" applyFont="1" applyFill="1" applyBorder="1" applyAlignment="1">
      <alignment horizontal="center"/>
    </xf>
    <xf numFmtId="169" fontId="10" fillId="0" borderId="0" xfId="0" applyNumberFormat="1" applyFont="1"/>
    <xf numFmtId="41" fontId="9" fillId="22" borderId="0" xfId="0" applyNumberFormat="1" applyFont="1" applyFill="1"/>
    <xf numFmtId="0" fontId="9" fillId="23" borderId="0" xfId="0" applyFont="1" applyFill="1"/>
    <xf numFmtId="169" fontId="9" fillId="23" borderId="0" xfId="0" applyNumberFormat="1" applyFont="1" applyFill="1"/>
    <xf numFmtId="10" fontId="9" fillId="21" borderId="17" xfId="3" applyNumberFormat="1" applyFont="1" applyFill="1" applyBorder="1" applyAlignment="1">
      <alignment horizontal="center"/>
    </xf>
    <xf numFmtId="165" fontId="8" fillId="0" borderId="17" xfId="3" applyNumberFormat="1" applyFont="1" applyBorder="1" applyAlignment="1">
      <alignment horizontal="right"/>
    </xf>
    <xf numFmtId="1" fontId="9" fillId="21" borderId="17" xfId="3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30" fillId="0" borderId="0" xfId="0" applyFont="1"/>
    <xf numFmtId="0" fontId="31" fillId="0" borderId="0" xfId="0" applyFont="1"/>
    <xf numFmtId="169" fontId="0" fillId="0" borderId="0" xfId="1" applyNumberFormat="1" applyFont="1"/>
    <xf numFmtId="169" fontId="0" fillId="0" borderId="0" xfId="0" applyNumberFormat="1"/>
    <xf numFmtId="169" fontId="31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quotePrefix="1" applyFont="1"/>
    <xf numFmtId="42" fontId="0" fillId="0" borderId="0" xfId="0" applyNumberFormat="1"/>
    <xf numFmtId="0" fontId="9" fillId="13" borderId="17" xfId="0" applyFont="1" applyFill="1" applyBorder="1" applyAlignment="1">
      <alignment horizontal="center"/>
    </xf>
    <xf numFmtId="42" fontId="8" fillId="16" borderId="17" xfId="0" applyNumberFormat="1" applyFont="1" applyFill="1" applyBorder="1"/>
    <xf numFmtId="10" fontId="8" fillId="0" borderId="17" xfId="3" applyNumberFormat="1" applyFont="1" applyBorder="1"/>
    <xf numFmtId="0" fontId="9" fillId="16" borderId="17" xfId="0" applyFont="1" applyFill="1" applyBorder="1" applyAlignment="1">
      <alignment horizontal="center" vertical="center"/>
    </xf>
    <xf numFmtId="0" fontId="9" fillId="24" borderId="0" xfId="0" applyFont="1" applyFill="1"/>
    <xf numFmtId="41" fontId="9" fillId="0" borderId="42" xfId="0" applyNumberFormat="1" applyFont="1" applyBorder="1"/>
    <xf numFmtId="41" fontId="9" fillId="0" borderId="43" xfId="0" applyNumberFormat="1" applyFont="1" applyBorder="1"/>
    <xf numFmtId="41" fontId="9" fillId="0" borderId="44" xfId="0" applyNumberFormat="1" applyFont="1" applyBorder="1"/>
    <xf numFmtId="41" fontId="8" fillId="0" borderId="45" xfId="0" applyNumberFormat="1" applyFont="1" applyBorder="1"/>
    <xf numFmtId="0" fontId="8" fillId="0" borderId="18" xfId="0" applyFont="1" applyBorder="1" applyAlignment="1">
      <alignment horizontal="center" vertical="center" wrapText="1"/>
    </xf>
    <xf numFmtId="10" fontId="9" fillId="4" borderId="17" xfId="3" applyNumberFormat="1" applyFont="1" applyFill="1" applyBorder="1"/>
    <xf numFmtId="10" fontId="9" fillId="13" borderId="17" xfId="3" applyNumberFormat="1" applyFont="1" applyFill="1" applyBorder="1" applyAlignment="1">
      <alignment horizontal="center"/>
    </xf>
    <xf numFmtId="0" fontId="9" fillId="16" borderId="0" xfId="0" applyFont="1" applyFill="1"/>
    <xf numFmtId="169" fontId="0" fillId="0" borderId="18" xfId="1" applyNumberFormat="1" applyFont="1" applyBorder="1"/>
    <xf numFmtId="169" fontId="0" fillId="0" borderId="0" xfId="1" applyNumberFormat="1" applyFont="1" applyFill="1"/>
    <xf numFmtId="0" fontId="0" fillId="0" borderId="0" xfId="0" applyAlignment="1">
      <alignment horizontal="center"/>
    </xf>
    <xf numFmtId="174" fontId="9" fillId="0" borderId="0" xfId="3" applyNumberFormat="1" applyFont="1"/>
    <xf numFmtId="0" fontId="9" fillId="16" borderId="0" xfId="0" applyFont="1" applyFill="1" applyAlignment="1">
      <alignment horizontal="left" vertical="center"/>
    </xf>
    <xf numFmtId="44" fontId="9" fillId="16" borderId="0" xfId="0" applyNumberFormat="1" applyFont="1" applyFill="1" applyAlignment="1">
      <alignment horizontal="left" vertical="center"/>
    </xf>
    <xf numFmtId="43" fontId="9" fillId="16" borderId="0" xfId="0" applyNumberFormat="1" applyFont="1" applyFill="1" applyAlignment="1">
      <alignment horizontal="left" vertical="center"/>
    </xf>
    <xf numFmtId="43" fontId="9" fillId="16" borderId="18" xfId="0" applyNumberFormat="1" applyFont="1" applyFill="1" applyBorder="1" applyAlignment="1">
      <alignment horizontal="left" vertical="center"/>
    </xf>
    <xf numFmtId="44" fontId="9" fillId="16" borderId="0" xfId="0" applyNumberFormat="1" applyFont="1" applyFill="1"/>
    <xf numFmtId="0" fontId="10" fillId="0" borderId="24" xfId="0" applyFont="1" applyBorder="1" applyAlignment="1">
      <alignment horizontal="center"/>
    </xf>
    <xf numFmtId="41" fontId="9" fillId="25" borderId="18" xfId="0" applyNumberFormat="1" applyFont="1" applyFill="1" applyBorder="1"/>
    <xf numFmtId="42" fontId="9" fillId="13" borderId="26" xfId="0" applyNumberFormat="1" applyFont="1" applyFill="1" applyBorder="1"/>
    <xf numFmtId="0" fontId="9" fillId="22" borderId="0" xfId="0" applyFont="1" applyFill="1" applyAlignment="1">
      <alignment horizontal="center"/>
    </xf>
    <xf numFmtId="42" fontId="9" fillId="13" borderId="27" xfId="0" applyNumberFormat="1" applyFont="1" applyFill="1" applyBorder="1"/>
    <xf numFmtId="42" fontId="9" fillId="13" borderId="37" xfId="0" applyNumberFormat="1" applyFont="1" applyFill="1" applyBorder="1"/>
    <xf numFmtId="172" fontId="9" fillId="16" borderId="17" xfId="0" applyNumberFormat="1" applyFont="1" applyFill="1" applyBorder="1"/>
    <xf numFmtId="3" fontId="9" fillId="13" borderId="0" xfId="0" applyNumberFormat="1" applyFont="1" applyFill="1"/>
    <xf numFmtId="165" fontId="9" fillId="0" borderId="0" xfId="3" applyNumberFormat="1" applyFont="1" applyAlignment="1">
      <alignment horizontal="center"/>
    </xf>
    <xf numFmtId="0" fontId="17" fillId="0" borderId="0" xfId="0" applyFont="1"/>
    <xf numFmtId="0" fontId="40" fillId="0" borderId="0" xfId="0" applyFont="1" applyAlignment="1">
      <alignment horizontal="center"/>
    </xf>
    <xf numFmtId="171" fontId="17" fillId="0" borderId="0" xfId="4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1" fontId="17" fillId="0" borderId="0" xfId="0" applyNumberFormat="1" applyFont="1"/>
    <xf numFmtId="171" fontId="17" fillId="0" borderId="17" xfId="4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171" fontId="17" fillId="0" borderId="17" xfId="4" applyNumberFormat="1" applyFont="1" applyBorder="1"/>
    <xf numFmtId="1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1" fontId="17" fillId="0" borderId="0" xfId="4" applyNumberFormat="1" applyFont="1" applyAlignment="1">
      <alignment horizontal="center"/>
    </xf>
    <xf numFmtId="42" fontId="9" fillId="24" borderId="0" xfId="0" applyNumberFormat="1" applyFont="1" applyFill="1"/>
    <xf numFmtId="42" fontId="8" fillId="0" borderId="20" xfId="0" applyNumberFormat="1" applyFont="1" applyBorder="1"/>
    <xf numFmtId="42" fontId="9" fillId="16" borderId="0" xfId="0" applyNumberFormat="1" applyFont="1" applyFill="1"/>
    <xf numFmtId="3" fontId="9" fillId="13" borderId="0" xfId="0" applyNumberFormat="1" applyFont="1" applyFill="1" applyAlignment="1">
      <alignment horizontal="center"/>
    </xf>
    <xf numFmtId="41" fontId="17" fillId="0" borderId="0" xfId="0" applyNumberFormat="1" applyFont="1" applyAlignment="1">
      <alignment horizontal="center"/>
    </xf>
    <xf numFmtId="165" fontId="17" fillId="0" borderId="0" xfId="3" applyNumberFormat="1" applyFont="1" applyAlignment="1">
      <alignment horizontal="center"/>
    </xf>
    <xf numFmtId="10" fontId="9" fillId="25" borderId="17" xfId="3" applyNumberFormat="1" applyFont="1" applyFill="1" applyBorder="1"/>
    <xf numFmtId="169" fontId="9" fillId="0" borderId="0" xfId="1" applyNumberFormat="1" applyFont="1" applyFill="1" applyBorder="1"/>
    <xf numFmtId="10" fontId="9" fillId="0" borderId="0" xfId="3" applyNumberFormat="1" applyFont="1" applyFill="1" applyAlignment="1">
      <alignment horizontal="center"/>
    </xf>
    <xf numFmtId="0" fontId="34" fillId="0" borderId="0" xfId="0" applyFont="1" applyAlignment="1">
      <alignment horizontal="centerContinuous"/>
    </xf>
    <xf numFmtId="1" fontId="9" fillId="24" borderId="0" xfId="0" applyNumberFormat="1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169" fontId="9" fillId="24" borderId="0" xfId="0" applyNumberFormat="1" applyFont="1" applyFill="1" applyAlignment="1">
      <alignment horizontal="center"/>
    </xf>
    <xf numFmtId="42" fontId="9" fillId="24" borderId="18" xfId="0" applyNumberFormat="1" applyFont="1" applyFill="1" applyBorder="1"/>
    <xf numFmtId="10" fontId="9" fillId="0" borderId="0" xfId="0" applyNumberFormat="1" applyFont="1"/>
    <xf numFmtId="42" fontId="9" fillId="16" borderId="18" xfId="0" applyNumberFormat="1" applyFont="1" applyFill="1" applyBorder="1"/>
    <xf numFmtId="0" fontId="2" fillId="0" borderId="0" xfId="0" applyFont="1"/>
    <xf numFmtId="0" fontId="2" fillId="0" borderId="0" xfId="0" quotePrefix="1" applyFont="1"/>
    <xf numFmtId="41" fontId="9" fillId="13" borderId="22" xfId="0" applyNumberFormat="1" applyFont="1" applyFill="1" applyBorder="1"/>
    <xf numFmtId="0" fontId="8" fillId="1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0" fillId="0" borderId="18" xfId="1" applyFont="1" applyBorder="1"/>
    <xf numFmtId="44" fontId="0" fillId="0" borderId="0" xfId="0" applyNumberFormat="1"/>
    <xf numFmtId="6" fontId="0" fillId="0" borderId="0" xfId="0" applyNumberFormat="1"/>
    <xf numFmtId="8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41" fillId="0" borderId="0" xfId="0" applyFont="1"/>
    <xf numFmtId="169" fontId="41" fillId="0" borderId="0" xfId="0" applyNumberFormat="1" applyFont="1"/>
    <xf numFmtId="165" fontId="41" fillId="0" borderId="0" xfId="3" applyNumberFormat="1" applyFont="1" applyFill="1"/>
    <xf numFmtId="165" fontId="0" fillId="0" borderId="0" xfId="3" applyNumberFormat="1" applyFont="1" applyFill="1"/>
    <xf numFmtId="169" fontId="41" fillId="0" borderId="0" xfId="1" applyNumberFormat="1" applyFont="1" applyFill="1"/>
    <xf numFmtId="169" fontId="41" fillId="0" borderId="0" xfId="1" quotePrefix="1" applyNumberFormat="1" applyFont="1" applyFill="1"/>
    <xf numFmtId="169" fontId="28" fillId="0" borderId="0" xfId="1" quotePrefix="1" applyNumberFormat="1" applyFont="1" applyFill="1"/>
    <xf numFmtId="166" fontId="0" fillId="0" borderId="0" xfId="0" applyNumberFormat="1"/>
    <xf numFmtId="41" fontId="0" fillId="0" borderId="0" xfId="0" applyNumberFormat="1"/>
    <xf numFmtId="10" fontId="0" fillId="0" borderId="0" xfId="3" applyNumberFormat="1" applyFont="1" applyFill="1"/>
    <xf numFmtId="14" fontId="31" fillId="0" borderId="0" xfId="0" applyNumberFormat="1" applyFont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9" fontId="9" fillId="0" borderId="0" xfId="0" applyNumberFormat="1" applyFont="1"/>
    <xf numFmtId="177" fontId="9" fillId="0" borderId="0" xfId="0" applyNumberFormat="1" applyFont="1"/>
    <xf numFmtId="178" fontId="8" fillId="0" borderId="0" xfId="0" applyNumberFormat="1" applyFont="1"/>
    <xf numFmtId="169" fontId="2" fillId="0" borderId="0" xfId="0" applyNumberFormat="1" applyFont="1"/>
    <xf numFmtId="0" fontId="0" fillId="0" borderId="0" xfId="0" applyAlignment="1">
      <alignment horizontal="right"/>
    </xf>
    <xf numFmtId="169" fontId="0" fillId="0" borderId="0" xfId="4" applyNumberFormat="1" applyFont="1"/>
    <xf numFmtId="169" fontId="0" fillId="0" borderId="0" xfId="0" quotePrefix="1" applyNumberFormat="1"/>
    <xf numFmtId="165" fontId="0" fillId="0" borderId="0" xfId="3" applyNumberFormat="1" applyFont="1"/>
    <xf numFmtId="10" fontId="0" fillId="0" borderId="0" xfId="3" applyNumberFormat="1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9" fontId="2" fillId="0" borderId="0" xfId="0" quotePrefix="1" applyNumberFormat="1" applyFont="1"/>
    <xf numFmtId="0" fontId="9" fillId="0" borderId="0" xfId="0" quotePrefix="1" applyFont="1"/>
    <xf numFmtId="41" fontId="9" fillId="16" borderId="18" xfId="0" applyNumberFormat="1" applyFont="1" applyFill="1" applyBorder="1"/>
    <xf numFmtId="41" fontId="9" fillId="16" borderId="20" xfId="0" applyNumberFormat="1" applyFont="1" applyFill="1" applyBorder="1"/>
    <xf numFmtId="10" fontId="9" fillId="16" borderId="17" xfId="3" applyNumberFormat="1" applyFont="1" applyFill="1" applyBorder="1"/>
    <xf numFmtId="10" fontId="9" fillId="16" borderId="0" xfId="3" applyNumberFormat="1" applyFont="1" applyFill="1"/>
    <xf numFmtId="169" fontId="9" fillId="16" borderId="17" xfId="0" applyNumberFormat="1" applyFont="1" applyFill="1" applyBorder="1"/>
    <xf numFmtId="41" fontId="9" fillId="13" borderId="21" xfId="0" applyNumberFormat="1" applyFont="1" applyFill="1" applyBorder="1"/>
    <xf numFmtId="0" fontId="4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77" fontId="0" fillId="0" borderId="0" xfId="0" applyNumberFormat="1"/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1" fontId="9" fillId="0" borderId="0" xfId="4" applyNumberFormat="1" applyFont="1"/>
    <xf numFmtId="3" fontId="0" fillId="0" borderId="0" xfId="0" applyNumberFormat="1"/>
    <xf numFmtId="42" fontId="9" fillId="0" borderId="40" xfId="0" applyNumberFormat="1" applyFont="1" applyBorder="1"/>
    <xf numFmtId="0" fontId="9" fillId="26" borderId="0" xfId="0" applyFont="1" applyFill="1"/>
    <xf numFmtId="3" fontId="9" fillId="0" borderId="0" xfId="0" applyNumberFormat="1" applyFont="1" applyAlignment="1">
      <alignment horizontal="center" vertical="center"/>
    </xf>
    <xf numFmtId="3" fontId="9" fillId="27" borderId="46" xfId="0" applyNumberFormat="1" applyFont="1" applyFill="1" applyBorder="1" applyAlignment="1">
      <alignment horizontal="center"/>
    </xf>
    <xf numFmtId="3" fontId="9" fillId="27" borderId="36" xfId="0" applyNumberFormat="1" applyFont="1" applyFill="1" applyBorder="1" applyAlignment="1">
      <alignment horizontal="center"/>
    </xf>
    <xf numFmtId="3" fontId="9" fillId="27" borderId="39" xfId="0" applyNumberFormat="1" applyFont="1" applyFill="1" applyBorder="1" applyAlignment="1">
      <alignment horizontal="center"/>
    </xf>
    <xf numFmtId="169" fontId="0" fillId="0" borderId="40" xfId="0" applyNumberFormat="1" applyBorder="1"/>
    <xf numFmtId="173" fontId="0" fillId="0" borderId="0" xfId="3" applyNumberFormat="1" applyFont="1"/>
    <xf numFmtId="173" fontId="0" fillId="0" borderId="0" xfId="0" applyNumberFormat="1"/>
    <xf numFmtId="0" fontId="44" fillId="28" borderId="0" xfId="5"/>
    <xf numFmtId="0" fontId="31" fillId="0" borderId="22" xfId="0" applyFont="1" applyBorder="1" applyAlignment="1">
      <alignment horizontal="center" wrapText="1"/>
    </xf>
    <xf numFmtId="3" fontId="0" fillId="0" borderId="22" xfId="0" applyNumberFormat="1" applyBorder="1"/>
    <xf numFmtId="0" fontId="0" fillId="0" borderId="22" xfId="0" applyBorder="1"/>
    <xf numFmtId="0" fontId="45" fillId="0" borderId="0" xfId="0" applyFont="1"/>
    <xf numFmtId="171" fontId="0" fillId="0" borderId="0" xfId="4" applyNumberFormat="1" applyFont="1"/>
    <xf numFmtId="171" fontId="0" fillId="0" borderId="0" xfId="0" applyNumberFormat="1"/>
    <xf numFmtId="9" fontId="0" fillId="0" borderId="0" xfId="3" applyFont="1"/>
    <xf numFmtId="165" fontId="0" fillId="0" borderId="0" xfId="3" applyNumberFormat="1" applyFont="1" applyAlignment="1">
      <alignment horizontal="center"/>
    </xf>
    <xf numFmtId="44" fontId="46" fillId="0" borderId="0" xfId="1" applyFont="1"/>
    <xf numFmtId="10" fontId="9" fillId="13" borderId="0" xfId="3" applyNumberFormat="1" applyFont="1" applyFill="1"/>
    <xf numFmtId="41" fontId="9" fillId="16" borderId="32" xfId="0" applyNumberFormat="1" applyFont="1" applyFill="1" applyBorder="1"/>
    <xf numFmtId="41" fontId="9" fillId="0" borderId="22" xfId="0" applyNumberFormat="1" applyFont="1" applyBorder="1"/>
    <xf numFmtId="42" fontId="9" fillId="0" borderId="37" xfId="0" applyNumberFormat="1" applyFont="1" applyBorder="1"/>
    <xf numFmtId="0" fontId="8" fillId="0" borderId="47" xfId="0" applyFont="1" applyBorder="1"/>
    <xf numFmtId="0" fontId="8" fillId="0" borderId="44" xfId="0" applyFont="1" applyBorder="1"/>
    <xf numFmtId="42" fontId="8" fillId="0" borderId="44" xfId="0" applyNumberFormat="1" applyFont="1" applyBorder="1"/>
    <xf numFmtId="42" fontId="8" fillId="0" borderId="48" xfId="0" applyNumberFormat="1" applyFont="1" applyBorder="1"/>
    <xf numFmtId="1" fontId="8" fillId="0" borderId="0" xfId="0" applyNumberFormat="1" applyFont="1"/>
    <xf numFmtId="41" fontId="9" fillId="0" borderId="32" xfId="0" applyNumberFormat="1" applyFont="1" applyBorder="1"/>
    <xf numFmtId="9" fontId="9" fillId="0" borderId="20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10" fontId="9" fillId="0" borderId="17" xfId="3" applyNumberFormat="1" applyFont="1" applyFill="1" applyBorder="1" applyAlignment="1">
      <alignment horizontal="center"/>
    </xf>
    <xf numFmtId="167" fontId="8" fillId="0" borderId="23" xfId="0" applyNumberFormat="1" applyFont="1" applyBorder="1"/>
    <xf numFmtId="1" fontId="9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Alignment="1">
      <alignment horizontal="center"/>
    </xf>
    <xf numFmtId="9" fontId="10" fillId="0" borderId="0" xfId="3" applyFont="1" applyFill="1" applyAlignment="1">
      <alignment horizontal="center"/>
    </xf>
    <xf numFmtId="165" fontId="9" fillId="29" borderId="40" xfId="3" applyNumberFormat="1" applyFont="1" applyFill="1" applyBorder="1" applyAlignment="1">
      <alignment horizontal="center"/>
    </xf>
    <xf numFmtId="10" fontId="9" fillId="0" borderId="0" xfId="3" applyNumberFormat="1" applyFont="1" applyFill="1"/>
    <xf numFmtId="0" fontId="8" fillId="0" borderId="18" xfId="0" applyFont="1" applyBorder="1" applyAlignment="1">
      <alignment horizontal="center"/>
    </xf>
    <xf numFmtId="171" fontId="17" fillId="0" borderId="0" xfId="4" applyNumberFormat="1" applyFont="1" applyFill="1" applyAlignment="1">
      <alignment horizontal="center"/>
    </xf>
    <xf numFmtId="43" fontId="17" fillId="0" borderId="0" xfId="0" applyNumberFormat="1" applyFont="1"/>
    <xf numFmtId="10" fontId="10" fillId="0" borderId="0" xfId="3" applyNumberFormat="1" applyFont="1"/>
    <xf numFmtId="0" fontId="8" fillId="16" borderId="0" xfId="0" applyFont="1" applyFill="1" applyAlignment="1">
      <alignment horizontal="right"/>
    </xf>
    <xf numFmtId="0" fontId="9" fillId="13" borderId="0" xfId="0" applyFont="1" applyFill="1" applyAlignment="1">
      <alignment horizontal="center"/>
    </xf>
    <xf numFmtId="41" fontId="9" fillId="13" borderId="36" xfId="0" applyNumberFormat="1" applyFont="1" applyFill="1" applyBorder="1"/>
    <xf numFmtId="42" fontId="9" fillId="16" borderId="40" xfId="0" applyNumberFormat="1" applyFont="1" applyFill="1" applyBorder="1"/>
    <xf numFmtId="179" fontId="9" fillId="0" borderId="25" xfId="0" applyNumberFormat="1" applyFont="1" applyBorder="1"/>
    <xf numFmtId="179" fontId="9" fillId="0" borderId="0" xfId="0" applyNumberFormat="1" applyFont="1"/>
    <xf numFmtId="179" fontId="9" fillId="0" borderId="18" xfId="0" applyNumberFormat="1" applyFont="1" applyBorder="1"/>
    <xf numFmtId="0" fontId="22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9" fillId="0" borderId="31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Font="1" applyBorder="1"/>
    <xf numFmtId="0" fontId="9" fillId="0" borderId="24" xfId="0" applyFont="1" applyBorder="1"/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8" fontId="8" fillId="0" borderId="31" xfId="0" applyNumberFormat="1" applyFont="1" applyBorder="1" applyAlignment="1">
      <alignment horizontal="center"/>
    </xf>
  </cellXfs>
  <cellStyles count="47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2" builtinId="27" customBuiltin="1"/>
    <cellStyle name="Calculation" xfId="15" builtinId="22" customBuiltin="1"/>
    <cellStyle name="Check Cell" xfId="17" builtinId="23" customBuiltin="1"/>
    <cellStyle name="Comma" xfId="4" builtinId="3"/>
    <cellStyle name="Currency" xfId="1" builtinId="4"/>
    <cellStyle name="Explanatory Text" xfId="19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2" builtinId="8"/>
    <cellStyle name="Input" xfId="13" builtinId="20" customBuiltin="1"/>
    <cellStyle name="Linked Cell" xfId="16" builtinId="24" customBuiltin="1"/>
    <cellStyle name="Neutral" xfId="5" builtinId="28" customBuiltin="1"/>
    <cellStyle name="Normal" xfId="0" builtinId="0"/>
    <cellStyle name="Normal 2" xfId="45" xr:uid="{00000000-0005-0000-0000-000028000000}"/>
    <cellStyle name="Note 2" xfId="46" xr:uid="{00000000-0005-0000-0000-000029000000}"/>
    <cellStyle name="Output" xfId="14" builtinId="21" customBuiltin="1"/>
    <cellStyle name="Percent" xfId="3" builtinId="5"/>
    <cellStyle name="Title" xfId="6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CCFFFF"/>
      <color rgb="FF43542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Veolia Annual Fee - 2007 ~ 2012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Base Fee</c:v>
          </c:tx>
          <c:invertIfNegative val="0"/>
          <c:cat>
            <c:numRef>
              <c:f>'Slide Data'!$M$46:$M$51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'Slide Data'!$N$46:$N$51</c:f>
              <c:numCache>
                <c:formatCode>_("$"* #,##0_);_("$"* \(#,##0\);_("$"* "-"??_);_(@_)</c:formatCode>
                <c:ptCount val="6"/>
                <c:pt idx="0">
                  <c:v>1494800</c:v>
                </c:pt>
                <c:pt idx="1">
                  <c:v>1531694</c:v>
                </c:pt>
                <c:pt idx="2">
                  <c:v>1531694</c:v>
                </c:pt>
                <c:pt idx="3">
                  <c:v>1551816.83</c:v>
                </c:pt>
                <c:pt idx="4">
                  <c:v>1601385.0099999998</c:v>
                </c:pt>
                <c:pt idx="5">
                  <c:v>1632634.9199999997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6-4AC8-B86B-4EEB0D0FA577}"/>
            </c:ext>
          </c:extLst>
        </c:ser>
        <c:ser>
          <c:idx val="2"/>
          <c:order val="1"/>
          <c:tx>
            <c:v>Elect</c:v>
          </c:tx>
          <c:invertIfNegative val="0"/>
          <c:cat>
            <c:numRef>
              <c:f>'Slide Data'!$M$46:$M$51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'Slide Data'!$O$46:$O$51</c:f>
              <c:numCache>
                <c:formatCode>_("$"* #,##0_);_("$"* \(#,##0\);_("$"* "-"??_);_(@_)</c:formatCode>
                <c:ptCount val="6"/>
                <c:pt idx="0">
                  <c:v>177600</c:v>
                </c:pt>
                <c:pt idx="1">
                  <c:v>181985</c:v>
                </c:pt>
                <c:pt idx="2">
                  <c:v>270902.76</c:v>
                </c:pt>
                <c:pt idx="3">
                  <c:v>280747.13</c:v>
                </c:pt>
                <c:pt idx="4">
                  <c:v>291613.88</c:v>
                </c:pt>
                <c:pt idx="5">
                  <c:v>308684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6-4AC8-B86B-4EEB0D0FA577}"/>
            </c:ext>
          </c:extLst>
        </c:ser>
        <c:ser>
          <c:idx val="3"/>
          <c:order val="2"/>
          <c:tx>
            <c:v>R&amp;M</c:v>
          </c:tx>
          <c:invertIfNegative val="0"/>
          <c:cat>
            <c:numRef>
              <c:f>'Slide Data'!$M$46:$M$51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'Slide Data'!$P$46:$P$51</c:f>
              <c:numCache>
                <c:formatCode>_("$"* #,##0_);_("$"* \(#,##0\);_("$"* "-"??_);_(@_)</c:formatCode>
                <c:ptCount val="6"/>
                <c:pt idx="0">
                  <c:v>177600</c:v>
                </c:pt>
                <c:pt idx="1">
                  <c:v>181985</c:v>
                </c:pt>
                <c:pt idx="2">
                  <c:v>263036.24</c:v>
                </c:pt>
                <c:pt idx="3">
                  <c:v>230255.05</c:v>
                </c:pt>
                <c:pt idx="4">
                  <c:v>292879.71999999997</c:v>
                </c:pt>
                <c:pt idx="5">
                  <c:v>258575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6-4AC8-B86B-4EEB0D0FA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5014528"/>
        <c:axId val="235015088"/>
      </c:barChart>
      <c:catAx>
        <c:axId val="2350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5015088"/>
        <c:crosses val="autoZero"/>
        <c:auto val="1"/>
        <c:lblAlgn val="ctr"/>
        <c:lblOffset val="100"/>
        <c:noMultiLvlLbl val="0"/>
      </c:catAx>
      <c:valAx>
        <c:axId val="235015088"/>
        <c:scaling>
          <c:orientation val="minMax"/>
          <c:min val="1275000"/>
        </c:scaling>
        <c:delete val="0"/>
        <c:axPos val="l"/>
        <c:majorGridlines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35014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Veolia Annual Fee - 2007 ~ 2012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Base Fee</c:v>
          </c:tx>
          <c:spPr>
            <a:gradFill>
              <a:gsLst>
                <a:gs pos="0">
                  <a:srgbClr val="000000"/>
                </a:gs>
                <a:gs pos="39999">
                  <a:srgbClr val="0A128C"/>
                </a:gs>
                <a:gs pos="70000">
                  <a:srgbClr val="181CC7"/>
                </a:gs>
                <a:gs pos="88000">
                  <a:srgbClr val="7005D4"/>
                </a:gs>
                <a:gs pos="100000">
                  <a:srgbClr val="8C3D91"/>
                </a:gs>
              </a:gsLst>
              <a:lin ang="5400000" scaled="0"/>
            </a:gradFill>
          </c:spPr>
          <c:invertIfNegative val="0"/>
          <c:cat>
            <c:numRef>
              <c:f>'Slide Data'!$M$46:$M$51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'Slide Data'!$Q$46:$Q$51</c:f>
              <c:numCache>
                <c:formatCode>_("$"* #,##0_);_("$"* \(#,##0\);_("$"* "-"??_);_(@_)</c:formatCode>
                <c:ptCount val="6"/>
                <c:pt idx="0">
                  <c:v>1850000</c:v>
                </c:pt>
                <c:pt idx="1">
                  <c:v>1895664</c:v>
                </c:pt>
                <c:pt idx="2">
                  <c:v>2065633</c:v>
                </c:pt>
                <c:pt idx="3">
                  <c:v>2062819.01</c:v>
                </c:pt>
                <c:pt idx="4">
                  <c:v>2185878.61</c:v>
                </c:pt>
                <c:pt idx="5">
                  <c:v>2125598.88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B-48C0-A621-F2DBA381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35017888"/>
        <c:axId val="235104656"/>
      </c:barChart>
      <c:catAx>
        <c:axId val="2350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5104656"/>
        <c:crosses val="autoZero"/>
        <c:auto val="1"/>
        <c:lblAlgn val="ctr"/>
        <c:lblOffset val="100"/>
        <c:noMultiLvlLbl val="0"/>
      </c:catAx>
      <c:valAx>
        <c:axId val="235104656"/>
        <c:scaling>
          <c:orientation val="minMax"/>
          <c:min val="1750000"/>
        </c:scaling>
        <c:delete val="0"/>
        <c:axPos val="l"/>
        <c:majorGridlines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23501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Veolia Fee Components</a:t>
            </a:r>
          </a:p>
        </c:rich>
      </c:tx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7743850921620141"/>
                  <c:y val="-0.2538969585323573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8-4A27-842D-8A24EFDC4D05}"/>
                </c:ext>
              </c:extLst>
            </c:dLbl>
            <c:dLbl>
              <c:idx val="1"/>
              <c:layout>
                <c:manualLayout>
                  <c:x val="0.15357414632099789"/>
                  <c:y val="7.46741439928704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A27-842D-8A24EFDC4D05}"/>
                </c:ext>
              </c:extLst>
            </c:dLbl>
            <c:dLbl>
              <c:idx val="2"/>
              <c:layout>
                <c:manualLayout>
                  <c:x val="9.6627093891705707E-2"/>
                  <c:y val="7.199860886954348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B8-4A27-842D-8A24EFDC4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'Slide Data'!$N$53:$P$53</c:f>
              <c:numCache>
                <c:formatCode>_("$"* #,##0_);_("$"* \(#,##0\);_("$"* "-"??_);_(@_)</c:formatCode>
                <c:ptCount val="3"/>
                <c:pt idx="0">
                  <c:v>9344024.7599999998</c:v>
                </c:pt>
                <c:pt idx="1">
                  <c:v>1511532.77</c:v>
                </c:pt>
                <c:pt idx="2">
                  <c:v>1404331.01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8-4A27-842D-8A24EFDC4D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Billed Flows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movingAvg"/>
            <c:period val="2"/>
            <c:dispRSqr val="0"/>
            <c:dispEq val="0"/>
          </c:trendline>
          <c:xVal>
            <c:numRef>
              <c:f>'Historical Flows'!$A$10:$A$16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xVal>
          <c:yVal>
            <c:numRef>
              <c:f>'Historical Flows'!$B$10:$B$16</c:f>
              <c:numCache>
                <c:formatCode>_(* #,##0_);_(* \(#,##0\);_(* "-"_);_(@_)</c:formatCode>
                <c:ptCount val="7"/>
                <c:pt idx="0">
                  <c:v>437536300</c:v>
                </c:pt>
                <c:pt idx="1">
                  <c:v>468801900</c:v>
                </c:pt>
                <c:pt idx="2">
                  <c:v>483071500</c:v>
                </c:pt>
                <c:pt idx="3">
                  <c:v>472449300</c:v>
                </c:pt>
                <c:pt idx="4">
                  <c:v>466589000</c:v>
                </c:pt>
                <c:pt idx="5">
                  <c:v>493353300</c:v>
                </c:pt>
                <c:pt idx="6">
                  <c:v>473427400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E-4B25-BA12-6FE65299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67904"/>
        <c:axId val="236368464"/>
      </c:scatterChart>
      <c:valAx>
        <c:axId val="2363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368464"/>
        <c:crosses val="autoZero"/>
        <c:crossBetween val="midCat"/>
      </c:valAx>
      <c:valAx>
        <c:axId val="2363684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236367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'2012 Rate Options'!$A$87:$A$145</c:f>
              <c:numCache>
                <c:formatCode>#,##0</c:formatCode>
                <c:ptCount val="59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25000</c:v>
                </c:pt>
                <c:pt idx="17">
                  <c:v>35000</c:v>
                </c:pt>
                <c:pt idx="18">
                  <c:v>45000</c:v>
                </c:pt>
                <c:pt idx="19">
                  <c:v>55000</c:v>
                </c:pt>
                <c:pt idx="20">
                  <c:v>65000</c:v>
                </c:pt>
                <c:pt idx="21">
                  <c:v>75000</c:v>
                </c:pt>
                <c:pt idx="22">
                  <c:v>85000</c:v>
                </c:pt>
                <c:pt idx="23">
                  <c:v>95000</c:v>
                </c:pt>
                <c:pt idx="24">
                  <c:v>105000</c:v>
                </c:pt>
                <c:pt idx="25">
                  <c:v>115000</c:v>
                </c:pt>
                <c:pt idx="26">
                  <c:v>125000</c:v>
                </c:pt>
                <c:pt idx="27">
                  <c:v>135000</c:v>
                </c:pt>
                <c:pt idx="28">
                  <c:v>145000</c:v>
                </c:pt>
                <c:pt idx="29">
                  <c:v>155000</c:v>
                </c:pt>
                <c:pt idx="30">
                  <c:v>165000</c:v>
                </c:pt>
                <c:pt idx="31">
                  <c:v>175000</c:v>
                </c:pt>
                <c:pt idx="32">
                  <c:v>185000</c:v>
                </c:pt>
                <c:pt idx="33">
                  <c:v>195000</c:v>
                </c:pt>
                <c:pt idx="34">
                  <c:v>205000</c:v>
                </c:pt>
                <c:pt idx="35">
                  <c:v>215000</c:v>
                </c:pt>
                <c:pt idx="36">
                  <c:v>225000</c:v>
                </c:pt>
                <c:pt idx="37">
                  <c:v>235000</c:v>
                </c:pt>
                <c:pt idx="38">
                  <c:v>245000</c:v>
                </c:pt>
                <c:pt idx="39">
                  <c:v>255000</c:v>
                </c:pt>
                <c:pt idx="40">
                  <c:v>265000</c:v>
                </c:pt>
                <c:pt idx="41">
                  <c:v>275000</c:v>
                </c:pt>
                <c:pt idx="42">
                  <c:v>285000</c:v>
                </c:pt>
                <c:pt idx="43">
                  <c:v>295000</c:v>
                </c:pt>
                <c:pt idx="44">
                  <c:v>305000</c:v>
                </c:pt>
                <c:pt idx="45">
                  <c:v>315000</c:v>
                </c:pt>
                <c:pt idx="46">
                  <c:v>325000</c:v>
                </c:pt>
                <c:pt idx="47">
                  <c:v>335000</c:v>
                </c:pt>
                <c:pt idx="48">
                  <c:v>345000</c:v>
                </c:pt>
                <c:pt idx="49">
                  <c:v>355000</c:v>
                </c:pt>
                <c:pt idx="50">
                  <c:v>375000</c:v>
                </c:pt>
                <c:pt idx="51">
                  <c:v>385000</c:v>
                </c:pt>
                <c:pt idx="52">
                  <c:v>405000</c:v>
                </c:pt>
                <c:pt idx="53">
                  <c:v>425000</c:v>
                </c:pt>
                <c:pt idx="54">
                  <c:v>465000</c:v>
                </c:pt>
                <c:pt idx="55">
                  <c:v>625000</c:v>
                </c:pt>
                <c:pt idx="56">
                  <c:v>655000</c:v>
                </c:pt>
                <c:pt idx="57">
                  <c:v>715000</c:v>
                </c:pt>
                <c:pt idx="58">
                  <c:v>845000</c:v>
                </c:pt>
              </c:numCache>
            </c:numRef>
          </c:cat>
          <c:val>
            <c:numRef>
              <c:f>'2012 Rate Options'!$C$87:$C$145</c:f>
              <c:numCache>
                <c:formatCode>_(* #,##0_);_(* \(#,##0\);_(* "-"??_);_(@_)</c:formatCode>
                <c:ptCount val="59"/>
                <c:pt idx="0">
                  <c:v>786.32116512199764</c:v>
                </c:pt>
                <c:pt idx="1">
                  <c:v>956.03548326082876</c:v>
                </c:pt>
                <c:pt idx="2">
                  <c:v>1402.928012105164</c:v>
                </c:pt>
                <c:pt idx="3">
                  <c:v>1427.9100907887275</c:v>
                </c:pt>
                <c:pt idx="4">
                  <c:v>1210.7707773784759</c:v>
                </c:pt>
                <c:pt idx="5">
                  <c:v>937.52417249858172</c:v>
                </c:pt>
                <c:pt idx="6">
                  <c:v>621.02990353697771</c:v>
                </c:pt>
                <c:pt idx="7">
                  <c:v>402.49814639682251</c:v>
                </c:pt>
                <c:pt idx="8">
                  <c:v>247.44544164932861</c:v>
                </c:pt>
                <c:pt idx="9">
                  <c:v>160.21293739360701</c:v>
                </c:pt>
                <c:pt idx="10">
                  <c:v>105.74381501796864</c:v>
                </c:pt>
                <c:pt idx="11">
                  <c:v>69.376461131076255</c:v>
                </c:pt>
                <c:pt idx="12">
                  <c:v>46.360185360317779</c:v>
                </c:pt>
                <c:pt idx="13">
                  <c:v>36.203536977491972</c:v>
                </c:pt>
                <c:pt idx="14">
                  <c:v>26.456430868167214</c:v>
                </c:pt>
                <c:pt idx="15">
                  <c:v>23.098184225458681</c:v>
                </c:pt>
                <c:pt idx="16">
                  <c:v>91.000293171931176</c:v>
                </c:pt>
                <c:pt idx="17">
                  <c:v>29.65086060147533</c:v>
                </c:pt>
                <c:pt idx="18">
                  <c:v>20.313296765651604</c:v>
                </c:pt>
                <c:pt idx="19">
                  <c:v>13.105352752033292</c:v>
                </c:pt>
                <c:pt idx="20">
                  <c:v>8.3546623794212245</c:v>
                </c:pt>
                <c:pt idx="21">
                  <c:v>6.225042557215815</c:v>
                </c:pt>
                <c:pt idx="22">
                  <c:v>3.3582466427085316</c:v>
                </c:pt>
                <c:pt idx="23">
                  <c:v>2.7029790051068669</c:v>
                </c:pt>
                <c:pt idx="24">
                  <c:v>2.2115282769056184</c:v>
                </c:pt>
                <c:pt idx="25">
                  <c:v>2.2115282769056184</c:v>
                </c:pt>
                <c:pt idx="26">
                  <c:v>1.8838944581047861</c:v>
                </c:pt>
                <c:pt idx="27">
                  <c:v>1.4743521846037455</c:v>
                </c:pt>
                <c:pt idx="28">
                  <c:v>1.801986003404578</c:v>
                </c:pt>
                <c:pt idx="29">
                  <c:v>1.6381690940041616</c:v>
                </c:pt>
                <c:pt idx="30">
                  <c:v>0.98290145640249704</c:v>
                </c:pt>
                <c:pt idx="31">
                  <c:v>1.0648099111027052</c:v>
                </c:pt>
                <c:pt idx="32">
                  <c:v>0.98290145640249704</c:v>
                </c:pt>
                <c:pt idx="33">
                  <c:v>0.81908454700208078</c:v>
                </c:pt>
                <c:pt idx="34">
                  <c:v>0.40954227350104039</c:v>
                </c:pt>
                <c:pt idx="35">
                  <c:v>0.81908454700208078</c:v>
                </c:pt>
                <c:pt idx="36">
                  <c:v>0.32763381880083237</c:v>
                </c:pt>
                <c:pt idx="37">
                  <c:v>0.40954227350104039</c:v>
                </c:pt>
                <c:pt idx="38">
                  <c:v>0.40954227350104039</c:v>
                </c:pt>
                <c:pt idx="39">
                  <c:v>0.32763381880083237</c:v>
                </c:pt>
                <c:pt idx="40">
                  <c:v>0.16381690940041618</c:v>
                </c:pt>
                <c:pt idx="41">
                  <c:v>0.32763381880083237</c:v>
                </c:pt>
                <c:pt idx="42">
                  <c:v>0.65526763760166473</c:v>
                </c:pt>
                <c:pt idx="43">
                  <c:v>0.40954227350104039</c:v>
                </c:pt>
                <c:pt idx="44">
                  <c:v>0.40954227350104039</c:v>
                </c:pt>
                <c:pt idx="45">
                  <c:v>0.5733591829014566</c:v>
                </c:pt>
                <c:pt idx="46">
                  <c:v>0.24572536410062426</c:v>
                </c:pt>
                <c:pt idx="47">
                  <c:v>0.5733591829014566</c:v>
                </c:pt>
                <c:pt idx="48">
                  <c:v>0.32763381880083237</c:v>
                </c:pt>
                <c:pt idx="49">
                  <c:v>0</c:v>
                </c:pt>
                <c:pt idx="50">
                  <c:v>0.32763381880083237</c:v>
                </c:pt>
                <c:pt idx="51">
                  <c:v>0.16381690940041618</c:v>
                </c:pt>
                <c:pt idx="52">
                  <c:v>0.24572536410062426</c:v>
                </c:pt>
                <c:pt idx="53">
                  <c:v>8.1908454700208091E-2</c:v>
                </c:pt>
                <c:pt idx="54">
                  <c:v>0.40954227350104039</c:v>
                </c:pt>
                <c:pt idx="55">
                  <c:v>1.0648099111027052</c:v>
                </c:pt>
                <c:pt idx="56">
                  <c:v>0.16381690940041618</c:v>
                </c:pt>
                <c:pt idx="57">
                  <c:v>0.65526763760166473</c:v>
                </c:pt>
                <c:pt idx="58">
                  <c:v>1.801986003404578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B-4694-841F-280C0814D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6370704"/>
        <c:axId val="236371264"/>
      </c:barChart>
      <c:catAx>
        <c:axId val="23637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Gallons / Month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36371264"/>
        <c:crosses val="autoZero"/>
        <c:auto val="1"/>
        <c:lblAlgn val="ctr"/>
        <c:lblOffset val="100"/>
        <c:noMultiLvlLbl val="0"/>
      </c:catAx>
      <c:valAx>
        <c:axId val="236371264"/>
        <c:scaling>
          <c:orientation val="minMax"/>
        </c:scaling>
        <c:delete val="0"/>
        <c:axPos val="l"/>
        <c:title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637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'2012 Rate Options'!$B$153:$H$153</c:f>
              <c:strCache>
                <c:ptCount val="7"/>
                <c:pt idx="0">
                  <c:v>Opt A</c:v>
                </c:pt>
                <c:pt idx="1">
                  <c:v>Opt B</c:v>
                </c:pt>
                <c:pt idx="2">
                  <c:v>Opt B2</c:v>
                </c:pt>
                <c:pt idx="3">
                  <c:v>Opt C</c:v>
                </c:pt>
                <c:pt idx="4">
                  <c:v>Opt D</c:v>
                </c:pt>
                <c:pt idx="5">
                  <c:v>Opt E</c:v>
                </c:pt>
                <c:pt idx="6">
                  <c:v>Opt F</c:v>
                </c:pt>
              </c:strCache>
            </c:strRef>
          </c:cat>
          <c:val>
            <c:numRef>
              <c:f>'2012 Rate Options'!$B$214:$H$214</c:f>
              <c:numCache>
                <c:formatCode>0.000%</c:formatCode>
                <c:ptCount val="7"/>
                <c:pt idx="0">
                  <c:v>0.11665939674229682</c:v>
                </c:pt>
                <c:pt idx="1">
                  <c:v>2.7577615626808719E-2</c:v>
                </c:pt>
                <c:pt idx="2">
                  <c:v>3.2651289597430043E-2</c:v>
                </c:pt>
                <c:pt idx="3">
                  <c:v>9.6798826311864566E-2</c:v>
                </c:pt>
                <c:pt idx="4">
                  <c:v>-0.12425387103021326</c:v>
                </c:pt>
                <c:pt idx="5">
                  <c:v>6.6421100765751166E-3</c:v>
                </c:pt>
                <c:pt idx="6">
                  <c:v>0.66904176519555958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496-94F2-1121FEB6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369872"/>
        <c:axId val="240370432"/>
      </c:barChart>
      <c:catAx>
        <c:axId val="24036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40370432"/>
        <c:crosses val="autoZero"/>
        <c:auto val="1"/>
        <c:lblAlgn val="ctr"/>
        <c:lblOffset val="100"/>
        <c:noMultiLvlLbl val="0"/>
      </c:catAx>
      <c:valAx>
        <c:axId val="240370432"/>
        <c:scaling>
          <c:orientation val="minMax"/>
        </c:scaling>
        <c:delete val="0"/>
        <c:axPos val="l"/>
        <c:majorGridlines/>
        <c:numFmt formatCode="0.000%" sourceLinked="1"/>
        <c:majorTickMark val="out"/>
        <c:minorTickMark val="none"/>
        <c:tickLblPos val="nextTo"/>
        <c:crossAx val="24036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11</xdr:row>
      <xdr:rowOff>19050</xdr:rowOff>
    </xdr:from>
    <xdr:to>
      <xdr:col>5</xdr:col>
      <xdr:colOff>111125</xdr:colOff>
      <xdr:row>16</xdr:row>
      <xdr:rowOff>0</xdr:rowOff>
    </xdr:to>
    <xdr:pic>
      <xdr:nvPicPr>
        <xdr:cNvPr id="1855" name="Picture 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00" y="2597150"/>
          <a:ext cx="1609725" cy="996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1117600</xdr:colOff>
      <xdr:row>35</xdr:row>
      <xdr:rowOff>50800</xdr:rowOff>
    </xdr:from>
    <xdr:to>
      <xdr:col>4</xdr:col>
      <xdr:colOff>1000125</xdr:colOff>
      <xdr:row>39</xdr:row>
      <xdr:rowOff>113047</xdr:rowOff>
    </xdr:to>
    <xdr:pic>
      <xdr:nvPicPr>
        <xdr:cNvPr id="4" name="Picture 3" descr="logo-fad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0" y="7632700"/>
          <a:ext cx="1063625" cy="87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8</xdr:row>
      <xdr:rowOff>38100</xdr:rowOff>
    </xdr:from>
    <xdr:to>
      <xdr:col>7</xdr:col>
      <xdr:colOff>361950</xdr:colOff>
      <xdr:row>11</xdr:row>
      <xdr:rowOff>142875</xdr:rowOff>
    </xdr:to>
    <xdr:pic>
      <xdr:nvPicPr>
        <xdr:cNvPr id="30936" name="Picture 1" descr="logo_big-copy">
          <a:extLst>
            <a:ext uri="{FF2B5EF4-FFF2-40B4-BE49-F238E27FC236}">
              <a16:creationId xmlns:a16="http://schemas.microsoft.com/office/drawing/2014/main" id="{00000000-0008-0000-0100-0000D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2038350"/>
          <a:ext cx="10382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215900</xdr:colOff>
      <xdr:row>12</xdr:row>
      <xdr:rowOff>230505</xdr:rowOff>
    </xdr:from>
    <xdr:to>
      <xdr:col>8</xdr:col>
      <xdr:colOff>807246</xdr:colOff>
      <xdr:row>18</xdr:row>
      <xdr:rowOff>126990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848860" y="3035300"/>
          <a:ext cx="2164080" cy="114554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Raftelis Financial Consultants, Inc.</a:t>
          </a:r>
          <a:endParaRPr lang="en-US" sz="1100" b="0" i="0" u="none" strike="noStrike" baseline="0">
            <a:solidFill>
              <a:srgbClr val="003366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1031 S. Caldwell St. Suite 100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Charlotte, NC  28203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Phone: (704) 373-1199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Fax: (704) 373-1113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3366"/>
              </a:solidFill>
              <a:latin typeface="Times New Roman"/>
              <a:cs typeface="Times New Roman"/>
            </a:rPr>
            <a:t>Email:  bkreps@raftelis.com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3366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3366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685800</xdr:colOff>
      <xdr:row>32</xdr:row>
      <xdr:rowOff>190500</xdr:rowOff>
    </xdr:from>
    <xdr:to>
      <xdr:col>8</xdr:col>
      <xdr:colOff>485775</xdr:colOff>
      <xdr:row>37</xdr:row>
      <xdr:rowOff>38100</xdr:rowOff>
    </xdr:to>
    <xdr:pic macro="[0]!Print_Click">
      <xdr:nvPicPr>
        <xdr:cNvPr id="30938" name="Picture 6" descr="MCj03969460000[1]">
          <a:extLst>
            <a:ext uri="{FF2B5EF4-FFF2-40B4-BE49-F238E27FC236}">
              <a16:creationId xmlns:a16="http://schemas.microsoft.com/office/drawing/2014/main" id="{00000000-0008-0000-0100-0000D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7067550"/>
          <a:ext cx="1304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752475</xdr:colOff>
      <xdr:row>55</xdr:row>
      <xdr:rowOff>114300</xdr:rowOff>
    </xdr:from>
    <xdr:to>
      <xdr:col>20</xdr:col>
      <xdr:colOff>590550</xdr:colOff>
      <xdr:row>80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84</xdr:row>
      <xdr:rowOff>0</xdr:rowOff>
    </xdr:from>
    <xdr:to>
      <xdr:col>21</xdr:col>
      <xdr:colOff>28575</xdr:colOff>
      <xdr:row>109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9524</xdr:colOff>
      <xdr:row>111</xdr:row>
      <xdr:rowOff>28574</xdr:rowOff>
    </xdr:from>
    <xdr:to>
      <xdr:col>18</xdr:col>
      <xdr:colOff>304800</xdr:colOff>
      <xdr:row>139</xdr:row>
      <xdr:rowOff>95249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27</xdr:row>
      <xdr:rowOff>95251</xdr:rowOff>
    </xdr:from>
    <xdr:to>
      <xdr:col>7</xdr:col>
      <xdr:colOff>571500</xdr:colOff>
      <xdr:row>46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84</xdr:row>
      <xdr:rowOff>152399</xdr:rowOff>
    </xdr:from>
    <xdr:to>
      <xdr:col>18</xdr:col>
      <xdr:colOff>638175</xdr:colOff>
      <xdr:row>106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600075</xdr:colOff>
      <xdr:row>155</xdr:row>
      <xdr:rowOff>28575</xdr:rowOff>
    </xdr:from>
    <xdr:to>
      <xdr:col>21</xdr:col>
      <xdr:colOff>581025</xdr:colOff>
      <xdr:row>172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</xdr:colOff>
      <xdr:row>34</xdr:row>
      <xdr:rowOff>140335</xdr:rowOff>
    </xdr:from>
    <xdr:to>
      <xdr:col>13</xdr:col>
      <xdr:colOff>1682731</xdr:colOff>
      <xdr:row>40</xdr:row>
      <xdr:rowOff>66675</xdr:rowOff>
    </xdr:to>
    <xdr:sp macro="" textlink="">
      <xdr:nvSpPr>
        <xdr:cNvPr id="2" name="Rectangular Callout 1" descr="77794b42-4243-46f6-801d-5021153d80df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8044815" y="6947535"/>
          <a:ext cx="1918316" cy="1069340"/>
        </a:xfrm>
        <a:prstGeom prst="wedgeRectCallout">
          <a:avLst>
            <a:gd name="adj1" fmla="val -49849"/>
            <a:gd name="adj2" fmla="val 7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Not</a:t>
          </a:r>
          <a:r>
            <a:rPr lang="en-US" sz="1100" baseline="0"/>
            <a:t> a test year adjustment. Provides support for distributing costs for meter reading.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9"/>
  </sheetPr>
  <dimension ref="B1:H44"/>
  <sheetViews>
    <sheetView zoomScale="75" zoomScaleNormal="75" workbookViewId="0">
      <selection activeCell="T21" sqref="T21"/>
    </sheetView>
  </sheetViews>
  <sheetFormatPr defaultColWidth="9.26953125" defaultRowHeight="15.5" x14ac:dyDescent="0.35"/>
  <cols>
    <col min="1" max="1" width="3.453125" style="1" customWidth="1"/>
    <col min="2" max="2" width="2.26953125" style="1" customWidth="1"/>
    <col min="3" max="7" width="17.7265625" style="1" customWidth="1"/>
    <col min="8" max="8" width="2.26953125" style="1" customWidth="1"/>
    <col min="9" max="16384" width="9.26953125" style="1"/>
  </cols>
  <sheetData>
    <row r="1" spans="2:8" ht="16" thickBot="1" x14ac:dyDescent="0.4"/>
    <row r="2" spans="2:8" ht="10.5" customHeight="1" thickTop="1" thickBot="1" x14ac:dyDescent="0.4">
      <c r="B2" s="2"/>
      <c r="C2" s="3"/>
      <c r="D2" s="3"/>
      <c r="E2" s="3"/>
      <c r="F2" s="3"/>
      <c r="G2" s="3"/>
      <c r="H2" s="4"/>
    </row>
    <row r="3" spans="2:8" ht="28" x14ac:dyDescent="0.6">
      <c r="B3" s="5"/>
      <c r="C3" s="6"/>
      <c r="D3" s="7"/>
      <c r="E3" s="7"/>
      <c r="F3" s="7"/>
      <c r="G3" s="8"/>
      <c r="H3" s="9"/>
    </row>
    <row r="4" spans="2:8" ht="18" x14ac:dyDescent="0.4">
      <c r="B4" s="5"/>
      <c r="C4" s="10"/>
      <c r="D4" s="11"/>
      <c r="E4" s="11"/>
      <c r="F4" s="11"/>
      <c r="G4" s="12"/>
      <c r="H4" s="9"/>
    </row>
    <row r="5" spans="2:8" ht="28" x14ac:dyDescent="0.6">
      <c r="B5" s="5"/>
      <c r="C5" s="13" t="s">
        <v>2</v>
      </c>
      <c r="D5" s="11"/>
      <c r="E5" s="11"/>
      <c r="F5" s="11"/>
      <c r="G5" s="12"/>
      <c r="H5" s="9"/>
    </row>
    <row r="6" spans="2:8" ht="18" x14ac:dyDescent="0.4">
      <c r="B6" s="5"/>
      <c r="C6" s="10" t="s">
        <v>3</v>
      </c>
      <c r="D6" s="11"/>
      <c r="E6" s="11"/>
      <c r="F6" s="11"/>
      <c r="G6" s="12"/>
      <c r="H6" s="9"/>
    </row>
    <row r="7" spans="2:8" ht="18" x14ac:dyDescent="0.4">
      <c r="B7" s="5"/>
      <c r="C7" s="10" t="s">
        <v>38</v>
      </c>
      <c r="D7" s="11"/>
      <c r="E7" s="11"/>
      <c r="F7" s="11"/>
      <c r="G7" s="12"/>
      <c r="H7" s="9"/>
    </row>
    <row r="8" spans="2:8" x14ac:dyDescent="0.35">
      <c r="B8" s="5"/>
      <c r="C8" s="14"/>
      <c r="G8" s="15"/>
      <c r="H8" s="9"/>
    </row>
    <row r="9" spans="2:8" x14ac:dyDescent="0.35">
      <c r="B9" s="5"/>
      <c r="C9" s="14"/>
      <c r="G9" s="15"/>
      <c r="H9" s="9"/>
    </row>
    <row r="10" spans="2:8" x14ac:dyDescent="0.35">
      <c r="B10" s="5"/>
      <c r="C10" s="14"/>
      <c r="G10" s="15"/>
      <c r="H10" s="9"/>
    </row>
    <row r="11" spans="2:8" x14ac:dyDescent="0.35">
      <c r="B11" s="5"/>
      <c r="C11" s="14"/>
      <c r="G11" s="15"/>
      <c r="H11" s="9"/>
    </row>
    <row r="12" spans="2:8" x14ac:dyDescent="0.35">
      <c r="B12" s="5"/>
      <c r="C12" s="14"/>
      <c r="G12" s="15"/>
      <c r="H12" s="9"/>
    </row>
    <row r="13" spans="2:8" x14ac:dyDescent="0.35">
      <c r="B13" s="5"/>
      <c r="C13" s="14"/>
      <c r="G13" s="15"/>
      <c r="H13" s="9"/>
    </row>
    <row r="14" spans="2:8" x14ac:dyDescent="0.35">
      <c r="B14" s="5"/>
      <c r="C14" s="14"/>
      <c r="G14" s="15"/>
      <c r="H14" s="9"/>
    </row>
    <row r="15" spans="2:8" x14ac:dyDescent="0.35">
      <c r="B15" s="5"/>
      <c r="C15" s="14"/>
      <c r="G15" s="15"/>
      <c r="H15" s="9"/>
    </row>
    <row r="16" spans="2:8" x14ac:dyDescent="0.35">
      <c r="B16" s="5"/>
      <c r="C16" s="14"/>
      <c r="G16" s="15"/>
      <c r="H16" s="9"/>
    </row>
    <row r="17" spans="2:8" x14ac:dyDescent="0.35">
      <c r="B17" s="5"/>
      <c r="C17" s="14"/>
      <c r="G17" s="15"/>
      <c r="H17" s="9"/>
    </row>
    <row r="18" spans="2:8" x14ac:dyDescent="0.35">
      <c r="B18" s="5"/>
      <c r="C18" s="14"/>
      <c r="G18" s="15"/>
      <c r="H18" s="9"/>
    </row>
    <row r="19" spans="2:8" x14ac:dyDescent="0.35">
      <c r="B19" s="5"/>
      <c r="C19" s="14"/>
      <c r="G19" s="15"/>
      <c r="H19" s="9"/>
    </row>
    <row r="20" spans="2:8" x14ac:dyDescent="0.35">
      <c r="B20" s="5"/>
      <c r="C20" s="14"/>
      <c r="G20" s="15"/>
      <c r="H20" s="9"/>
    </row>
    <row r="21" spans="2:8" x14ac:dyDescent="0.35">
      <c r="B21" s="5"/>
      <c r="C21" s="14"/>
      <c r="G21" s="15"/>
      <c r="H21" s="9"/>
    </row>
    <row r="22" spans="2:8" x14ac:dyDescent="0.35">
      <c r="B22" s="5"/>
      <c r="C22" s="14"/>
      <c r="G22" s="15"/>
      <c r="H22" s="9"/>
    </row>
    <row r="23" spans="2:8" ht="18" x14ac:dyDescent="0.4">
      <c r="B23" s="5"/>
      <c r="C23" s="10" t="s">
        <v>0</v>
      </c>
      <c r="D23" s="11"/>
      <c r="E23" s="11"/>
      <c r="F23" s="11"/>
      <c r="G23" s="12"/>
      <c r="H23" s="9"/>
    </row>
    <row r="24" spans="2:8" ht="23" x14ac:dyDescent="0.5">
      <c r="B24" s="5"/>
      <c r="C24" s="16" t="s">
        <v>1</v>
      </c>
      <c r="D24" s="11"/>
      <c r="E24" s="11"/>
      <c r="F24" s="11"/>
      <c r="G24" s="12"/>
      <c r="H24" s="9"/>
    </row>
    <row r="25" spans="2:8" x14ac:dyDescent="0.35">
      <c r="B25" s="5"/>
      <c r="C25" s="14"/>
      <c r="G25" s="15"/>
      <c r="H25" s="9"/>
    </row>
    <row r="26" spans="2:8" x14ac:dyDescent="0.35">
      <c r="B26" s="5"/>
      <c r="C26" s="14"/>
      <c r="G26" s="15"/>
      <c r="H26" s="9"/>
    </row>
    <row r="27" spans="2:8" x14ac:dyDescent="0.35">
      <c r="B27" s="5"/>
      <c r="C27" s="14"/>
      <c r="G27" s="15"/>
      <c r="H27" s="9"/>
    </row>
    <row r="28" spans="2:8" x14ac:dyDescent="0.35">
      <c r="B28" s="5"/>
      <c r="C28" s="14"/>
      <c r="G28" s="15"/>
      <c r="H28" s="9"/>
    </row>
    <row r="29" spans="2:8" x14ac:dyDescent="0.35">
      <c r="B29" s="5"/>
      <c r="C29" s="14"/>
      <c r="G29" s="15"/>
      <c r="H29" s="9"/>
    </row>
    <row r="30" spans="2:8" x14ac:dyDescent="0.35">
      <c r="B30" s="5"/>
      <c r="C30" s="14"/>
      <c r="G30" s="15"/>
      <c r="H30" s="9"/>
    </row>
    <row r="31" spans="2:8" x14ac:dyDescent="0.35">
      <c r="B31" s="5"/>
      <c r="C31" s="14"/>
      <c r="G31" s="15"/>
      <c r="H31" s="9"/>
    </row>
    <row r="32" spans="2:8" x14ac:dyDescent="0.35">
      <c r="B32" s="5"/>
      <c r="C32" s="14"/>
      <c r="G32" s="15"/>
      <c r="H32" s="9"/>
    </row>
    <row r="33" spans="2:8" x14ac:dyDescent="0.35">
      <c r="B33" s="5"/>
      <c r="C33" s="14"/>
      <c r="G33" s="15"/>
      <c r="H33" s="9"/>
    </row>
    <row r="34" spans="2:8" x14ac:dyDescent="0.35">
      <c r="B34" s="5"/>
      <c r="C34" s="14"/>
      <c r="G34" s="15"/>
      <c r="H34" s="9"/>
    </row>
    <row r="35" spans="2:8" x14ac:dyDescent="0.35">
      <c r="B35" s="5"/>
      <c r="C35" s="14"/>
      <c r="G35" s="15"/>
      <c r="H35" s="9"/>
    </row>
    <row r="36" spans="2:8" x14ac:dyDescent="0.35">
      <c r="B36" s="5"/>
      <c r="C36" s="14"/>
      <c r="G36" s="15"/>
      <c r="H36" s="9"/>
    </row>
    <row r="37" spans="2:8" x14ac:dyDescent="0.35">
      <c r="B37" s="5"/>
      <c r="C37" s="14"/>
      <c r="E37" s="17"/>
      <c r="G37" s="15"/>
      <c r="H37" s="9"/>
    </row>
    <row r="38" spans="2:8" x14ac:dyDescent="0.35">
      <c r="B38" s="5"/>
      <c r="C38" s="14"/>
      <c r="E38" s="18"/>
      <c r="G38" s="15"/>
      <c r="H38" s="9"/>
    </row>
    <row r="39" spans="2:8" x14ac:dyDescent="0.35">
      <c r="B39" s="5"/>
      <c r="C39" s="14"/>
      <c r="G39" s="15"/>
      <c r="H39" s="9"/>
    </row>
    <row r="40" spans="2:8" x14ac:dyDescent="0.35">
      <c r="B40" s="5"/>
      <c r="C40" s="14"/>
      <c r="G40" s="15"/>
      <c r="H40" s="9"/>
    </row>
    <row r="41" spans="2:8" x14ac:dyDescent="0.35">
      <c r="B41" s="5"/>
      <c r="C41" s="14"/>
      <c r="G41" s="15"/>
      <c r="H41" s="9"/>
    </row>
    <row r="42" spans="2:8" ht="16" thickBot="1" x14ac:dyDescent="0.4">
      <c r="B42" s="5"/>
      <c r="C42" s="19"/>
      <c r="D42" s="20"/>
      <c r="E42" s="20"/>
      <c r="F42" s="20"/>
      <c r="G42" s="21"/>
      <c r="H42" s="9"/>
    </row>
    <row r="43" spans="2:8" ht="10.5" customHeight="1" thickBot="1" x14ac:dyDescent="0.4">
      <c r="B43" s="22"/>
      <c r="C43" s="23"/>
      <c r="D43" s="23"/>
      <c r="E43" s="23"/>
      <c r="F43" s="23"/>
      <c r="G43" s="23"/>
      <c r="H43" s="24"/>
    </row>
    <row r="44" spans="2:8" ht="16" thickTop="1" x14ac:dyDescent="0.35"/>
  </sheetData>
  <phoneticPr fontId="7" type="noConversion"/>
  <pageMargins left="0.75" right="0.75" top="1" bottom="1" header="0.5" footer="0.5"/>
  <pageSetup scale="94" orientation="portrait" r:id="rId1"/>
  <headerFooter alignWithMargins="0"/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</sheetPr>
  <dimension ref="A1:S120"/>
  <sheetViews>
    <sheetView topLeftCell="A80" zoomScaleNormal="100" workbookViewId="0">
      <selection activeCell="R111" sqref="R111"/>
    </sheetView>
  </sheetViews>
  <sheetFormatPr defaultColWidth="9.26953125" defaultRowHeight="15.5" x14ac:dyDescent="0.35"/>
  <cols>
    <col min="1" max="1" width="2.26953125" style="26" customWidth="1"/>
    <col min="2" max="4" width="9.26953125" style="26"/>
    <col min="5" max="5" width="27.7265625" style="26" customWidth="1"/>
    <col min="6" max="6" width="13.453125" style="26" customWidth="1"/>
    <col min="7" max="7" width="13.26953125" style="26" customWidth="1"/>
    <col min="8" max="8" width="16" style="26" customWidth="1"/>
    <col min="9" max="11" width="9.26953125" style="26"/>
    <col min="12" max="12" width="3.54296875" style="26" customWidth="1"/>
    <col min="13" max="13" width="9.26953125" style="26"/>
    <col min="14" max="14" width="18.453125" style="26" customWidth="1"/>
    <col min="15" max="15" width="2" style="26" customWidth="1"/>
    <col min="16" max="16" width="16" style="26" customWidth="1"/>
    <col min="17" max="17" width="14" style="26" bestFit="1" customWidth="1"/>
    <col min="18" max="18" width="14.26953125" style="26" customWidth="1"/>
    <col min="19" max="19" width="14" style="26" bestFit="1" customWidth="1"/>
    <col min="20" max="16384" width="9.26953125" style="26"/>
  </cols>
  <sheetData>
    <row r="1" spans="1:10" x14ac:dyDescent="0.35">
      <c r="A1" s="25" t="s">
        <v>4</v>
      </c>
      <c r="B1" s="25"/>
      <c r="C1" s="25"/>
    </row>
    <row r="2" spans="1:10" x14ac:dyDescent="0.35">
      <c r="A2" s="25" t="s">
        <v>109</v>
      </c>
      <c r="B2" s="25"/>
      <c r="C2" s="25"/>
    </row>
    <row r="3" spans="1:10" x14ac:dyDescent="0.35">
      <c r="A3" s="25" t="s">
        <v>1604</v>
      </c>
      <c r="B3" s="25"/>
      <c r="C3" s="25"/>
      <c r="H3" s="50" t="s">
        <v>1596</v>
      </c>
      <c r="J3" s="589"/>
    </row>
    <row r="4" spans="1:10" x14ac:dyDescent="0.35">
      <c r="A4" s="25"/>
      <c r="B4" s="25"/>
      <c r="C4" s="25"/>
    </row>
    <row r="5" spans="1:10" x14ac:dyDescent="0.35">
      <c r="E5" s="27"/>
      <c r="F5" s="46">
        <v>2012</v>
      </c>
      <c r="G5" s="27"/>
      <c r="H5" s="27"/>
    </row>
    <row r="6" spans="1:10" x14ac:dyDescent="0.35">
      <c r="A6" s="81"/>
      <c r="B6" s="81"/>
      <c r="C6" s="81"/>
      <c r="D6" s="81"/>
      <c r="E6" s="104"/>
      <c r="F6" s="30" t="s">
        <v>139</v>
      </c>
      <c r="G6" s="30" t="s">
        <v>36</v>
      </c>
      <c r="H6" s="30" t="s">
        <v>37</v>
      </c>
    </row>
    <row r="8" spans="1:10" x14ac:dyDescent="0.35">
      <c r="A8" s="25" t="s">
        <v>1605</v>
      </c>
    </row>
    <row r="9" spans="1:10" x14ac:dyDescent="0.35">
      <c r="B9" s="26" t="s">
        <v>1606</v>
      </c>
      <c r="F9" s="33">
        <f>Summary!F28</f>
        <v>3371082.18</v>
      </c>
      <c r="G9" s="37">
        <f>Summary!H34</f>
        <v>571464</v>
      </c>
      <c r="H9" s="33">
        <f>F9+G9</f>
        <v>3942546.18</v>
      </c>
    </row>
    <row r="10" spans="1:10" x14ac:dyDescent="0.35">
      <c r="B10" s="26" t="s">
        <v>1607</v>
      </c>
      <c r="F10" s="35">
        <f>'Revenue Offsets'!F9</f>
        <v>184254.91</v>
      </c>
      <c r="G10" s="39">
        <v>0</v>
      </c>
      <c r="H10" s="96">
        <f>F10+G10</f>
        <v>184254.91</v>
      </c>
    </row>
    <row r="11" spans="1:10" x14ac:dyDescent="0.35">
      <c r="A11" s="26" t="s">
        <v>1643</v>
      </c>
      <c r="F11" s="33">
        <f>SUM(F9:F10)</f>
        <v>3555337.0900000003</v>
      </c>
      <c r="G11" s="33">
        <f>SUM(G9:G10)</f>
        <v>571464</v>
      </c>
      <c r="H11" s="33">
        <f>SUM(H9:H10)</f>
        <v>4126801.0900000003</v>
      </c>
    </row>
    <row r="13" spans="1:10" x14ac:dyDescent="0.35">
      <c r="A13" s="26" t="s">
        <v>6</v>
      </c>
    </row>
    <row r="14" spans="1:10" x14ac:dyDescent="0.35">
      <c r="B14" s="26" t="s">
        <v>7</v>
      </c>
      <c r="F14" s="33">
        <f>'Test Year Detail'!F9</f>
        <v>91059.02</v>
      </c>
      <c r="G14" s="37">
        <f>'Test Year Detail'!G9</f>
        <v>3144.8885116708757</v>
      </c>
      <c r="H14" s="287">
        <f>F14+G14</f>
        <v>94203.908511670874</v>
      </c>
    </row>
    <row r="15" spans="1:10" x14ac:dyDescent="0.35">
      <c r="B15" s="26" t="s">
        <v>30</v>
      </c>
      <c r="F15" s="34">
        <f>'Test Year Detail'!F10</f>
        <v>0</v>
      </c>
      <c r="G15" s="38">
        <f>'Test Year Detail'!G10</f>
        <v>0</v>
      </c>
      <c r="H15" s="95">
        <f t="shared" ref="H15:H43" si="0">F15+G15</f>
        <v>0</v>
      </c>
    </row>
    <row r="16" spans="1:10" x14ac:dyDescent="0.35">
      <c r="B16" s="26" t="s">
        <v>8</v>
      </c>
      <c r="F16" s="34">
        <f>'Test Year Detail'!F11</f>
        <v>151356.14000000001</v>
      </c>
      <c r="G16" s="38">
        <f>'Test Year Detail'!G11</f>
        <v>4014.403084761675</v>
      </c>
      <c r="H16" s="95">
        <f t="shared" si="0"/>
        <v>155370.54308476168</v>
      </c>
    </row>
    <row r="17" spans="2:8" x14ac:dyDescent="0.35">
      <c r="B17" s="26" t="s">
        <v>1608</v>
      </c>
      <c r="F17" s="34">
        <f>'Test Year Detail'!F12</f>
        <v>102927.12</v>
      </c>
      <c r="G17" s="38">
        <f>'Test Year Detail'!G12</f>
        <v>12227.30608615364</v>
      </c>
      <c r="H17" s="95">
        <f t="shared" si="0"/>
        <v>115154.42608615363</v>
      </c>
    </row>
    <row r="18" spans="2:8" x14ac:dyDescent="0.35">
      <c r="B18" s="26" t="s">
        <v>1034</v>
      </c>
      <c r="F18" s="34">
        <f>'Test Year Detail'!F13</f>
        <v>0</v>
      </c>
      <c r="G18" s="38">
        <f>'Test Year Detail'!G13</f>
        <v>0</v>
      </c>
      <c r="H18" s="95">
        <f t="shared" si="0"/>
        <v>0</v>
      </c>
    </row>
    <row r="19" spans="2:8" x14ac:dyDescent="0.35">
      <c r="B19" s="26" t="s">
        <v>10</v>
      </c>
      <c r="F19" s="34">
        <f>'Test Year Detail'!F14</f>
        <v>7370.2</v>
      </c>
      <c r="G19" s="38">
        <f>'Test Year Detail'!G14</f>
        <v>0</v>
      </c>
      <c r="H19" s="95">
        <f t="shared" si="0"/>
        <v>7370.2</v>
      </c>
    </row>
    <row r="20" spans="2:8" x14ac:dyDescent="0.35">
      <c r="B20" s="26" t="s">
        <v>11</v>
      </c>
      <c r="F20" s="34">
        <f>'Test Year Detail'!F15</f>
        <v>4558.8999999999996</v>
      </c>
      <c r="G20" s="38">
        <f>'Test Year Detail'!G15</f>
        <v>0</v>
      </c>
      <c r="H20" s="95">
        <f t="shared" si="0"/>
        <v>4558.8999999999996</v>
      </c>
    </row>
    <row r="21" spans="2:8" x14ac:dyDescent="0.35">
      <c r="B21" s="26" t="s">
        <v>12</v>
      </c>
      <c r="F21" s="34">
        <f>'Test Year Detail'!F16</f>
        <v>14596.2</v>
      </c>
      <c r="G21" s="38">
        <f>'Test Year Detail'!G16</f>
        <v>0</v>
      </c>
      <c r="H21" s="95">
        <f t="shared" si="0"/>
        <v>14596.2</v>
      </c>
    </row>
    <row r="22" spans="2:8" x14ac:dyDescent="0.35">
      <c r="B22" s="26" t="s">
        <v>13</v>
      </c>
      <c r="C22" s="40"/>
      <c r="F22" s="34">
        <f>'Test Year Detail'!F17</f>
        <v>1707.8</v>
      </c>
      <c r="G22" s="38">
        <f>'Test Year Detail'!G17</f>
        <v>0</v>
      </c>
      <c r="H22" s="95">
        <f t="shared" si="0"/>
        <v>1707.8</v>
      </c>
    </row>
    <row r="23" spans="2:8" x14ac:dyDescent="0.35">
      <c r="B23" s="26" t="s">
        <v>1467</v>
      </c>
      <c r="F23" s="34">
        <f>'Test Year Detail'!F18</f>
        <v>2700.9</v>
      </c>
      <c r="G23" s="38">
        <f>'Test Year Detail'!G18</f>
        <v>0</v>
      </c>
      <c r="H23" s="95">
        <f t="shared" si="0"/>
        <v>2700.9</v>
      </c>
    </row>
    <row r="24" spans="2:8" x14ac:dyDescent="0.35">
      <c r="B24" s="26" t="s">
        <v>14</v>
      </c>
      <c r="F24" s="34">
        <f>'Test Year Detail'!F19</f>
        <v>1750.77</v>
      </c>
      <c r="G24" s="38">
        <f>'Test Year Detail'!G19</f>
        <v>0</v>
      </c>
      <c r="H24" s="95">
        <f t="shared" si="0"/>
        <v>1750.77</v>
      </c>
    </row>
    <row r="25" spans="2:8" x14ac:dyDescent="0.35">
      <c r="B25" s="26" t="s">
        <v>15</v>
      </c>
      <c r="F25" s="34">
        <f>'Test Year Detail'!F20</f>
        <v>41597.279999999999</v>
      </c>
      <c r="G25" s="38">
        <f>'Test Year Detail'!G20</f>
        <v>0</v>
      </c>
      <c r="H25" s="95">
        <f t="shared" si="0"/>
        <v>41597.279999999999</v>
      </c>
    </row>
    <row r="26" spans="2:8" x14ac:dyDescent="0.35">
      <c r="B26" s="26" t="s">
        <v>16</v>
      </c>
      <c r="F26" s="34">
        <f>'Test Year Detail'!F21</f>
        <v>2968.17</v>
      </c>
      <c r="G26" s="38">
        <f>'Test Year Detail'!G21</f>
        <v>0</v>
      </c>
      <c r="H26" s="95">
        <f t="shared" si="0"/>
        <v>2968.17</v>
      </c>
    </row>
    <row r="27" spans="2:8" x14ac:dyDescent="0.35">
      <c r="B27" s="26" t="s">
        <v>17</v>
      </c>
      <c r="F27" s="34">
        <f>'Test Year Detail'!F22</f>
        <v>811.89</v>
      </c>
      <c r="G27" s="38">
        <f>'Test Year Detail'!G22</f>
        <v>0</v>
      </c>
      <c r="H27" s="95">
        <f t="shared" si="0"/>
        <v>811.89</v>
      </c>
    </row>
    <row r="28" spans="2:8" x14ac:dyDescent="0.35">
      <c r="B28" s="26" t="s">
        <v>1466</v>
      </c>
      <c r="F28" s="34">
        <f>'Test Year Detail'!F23</f>
        <v>2102540.0299999998</v>
      </c>
      <c r="G28" s="38">
        <f>'Test Year Detail'!G23</f>
        <v>79390.870000000112</v>
      </c>
      <c r="H28" s="95">
        <f t="shared" si="0"/>
        <v>2181930.9</v>
      </c>
    </row>
    <row r="29" spans="2:8" x14ac:dyDescent="0.35">
      <c r="B29" s="26" t="s">
        <v>658</v>
      </c>
      <c r="F29" s="34">
        <f>'Test Year Detail'!F24</f>
        <v>94932.81</v>
      </c>
      <c r="G29" s="38">
        <f>'Test Year Detail'!G24</f>
        <v>0</v>
      </c>
      <c r="H29" s="95">
        <f t="shared" si="0"/>
        <v>94932.81</v>
      </c>
    </row>
    <row r="30" spans="2:8" x14ac:dyDescent="0.35">
      <c r="B30" s="26" t="s">
        <v>34</v>
      </c>
      <c r="F30" s="34">
        <f>'Test Year Detail'!F25</f>
        <v>0</v>
      </c>
      <c r="G30" s="38">
        <f>'Test Year Detail'!G25</f>
        <v>0</v>
      </c>
      <c r="H30" s="95">
        <f t="shared" si="0"/>
        <v>0</v>
      </c>
    </row>
    <row r="31" spans="2:8" x14ac:dyDescent="0.35">
      <c r="B31" s="26" t="s">
        <v>19</v>
      </c>
      <c r="F31" s="34">
        <f>'Test Year Detail'!F26</f>
        <v>0</v>
      </c>
      <c r="G31" s="38">
        <f>'Test Year Detail'!G26</f>
        <v>0</v>
      </c>
      <c r="H31" s="95">
        <f t="shared" si="0"/>
        <v>0</v>
      </c>
    </row>
    <row r="32" spans="2:8" x14ac:dyDescent="0.35">
      <c r="B32" s="26" t="s">
        <v>20</v>
      </c>
      <c r="F32" s="34">
        <f>'Test Year Detail'!F27</f>
        <v>7938.15</v>
      </c>
      <c r="G32" s="38">
        <f>'Test Year Detail'!G27</f>
        <v>0</v>
      </c>
      <c r="H32" s="95">
        <f t="shared" si="0"/>
        <v>7938.15</v>
      </c>
    </row>
    <row r="33" spans="1:8" x14ac:dyDescent="0.35">
      <c r="B33" s="26" t="s">
        <v>21</v>
      </c>
      <c r="F33" s="34">
        <f>'Test Year Detail'!F28</f>
        <v>1727.49</v>
      </c>
      <c r="G33" s="38">
        <f>'Test Year Detail'!G28</f>
        <v>0</v>
      </c>
      <c r="H33" s="95">
        <f t="shared" si="0"/>
        <v>1727.49</v>
      </c>
    </row>
    <row r="34" spans="1:8" x14ac:dyDescent="0.35">
      <c r="B34" s="26" t="s">
        <v>105</v>
      </c>
      <c r="F34" s="34">
        <f>'Test Year Detail'!F29</f>
        <v>0</v>
      </c>
      <c r="G34" s="38">
        <f>'Test Year Detail'!G29</f>
        <v>0</v>
      </c>
      <c r="H34" s="95">
        <f t="shared" si="0"/>
        <v>0</v>
      </c>
    </row>
    <row r="35" spans="1:8" x14ac:dyDescent="0.35">
      <c r="B35" s="26" t="s">
        <v>22</v>
      </c>
      <c r="F35" s="34">
        <f>'Test Year Detail'!F30</f>
        <v>29230.95</v>
      </c>
      <c r="G35" s="38">
        <f>'Test Year Detail'!G30</f>
        <v>-3617.0699999999997</v>
      </c>
      <c r="H35" s="95">
        <f t="shared" si="0"/>
        <v>25613.88</v>
      </c>
    </row>
    <row r="36" spans="1:8" x14ac:dyDescent="0.35">
      <c r="B36" s="26" t="s">
        <v>23</v>
      </c>
      <c r="F36" s="34">
        <f>'Test Year Detail'!F31</f>
        <v>1949.19</v>
      </c>
      <c r="G36" s="38">
        <f>'Test Year Detail'!G31</f>
        <v>0</v>
      </c>
      <c r="H36" s="95">
        <f t="shared" si="0"/>
        <v>1949.19</v>
      </c>
    </row>
    <row r="37" spans="1:8" x14ac:dyDescent="0.35">
      <c r="B37" s="26" t="s">
        <v>24</v>
      </c>
      <c r="F37" s="34">
        <f>'Test Year Detail'!F32</f>
        <v>0</v>
      </c>
      <c r="G37" s="38">
        <f>'Test Year Detail'!G32</f>
        <v>0</v>
      </c>
      <c r="H37" s="95">
        <f t="shared" si="0"/>
        <v>0</v>
      </c>
    </row>
    <row r="38" spans="1:8" x14ac:dyDescent="0.35">
      <c r="B38" s="26" t="s">
        <v>25</v>
      </c>
      <c r="F38" s="34">
        <f>'Test Year Detail'!F33</f>
        <v>42.23</v>
      </c>
      <c r="G38" s="38">
        <f>'Test Year Detail'!G33</f>
        <v>0</v>
      </c>
      <c r="H38" s="95">
        <f t="shared" si="0"/>
        <v>42.23</v>
      </c>
    </row>
    <row r="39" spans="1:8" x14ac:dyDescent="0.35">
      <c r="B39" s="26" t="s">
        <v>26</v>
      </c>
      <c r="F39" s="34">
        <f>'Test Year Detail'!F34</f>
        <v>5812.31</v>
      </c>
      <c r="G39" s="38">
        <f>'Test Year Detail'!G34</f>
        <v>0</v>
      </c>
      <c r="H39" s="95">
        <f t="shared" si="0"/>
        <v>5812.31</v>
      </c>
    </row>
    <row r="40" spans="1:8" x14ac:dyDescent="0.35">
      <c r="B40" s="26" t="s">
        <v>27</v>
      </c>
      <c r="F40" s="34">
        <f>'Test Year Detail'!F35</f>
        <v>2250</v>
      </c>
      <c r="G40" s="38">
        <f>'Test Year Detail'!G35</f>
        <v>0</v>
      </c>
      <c r="H40" s="95">
        <f t="shared" si="0"/>
        <v>2250</v>
      </c>
    </row>
    <row r="41" spans="1:8" x14ac:dyDescent="0.35">
      <c r="B41" s="26" t="s">
        <v>28</v>
      </c>
      <c r="F41" s="34">
        <f>'Test Year Detail'!F36</f>
        <v>8132.6200000000008</v>
      </c>
      <c r="G41" s="38">
        <f>'Test Year Detail'!G36</f>
        <v>0</v>
      </c>
      <c r="H41" s="95">
        <f t="shared" si="0"/>
        <v>8132.6200000000008</v>
      </c>
    </row>
    <row r="42" spans="1:8" x14ac:dyDescent="0.35">
      <c r="B42" s="26" t="s">
        <v>29</v>
      </c>
      <c r="F42" s="34">
        <f>'Test Year Detail'!F37</f>
        <v>11400.24</v>
      </c>
      <c r="G42" s="38">
        <f>'Test Year Detail'!G37</f>
        <v>0</v>
      </c>
      <c r="H42" s="95">
        <f t="shared" si="0"/>
        <v>11400.24</v>
      </c>
    </row>
    <row r="43" spans="1:8" x14ac:dyDescent="0.35">
      <c r="B43" s="26" t="s">
        <v>1563</v>
      </c>
      <c r="F43" s="35">
        <f>'Test Year Detail'!F38</f>
        <v>-88328.9</v>
      </c>
      <c r="G43" s="39">
        <f>'Test Year Detail'!G38</f>
        <v>33662.899999999994</v>
      </c>
      <c r="H43" s="96">
        <f t="shared" si="0"/>
        <v>-54666</v>
      </c>
    </row>
    <row r="44" spans="1:8" ht="7.5" customHeight="1" x14ac:dyDescent="0.35"/>
    <row r="45" spans="1:8" x14ac:dyDescent="0.35">
      <c r="A45" s="26" t="s">
        <v>31</v>
      </c>
      <c r="F45" s="33">
        <f>SUM(F14:F44)</f>
        <v>2601031.5100000007</v>
      </c>
      <c r="G45" s="33">
        <f>SUM(G14:G44)</f>
        <v>128823.2976825863</v>
      </c>
      <c r="H45" s="33">
        <f>SUM(H14:H44)</f>
        <v>2729854.8076825864</v>
      </c>
    </row>
    <row r="46" spans="1:8" ht="8.25" customHeight="1" x14ac:dyDescent="0.35"/>
    <row r="47" spans="1:8" x14ac:dyDescent="0.35">
      <c r="A47" s="26" t="s">
        <v>1609</v>
      </c>
      <c r="F47" s="33">
        <f>F11-F45</f>
        <v>954305.57999999961</v>
      </c>
      <c r="G47" s="33">
        <f>G11-G45</f>
        <v>442640.7023174137</v>
      </c>
      <c r="H47" s="33">
        <f t="shared" ref="H47" si="1">H11-H45</f>
        <v>1396946.2823174139</v>
      </c>
    </row>
    <row r="48" spans="1:8" ht="8.25" customHeight="1" x14ac:dyDescent="0.35"/>
    <row r="49" spans="1:8" x14ac:dyDescent="0.35">
      <c r="A49" s="26" t="s">
        <v>1610</v>
      </c>
      <c r="F49" s="34">
        <f>'Test Year Detail'!F44</f>
        <v>981121.38</v>
      </c>
      <c r="G49" s="33">
        <f>'Test Year Detail'!G46</f>
        <v>144533.62147857141</v>
      </c>
      <c r="H49" s="33">
        <f>F49+G49</f>
        <v>1125655.0014785714</v>
      </c>
    </row>
    <row r="50" spans="1:8" ht="6" customHeight="1" x14ac:dyDescent="0.35">
      <c r="F50" s="34"/>
    </row>
    <row r="51" spans="1:8" x14ac:dyDescent="0.35">
      <c r="A51" s="26" t="s">
        <v>1616</v>
      </c>
      <c r="F51" s="33">
        <f>F47-F49</f>
        <v>-26815.800000000396</v>
      </c>
      <c r="G51" s="33">
        <f t="shared" ref="G51:H51" si="2">G47-G49</f>
        <v>298107.08083884232</v>
      </c>
      <c r="H51" s="33">
        <f t="shared" si="2"/>
        <v>271291.2808388425</v>
      </c>
    </row>
    <row r="52" spans="1:8" ht="8.25" customHeight="1" x14ac:dyDescent="0.35"/>
    <row r="53" spans="1:8" x14ac:dyDescent="0.35">
      <c r="A53" s="26" t="s">
        <v>983</v>
      </c>
    </row>
    <row r="54" spans="1:8" x14ac:dyDescent="0.35">
      <c r="B54" s="26" t="s">
        <v>1611</v>
      </c>
      <c r="F54" s="33">
        <f>'Test Year Detail'!F49</f>
        <v>-86790.68</v>
      </c>
      <c r="G54" s="37">
        <v>0</v>
      </c>
      <c r="H54" s="33">
        <f>F54+G54</f>
        <v>-86790.68</v>
      </c>
    </row>
    <row r="55" spans="1:8" hidden="1" x14ac:dyDescent="0.35">
      <c r="B55" s="26" t="s">
        <v>373</v>
      </c>
      <c r="F55" s="34">
        <f>'Test Year Detail'!F50</f>
        <v>0</v>
      </c>
      <c r="G55" s="339"/>
      <c r="H55" s="33">
        <f t="shared" ref="H55:H57" si="3">F55+G55</f>
        <v>0</v>
      </c>
    </row>
    <row r="56" spans="1:8" x14ac:dyDescent="0.35">
      <c r="B56" s="26" t="s">
        <v>148</v>
      </c>
      <c r="F56" s="34">
        <f>'Test Year Detail'!F52</f>
        <v>24123.38</v>
      </c>
      <c r="G56" s="38">
        <v>0</v>
      </c>
      <c r="H56" s="34">
        <f t="shared" si="3"/>
        <v>24123.38</v>
      </c>
    </row>
    <row r="57" spans="1:8" x14ac:dyDescent="0.35">
      <c r="B57" s="26" t="s">
        <v>132</v>
      </c>
      <c r="F57" s="35">
        <f>'Test Year Detail'!F53</f>
        <v>-99902.69</v>
      </c>
      <c r="G57" s="39">
        <f>'Test Year Detail'!G53</f>
        <v>99902.69</v>
      </c>
      <c r="H57" s="96">
        <f t="shared" si="3"/>
        <v>0</v>
      </c>
    </row>
    <row r="58" spans="1:8" ht="8.25" customHeight="1" x14ac:dyDescent="0.35"/>
    <row r="59" spans="1:8" x14ac:dyDescent="0.35">
      <c r="A59" s="26" t="s">
        <v>151</v>
      </c>
      <c r="F59" s="33">
        <f>SUM(F54:F58)</f>
        <v>-162569.99</v>
      </c>
      <c r="G59" s="33">
        <f>SUM(G54:G58)</f>
        <v>99902.69</v>
      </c>
      <c r="H59" s="33">
        <f>SUM(H54:H58)</f>
        <v>-62667.299999999988</v>
      </c>
    </row>
    <row r="60" spans="1:8" ht="8.25" customHeight="1" x14ac:dyDescent="0.35"/>
    <row r="61" spans="1:8" x14ac:dyDescent="0.35">
      <c r="A61" s="25" t="s">
        <v>1615</v>
      </c>
      <c r="B61" s="25"/>
      <c r="C61" s="25"/>
      <c r="D61" s="25"/>
      <c r="E61" s="25"/>
      <c r="F61" s="36">
        <f>F51+F59</f>
        <v>-189385.79000000039</v>
      </c>
      <c r="G61" s="36">
        <f t="shared" ref="G61:H61" si="4">G51+G59</f>
        <v>398009.77083884232</v>
      </c>
      <c r="H61" s="36">
        <f t="shared" si="4"/>
        <v>208623.98083884252</v>
      </c>
    </row>
    <row r="62" spans="1:8" ht="8.25" customHeight="1" x14ac:dyDescent="0.35">
      <c r="F62" s="33"/>
    </row>
    <row r="63" spans="1:8" ht="16.5" customHeight="1" x14ac:dyDescent="0.35">
      <c r="A63" s="26" t="s">
        <v>130</v>
      </c>
      <c r="F63" s="34"/>
    </row>
    <row r="64" spans="1:8" x14ac:dyDescent="0.35">
      <c r="B64" s="26" t="s">
        <v>1614</v>
      </c>
      <c r="F64" s="33">
        <v>640350.87</v>
      </c>
      <c r="G64" s="37">
        <f>CIP!F41+CIP!F42-F64</f>
        <v>725383.21999999986</v>
      </c>
      <c r="H64" s="33">
        <f>F64+G64</f>
        <v>1365734.0899999999</v>
      </c>
    </row>
    <row r="65" spans="1:19" x14ac:dyDescent="0.35">
      <c r="B65" s="26" t="s">
        <v>1613</v>
      </c>
      <c r="F65" s="34">
        <v>3000</v>
      </c>
      <c r="G65" s="38">
        <v>0</v>
      </c>
      <c r="H65" s="34">
        <f t="shared" ref="H65:H66" si="5">F65+G65</f>
        <v>3000</v>
      </c>
    </row>
    <row r="66" spans="1:19" x14ac:dyDescent="0.35">
      <c r="B66" s="26" t="s">
        <v>130</v>
      </c>
      <c r="F66" s="35">
        <v>1873.2</v>
      </c>
      <c r="G66" s="39">
        <v>0</v>
      </c>
      <c r="H66" s="96">
        <f t="shared" si="5"/>
        <v>1873.2</v>
      </c>
    </row>
    <row r="67" spans="1:19" ht="9.75" customHeight="1" x14ac:dyDescent="0.35"/>
    <row r="68" spans="1:19" ht="16" thickBot="1" x14ac:dyDescent="0.4">
      <c r="A68" s="25" t="s">
        <v>1617</v>
      </c>
      <c r="B68" s="25"/>
      <c r="C68" s="25"/>
      <c r="D68" s="25"/>
      <c r="E68" s="25"/>
      <c r="F68" s="118">
        <f>F61+F64+F65+F66</f>
        <v>455838.27999999962</v>
      </c>
      <c r="G68" s="118">
        <f t="shared" ref="G68:H68" si="6">G61+G64+G65+G66</f>
        <v>1123392.9908388422</v>
      </c>
      <c r="H68" s="118">
        <f t="shared" si="6"/>
        <v>1579231.2708388423</v>
      </c>
    </row>
    <row r="69" spans="1:19" ht="16" thickTop="1" x14ac:dyDescent="0.35"/>
    <row r="74" spans="1:19" x14ac:dyDescent="0.35">
      <c r="L74" s="25" t="s">
        <v>4</v>
      </c>
      <c r="M74" s="25"/>
      <c r="N74" s="25"/>
    </row>
    <row r="75" spans="1:19" x14ac:dyDescent="0.35">
      <c r="L75" s="25" t="s">
        <v>109</v>
      </c>
      <c r="M75" s="25"/>
      <c r="N75" s="25"/>
    </row>
    <row r="76" spans="1:19" x14ac:dyDescent="0.35">
      <c r="L76" s="25" t="s">
        <v>1618</v>
      </c>
      <c r="M76" s="25"/>
      <c r="N76" s="25"/>
      <c r="S76" s="50" t="s">
        <v>1597</v>
      </c>
    </row>
    <row r="77" spans="1:19" x14ac:dyDescent="0.35">
      <c r="L77" s="25"/>
      <c r="M77" s="25"/>
      <c r="N77" s="25"/>
    </row>
    <row r="78" spans="1:19" x14ac:dyDescent="0.35">
      <c r="P78" s="27"/>
      <c r="Q78" s="46">
        <v>2012</v>
      </c>
      <c r="R78" s="27"/>
      <c r="S78" s="27"/>
    </row>
    <row r="79" spans="1:19" x14ac:dyDescent="0.35">
      <c r="L79" s="81"/>
      <c r="M79" s="81"/>
      <c r="N79" s="81"/>
      <c r="O79" s="81"/>
      <c r="P79" s="104"/>
      <c r="Q79" s="30" t="s">
        <v>139</v>
      </c>
      <c r="R79" s="30" t="s">
        <v>36</v>
      </c>
      <c r="S79" s="30" t="s">
        <v>37</v>
      </c>
    </row>
    <row r="80" spans="1:19" ht="9.75" customHeight="1" x14ac:dyDescent="0.35"/>
    <row r="81" spans="12:19" x14ac:dyDescent="0.35">
      <c r="L81" s="25" t="s">
        <v>1619</v>
      </c>
    </row>
    <row r="82" spans="12:19" x14ac:dyDescent="0.35">
      <c r="L82" s="26" t="s">
        <v>1620</v>
      </c>
    </row>
    <row r="83" spans="12:19" x14ac:dyDescent="0.35">
      <c r="M83" s="26" t="s">
        <v>1647</v>
      </c>
      <c r="Q83" s="33">
        <v>2954024</v>
      </c>
      <c r="R83" s="37">
        <f>-Reserves!G19</f>
        <v>-421726.76768258633</v>
      </c>
      <c r="S83" s="287">
        <f>Q83+R83</f>
        <v>2532297.2323174137</v>
      </c>
    </row>
    <row r="84" spans="12:19" x14ac:dyDescent="0.35">
      <c r="M84" s="26" t="s">
        <v>1621</v>
      </c>
      <c r="Q84" s="35">
        <v>416109</v>
      </c>
      <c r="R84" s="39">
        <v>0</v>
      </c>
      <c r="S84" s="96">
        <f>Q84+R84</f>
        <v>416109</v>
      </c>
    </row>
    <row r="85" spans="12:19" x14ac:dyDescent="0.35">
      <c r="M85" s="26" t="s">
        <v>1622</v>
      </c>
      <c r="Q85" s="33">
        <f>SUM(Q83:Q84)</f>
        <v>3370133</v>
      </c>
      <c r="R85" s="33">
        <f>SUM(R83:R84)</f>
        <v>-421726.76768258633</v>
      </c>
      <c r="S85" s="33">
        <f>SUM(S83:S84)</f>
        <v>2948406.2323174137</v>
      </c>
    </row>
    <row r="86" spans="12:19" ht="6" customHeight="1" x14ac:dyDescent="0.35"/>
    <row r="87" spans="12:19" x14ac:dyDescent="0.35">
      <c r="L87" s="26" t="s">
        <v>1623</v>
      </c>
    </row>
    <row r="88" spans="12:19" x14ac:dyDescent="0.35">
      <c r="M88" s="26" t="s">
        <v>1624</v>
      </c>
      <c r="Q88" s="33">
        <v>338723</v>
      </c>
      <c r="R88" s="37">
        <v>0</v>
      </c>
      <c r="S88" s="287">
        <f>Q88+R88</f>
        <v>338723</v>
      </c>
    </row>
    <row r="89" spans="12:19" x14ac:dyDescent="0.35">
      <c r="M89" s="26" t="s">
        <v>1625</v>
      </c>
      <c r="Q89" s="35">
        <v>202103</v>
      </c>
      <c r="R89" s="39">
        <v>0</v>
      </c>
      <c r="S89" s="96">
        <f>Q89+R89</f>
        <v>202103</v>
      </c>
    </row>
    <row r="90" spans="12:19" x14ac:dyDescent="0.35">
      <c r="M90" s="26" t="s">
        <v>1626</v>
      </c>
      <c r="Q90" s="33">
        <f>SUM(Q88:Q89)</f>
        <v>540826</v>
      </c>
      <c r="R90" s="33">
        <f>SUM(R88:R89)</f>
        <v>0</v>
      </c>
      <c r="S90" s="33">
        <f>SUM(S88:S89)</f>
        <v>540826</v>
      </c>
    </row>
    <row r="92" spans="12:19" x14ac:dyDescent="0.35">
      <c r="L92" s="26" t="s">
        <v>1627</v>
      </c>
      <c r="Q92" s="33">
        <v>36289459</v>
      </c>
      <c r="R92" s="33">
        <f>Dep_Amor!C49</f>
        <v>5075948.49</v>
      </c>
      <c r="S92" s="33">
        <f>Q92+R92</f>
        <v>41365407.490000002</v>
      </c>
    </row>
    <row r="93" spans="12:19" x14ac:dyDescent="0.35">
      <c r="L93" s="26" t="s">
        <v>1628</v>
      </c>
      <c r="Q93" s="35">
        <v>-14736228</v>
      </c>
      <c r="R93" s="35">
        <f>-H49</f>
        <v>-1125655.0014785714</v>
      </c>
      <c r="S93" s="35">
        <f>Q93+R93</f>
        <v>-15861883.001478571</v>
      </c>
    </row>
    <row r="94" spans="12:19" x14ac:dyDescent="0.35">
      <c r="L94" s="26" t="s">
        <v>1629</v>
      </c>
      <c r="Q94" s="33">
        <f>SUM(Q92:Q93)</f>
        <v>21553231</v>
      </c>
      <c r="R94" s="33">
        <f t="shared" ref="R94:S94" si="7">SUM(R92:R93)</f>
        <v>3950293.4885214288</v>
      </c>
      <c r="S94" s="33">
        <f t="shared" si="7"/>
        <v>25503524.488521431</v>
      </c>
    </row>
    <row r="95" spans="12:19" ht="9.75" customHeight="1" x14ac:dyDescent="0.35"/>
    <row r="96" spans="12:19" x14ac:dyDescent="0.35">
      <c r="L96" s="25" t="s">
        <v>1630</v>
      </c>
      <c r="Q96" s="36">
        <f>Q85+Q90+Q94</f>
        <v>25464190</v>
      </c>
      <c r="R96" s="36">
        <f t="shared" ref="R96:S96" si="8">R85+R90+R94</f>
        <v>3528566.7208388424</v>
      </c>
      <c r="S96" s="36">
        <f t="shared" si="8"/>
        <v>28992756.720838845</v>
      </c>
    </row>
    <row r="98" spans="12:19" x14ac:dyDescent="0.35">
      <c r="L98" s="25" t="s">
        <v>1631</v>
      </c>
    </row>
    <row r="99" spans="12:19" x14ac:dyDescent="0.35">
      <c r="L99" s="26" t="s">
        <v>1632</v>
      </c>
    </row>
    <row r="100" spans="12:19" x14ac:dyDescent="0.35">
      <c r="M100" s="26" t="s">
        <v>1634</v>
      </c>
      <c r="Q100" s="33">
        <v>509457</v>
      </c>
      <c r="R100" s="37">
        <v>0</v>
      </c>
      <c r="S100" s="33">
        <f>Q100+R100</f>
        <v>509457</v>
      </c>
    </row>
    <row r="101" spans="12:19" x14ac:dyDescent="0.35">
      <c r="M101" s="26" t="s">
        <v>1633</v>
      </c>
      <c r="Q101" s="34">
        <v>278656</v>
      </c>
      <c r="R101" s="38">
        <f>'Debt Service'!K68-IS_BS!Q101</f>
        <v>10689.739999999991</v>
      </c>
      <c r="S101" s="34">
        <f>Q101+R101</f>
        <v>289345.74</v>
      </c>
    </row>
    <row r="102" spans="12:19" x14ac:dyDescent="0.35">
      <c r="M102" s="26" t="s">
        <v>1635</v>
      </c>
      <c r="Q102" s="35">
        <v>6102</v>
      </c>
      <c r="R102" s="39">
        <v>0</v>
      </c>
      <c r="S102" s="96">
        <f>Q102+R102</f>
        <v>6102</v>
      </c>
    </row>
    <row r="103" spans="12:19" x14ac:dyDescent="0.35">
      <c r="M103" s="26" t="s">
        <v>1636</v>
      </c>
      <c r="Q103" s="33">
        <f>SUM(Q100:Q102)</f>
        <v>794215</v>
      </c>
      <c r="R103" s="33">
        <f t="shared" ref="R103:S103" si="9">SUM(R100:R102)</f>
        <v>10689.739999999991</v>
      </c>
      <c r="S103" s="33">
        <f t="shared" si="9"/>
        <v>804904.74</v>
      </c>
    </row>
    <row r="104" spans="12:19" ht="7.5" customHeight="1" x14ac:dyDescent="0.35"/>
    <row r="105" spans="12:19" x14ac:dyDescent="0.35">
      <c r="L105" s="26" t="s">
        <v>1637</v>
      </c>
    </row>
    <row r="106" spans="12:19" x14ac:dyDescent="0.35">
      <c r="M106" s="26" t="s">
        <v>1638</v>
      </c>
      <c r="Q106" s="33">
        <v>1562065</v>
      </c>
      <c r="R106" s="33">
        <f>-Q101</f>
        <v>-278656</v>
      </c>
      <c r="S106" s="33">
        <f>SUM(Q106:R106)</f>
        <v>1283409</v>
      </c>
    </row>
    <row r="107" spans="12:19" ht="9.75" customHeight="1" x14ac:dyDescent="0.35"/>
    <row r="108" spans="12:19" x14ac:dyDescent="0.35">
      <c r="L108" s="25" t="s">
        <v>1639</v>
      </c>
      <c r="Q108" s="36">
        <f>Q103+Q106</f>
        <v>2356280</v>
      </c>
      <c r="R108" s="36">
        <f t="shared" ref="R108:S108" si="10">R103+R106</f>
        <v>-267966.26</v>
      </c>
      <c r="S108" s="36">
        <f t="shared" si="10"/>
        <v>2088313.74</v>
      </c>
    </row>
    <row r="110" spans="12:19" x14ac:dyDescent="0.35">
      <c r="L110" s="26" t="s">
        <v>1644</v>
      </c>
    </row>
    <row r="111" spans="12:19" x14ac:dyDescent="0.35">
      <c r="M111" s="26" t="s">
        <v>1640</v>
      </c>
      <c r="Q111" s="33">
        <v>19706408</v>
      </c>
      <c r="R111" s="33">
        <f>S111-Q111</f>
        <v>4218259.7485214323</v>
      </c>
      <c r="S111" s="33">
        <f>S96-(S108+S112+S113)</f>
        <v>23924667.748521432</v>
      </c>
    </row>
    <row r="112" spans="12:19" x14ac:dyDescent="0.35">
      <c r="M112" s="26" t="s">
        <v>1641</v>
      </c>
      <c r="Q112" s="34">
        <v>338723</v>
      </c>
      <c r="R112" s="34">
        <v>0</v>
      </c>
      <c r="S112" s="34">
        <f>Q112+R112</f>
        <v>338723</v>
      </c>
    </row>
    <row r="113" spans="12:19" x14ac:dyDescent="0.35">
      <c r="M113" s="26" t="s">
        <v>1642</v>
      </c>
      <c r="Q113" s="35">
        <v>3062779</v>
      </c>
      <c r="R113" s="35">
        <f>R85</f>
        <v>-421726.76768258633</v>
      </c>
      <c r="S113" s="35">
        <f>Q113+R113</f>
        <v>2641052.2323174137</v>
      </c>
    </row>
    <row r="114" spans="12:19" ht="7.5" customHeight="1" x14ac:dyDescent="0.35">
      <c r="Q114" s="34"/>
    </row>
    <row r="115" spans="12:19" x14ac:dyDescent="0.35">
      <c r="L115" s="25" t="s">
        <v>1645</v>
      </c>
      <c r="M115" s="25"/>
      <c r="N115" s="25"/>
      <c r="O115" s="25"/>
      <c r="P115" s="25"/>
      <c r="Q115" s="36">
        <f>SUM(Q111:Q113)</f>
        <v>23107910</v>
      </c>
      <c r="R115" s="36">
        <f>SUM(R111:R114)</f>
        <v>3796532.9808388459</v>
      </c>
      <c r="S115" s="36">
        <f>SUM(S111:S114)</f>
        <v>26904442.980838846</v>
      </c>
    </row>
    <row r="116" spans="12:19" ht="7.5" customHeight="1" x14ac:dyDescent="0.35">
      <c r="L116" s="25"/>
      <c r="M116" s="25"/>
      <c r="N116" s="25"/>
      <c r="O116" s="25"/>
      <c r="P116" s="25"/>
      <c r="Q116" s="25"/>
    </row>
    <row r="117" spans="12:19" x14ac:dyDescent="0.35">
      <c r="L117" s="25" t="s">
        <v>1646</v>
      </c>
      <c r="M117" s="25"/>
      <c r="N117" s="25"/>
      <c r="O117" s="25"/>
      <c r="P117" s="25"/>
      <c r="Q117" s="36">
        <f>Q108+Q115</f>
        <v>25464190</v>
      </c>
      <c r="R117" s="36"/>
      <c r="S117" s="36">
        <f>S108+S115</f>
        <v>28992756.720838845</v>
      </c>
    </row>
    <row r="120" spans="12:19" x14ac:dyDescent="0.35">
      <c r="L120" s="84">
        <v>-1</v>
      </c>
      <c r="M120" s="26" t="s">
        <v>1649</v>
      </c>
    </row>
  </sheetData>
  <pageMargins left="0.7" right="0.7" top="0.75" bottom="0.75" header="0.3" footer="0.3"/>
  <pageSetup scale="68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44"/>
  </sheetPr>
  <dimension ref="A1:Q64"/>
  <sheetViews>
    <sheetView zoomScale="75" workbookViewId="0">
      <selection activeCell="U24" sqref="U24"/>
    </sheetView>
  </sheetViews>
  <sheetFormatPr defaultColWidth="8.7265625" defaultRowHeight="15.5" x14ac:dyDescent="0.35"/>
  <cols>
    <col min="1" max="1" width="3.7265625" style="26" customWidth="1"/>
    <col min="2" max="2" width="8.7265625" style="26"/>
    <col min="3" max="3" width="6.7265625" style="26" customWidth="1"/>
    <col min="4" max="4" width="5.453125" style="26" customWidth="1"/>
    <col min="5" max="5" width="18.26953125" style="26" customWidth="1"/>
    <col min="6" max="6" width="14.54296875" style="26" customWidth="1"/>
    <col min="7" max="7" width="14" style="26" customWidth="1"/>
    <col min="8" max="17" width="14.26953125" style="26" customWidth="1"/>
    <col min="18" max="16384" width="8.7265625" style="26"/>
  </cols>
  <sheetData>
    <row r="1" spans="1:17" x14ac:dyDescent="0.35">
      <c r="A1" s="25" t="s">
        <v>4</v>
      </c>
    </row>
    <row r="2" spans="1:17" x14ac:dyDescent="0.35">
      <c r="A2" s="25" t="s">
        <v>109</v>
      </c>
    </row>
    <row r="3" spans="1:17" x14ac:dyDescent="0.35">
      <c r="A3" s="25" t="s">
        <v>230</v>
      </c>
    </row>
    <row r="5" spans="1:17" x14ac:dyDescent="0.35">
      <c r="E5" s="27"/>
      <c r="F5" s="46">
        <v>2012</v>
      </c>
      <c r="G5" s="27"/>
      <c r="H5" s="27"/>
    </row>
    <row r="6" spans="1:17" x14ac:dyDescent="0.35">
      <c r="A6" s="81"/>
      <c r="B6" s="81"/>
      <c r="C6" s="81"/>
      <c r="D6" s="81"/>
      <c r="E6" s="104"/>
      <c r="F6" s="160" t="s">
        <v>139</v>
      </c>
      <c r="G6" s="51" t="s">
        <v>37</v>
      </c>
      <c r="H6" s="51">
        <v>2014</v>
      </c>
      <c r="I6" s="51">
        <v>2015</v>
      </c>
      <c r="J6" s="51">
        <v>2016</v>
      </c>
      <c r="K6" s="51">
        <v>2017</v>
      </c>
      <c r="L6" s="51">
        <v>2018</v>
      </c>
      <c r="M6" s="51">
        <v>2019</v>
      </c>
      <c r="N6" s="51">
        <v>2020</v>
      </c>
      <c r="O6" s="51">
        <v>2021</v>
      </c>
      <c r="P6" s="51">
        <v>2022</v>
      </c>
      <c r="Q6" s="51">
        <v>2023</v>
      </c>
    </row>
    <row r="8" spans="1:17" x14ac:dyDescent="0.35">
      <c r="A8" s="25" t="s">
        <v>841</v>
      </c>
      <c r="F8" s="33"/>
    </row>
    <row r="9" spans="1:17" ht="7.9" customHeight="1" x14ac:dyDescent="0.35"/>
    <row r="10" spans="1:17" x14ac:dyDescent="0.35">
      <c r="A10" s="26" t="s">
        <v>238</v>
      </c>
      <c r="F10" s="45">
        <v>2838937.95</v>
      </c>
      <c r="G10" s="33">
        <f>F23</f>
        <v>2954023.84</v>
      </c>
      <c r="H10" s="33">
        <f t="shared" ref="H10:Q10" si="0">G23</f>
        <v>2532297.0723174135</v>
      </c>
      <c r="I10" s="33">
        <f t="shared" si="0"/>
        <v>2433492.6281467229</v>
      </c>
      <c r="J10" s="33">
        <f t="shared" si="0"/>
        <v>2471636.2575805974</v>
      </c>
      <c r="K10" s="33">
        <f t="shared" si="0"/>
        <v>2101958.6062502344</v>
      </c>
      <c r="L10" s="33">
        <f t="shared" si="0"/>
        <v>1880055.5388717307</v>
      </c>
      <c r="M10" s="33">
        <f t="shared" si="0"/>
        <v>1509597.1488601922</v>
      </c>
      <c r="N10" s="33">
        <f t="shared" si="0"/>
        <v>1106440.1530424163</v>
      </c>
      <c r="O10" s="33">
        <f t="shared" si="0"/>
        <v>1268278.8866226852</v>
      </c>
      <c r="P10" s="33">
        <f t="shared" si="0"/>
        <v>1321946.5358062184</v>
      </c>
      <c r="Q10" s="33">
        <f t="shared" si="0"/>
        <v>1267839.1576961691</v>
      </c>
    </row>
    <row r="12" spans="1:17" x14ac:dyDescent="0.35">
      <c r="A12" s="26" t="s">
        <v>235</v>
      </c>
    </row>
    <row r="13" spans="1:17" x14ac:dyDescent="0.35">
      <c r="B13" s="26" t="s">
        <v>232</v>
      </c>
      <c r="F13" s="45">
        <v>0</v>
      </c>
      <c r="G13" s="33">
        <f>Proof!F40</f>
        <v>0</v>
      </c>
      <c r="H13" s="33">
        <f>Proof!G40</f>
        <v>-50540.485827832483</v>
      </c>
      <c r="I13" s="33">
        <f>Proof!H40</f>
        <v>38143.629433874507</v>
      </c>
      <c r="J13" s="33">
        <f>Proof!I40</f>
        <v>-369677.65133036301</v>
      </c>
      <c r="K13" s="33">
        <f>Proof!J40</f>
        <v>-215044.73552374169</v>
      </c>
      <c r="L13" s="33">
        <f>Proof!K40</f>
        <v>-308866.72482344322</v>
      </c>
      <c r="M13" s="33">
        <f>Proof!L40</f>
        <v>-403156.99581777584</v>
      </c>
      <c r="N13" s="33">
        <f>Proof!M40</f>
        <v>161838.73358026892</v>
      </c>
      <c r="O13" s="33">
        <f>Proof!N40</f>
        <v>53667.649183533154</v>
      </c>
      <c r="P13" s="33">
        <f>Proof!O40</f>
        <v>-54107.378110049292</v>
      </c>
      <c r="Q13" s="33">
        <f>Proof!P40</f>
        <v>196788.96793450601</v>
      </c>
    </row>
    <row r="14" spans="1:17" x14ac:dyDescent="0.35">
      <c r="B14" s="26" t="s">
        <v>233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</row>
    <row r="15" spans="1:17" x14ac:dyDescent="0.35">
      <c r="B15" s="40" t="s">
        <v>234</v>
      </c>
      <c r="F15" s="33">
        <f>SUM(F13:F14)</f>
        <v>0</v>
      </c>
      <c r="G15" s="33">
        <f>SUM(G13:G14)</f>
        <v>0</v>
      </c>
      <c r="H15" s="33">
        <f t="shared" ref="H15:Q15" si="1">SUM(H13:H14)</f>
        <v>-50540.485827832483</v>
      </c>
      <c r="I15" s="33">
        <f t="shared" si="1"/>
        <v>38143.629433874507</v>
      </c>
      <c r="J15" s="33">
        <f t="shared" si="1"/>
        <v>-369677.65133036301</v>
      </c>
      <c r="K15" s="33">
        <f t="shared" si="1"/>
        <v>-215044.73552374169</v>
      </c>
      <c r="L15" s="33">
        <f t="shared" si="1"/>
        <v>-308866.72482344322</v>
      </c>
      <c r="M15" s="33">
        <f t="shared" si="1"/>
        <v>-403156.99581777584</v>
      </c>
      <c r="N15" s="33">
        <f t="shared" si="1"/>
        <v>161838.73358026892</v>
      </c>
      <c r="O15" s="33">
        <f t="shared" si="1"/>
        <v>53667.649183533154</v>
      </c>
      <c r="P15" s="33">
        <f t="shared" si="1"/>
        <v>-54107.378110049292</v>
      </c>
      <c r="Q15" s="33">
        <f t="shared" si="1"/>
        <v>196788.96793450601</v>
      </c>
    </row>
    <row r="17" spans="1:17" x14ac:dyDescent="0.35">
      <c r="A17" s="26" t="s">
        <v>236</v>
      </c>
    </row>
    <row r="18" spans="1:17" x14ac:dyDescent="0.35">
      <c r="B18" s="26" t="s">
        <v>1033</v>
      </c>
      <c r="F18" s="45">
        <v>0</v>
      </c>
      <c r="G18" s="33">
        <f>IF('Debt Service'!P52=1,1773853,0)</f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</row>
    <row r="19" spans="1:17" x14ac:dyDescent="0.35">
      <c r="B19" s="26" t="s">
        <v>1481</v>
      </c>
      <c r="F19" s="42">
        <v>0</v>
      </c>
      <c r="G19" s="353">
        <v>421726.76768258633</v>
      </c>
      <c r="H19" s="42">
        <v>48263.958342858125</v>
      </c>
      <c r="I19" s="42">
        <v>0</v>
      </c>
      <c r="J19" s="42">
        <v>0</v>
      </c>
      <c r="K19" s="42">
        <v>6858.3318547620438</v>
      </c>
      <c r="L19" s="42">
        <v>61591.6651880953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</row>
    <row r="20" spans="1:17" x14ac:dyDescent="0.35">
      <c r="B20" s="26" t="s">
        <v>661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</row>
    <row r="21" spans="1:17" x14ac:dyDescent="0.35">
      <c r="B21" s="40" t="s">
        <v>234</v>
      </c>
      <c r="F21" s="33">
        <f>SUM(F18:F20)</f>
        <v>0</v>
      </c>
      <c r="G21" s="33">
        <f>SUM(G18:G20)</f>
        <v>421726.76768258633</v>
      </c>
      <c r="H21" s="33">
        <f t="shared" ref="H21:Q21" si="2">SUM(H18:H20)</f>
        <v>48263.958342858125</v>
      </c>
      <c r="I21" s="33">
        <f t="shared" si="2"/>
        <v>0</v>
      </c>
      <c r="J21" s="33">
        <f t="shared" si="2"/>
        <v>0</v>
      </c>
      <c r="K21" s="33">
        <f t="shared" si="2"/>
        <v>6858.3318547620438</v>
      </c>
      <c r="L21" s="33">
        <f t="shared" si="2"/>
        <v>61591.6651880953</v>
      </c>
      <c r="M21" s="33">
        <f t="shared" si="2"/>
        <v>0</v>
      </c>
      <c r="N21" s="33">
        <f t="shared" si="2"/>
        <v>0</v>
      </c>
      <c r="O21" s="33">
        <f t="shared" si="2"/>
        <v>0</v>
      </c>
      <c r="P21" s="33">
        <f t="shared" si="2"/>
        <v>0</v>
      </c>
      <c r="Q21" s="33">
        <f t="shared" si="2"/>
        <v>0</v>
      </c>
    </row>
    <row r="23" spans="1:17" x14ac:dyDescent="0.35">
      <c r="A23" s="26" t="s">
        <v>237</v>
      </c>
      <c r="F23" s="45">
        <f>3292746.84-F49</f>
        <v>2954023.84</v>
      </c>
      <c r="G23" s="33">
        <f>G10+G15-G21</f>
        <v>2532297.0723174135</v>
      </c>
      <c r="H23" s="33">
        <f t="shared" ref="H23:Q23" si="3">H10+H15-H21</f>
        <v>2433492.6281467229</v>
      </c>
      <c r="I23" s="33">
        <f t="shared" si="3"/>
        <v>2471636.2575805974</v>
      </c>
      <c r="J23" s="33">
        <f t="shared" si="3"/>
        <v>2101958.6062502344</v>
      </c>
      <c r="K23" s="33">
        <f t="shared" si="3"/>
        <v>1880055.5388717307</v>
      </c>
      <c r="L23" s="33">
        <f t="shared" si="3"/>
        <v>1509597.1488601922</v>
      </c>
      <c r="M23" s="33">
        <f t="shared" si="3"/>
        <v>1106440.1530424163</v>
      </c>
      <c r="N23" s="33">
        <f t="shared" si="3"/>
        <v>1268278.8866226852</v>
      </c>
      <c r="O23" s="33">
        <f t="shared" si="3"/>
        <v>1321946.5358062184</v>
      </c>
      <c r="P23" s="33">
        <f t="shared" si="3"/>
        <v>1267839.1576961691</v>
      </c>
      <c r="Q23" s="33">
        <f t="shared" si="3"/>
        <v>1464628.1256306751</v>
      </c>
    </row>
    <row r="24" spans="1:17" ht="9" customHeight="1" x14ac:dyDescent="0.35"/>
    <row r="25" spans="1:17" x14ac:dyDescent="0.35">
      <c r="A25" s="26" t="s">
        <v>434</v>
      </c>
      <c r="F25" s="33">
        <f>AVERAGE(F10,F23)</f>
        <v>2896480.895</v>
      </c>
      <c r="G25" s="33">
        <f>AVERAGE(G10,G23)</f>
        <v>2743160.4561587069</v>
      </c>
      <c r="H25" s="33">
        <f t="shared" ref="H25:Q25" si="4">AVERAGE(H10,H23)</f>
        <v>2482894.8502320684</v>
      </c>
      <c r="I25" s="33">
        <f t="shared" si="4"/>
        <v>2452564.4428636599</v>
      </c>
      <c r="J25" s="33">
        <f t="shared" si="4"/>
        <v>2286797.4319154159</v>
      </c>
      <c r="K25" s="33">
        <f t="shared" si="4"/>
        <v>1991007.0725609825</v>
      </c>
      <c r="L25" s="33">
        <f t="shared" si="4"/>
        <v>1694826.3438659613</v>
      </c>
      <c r="M25" s="33">
        <f t="shared" si="4"/>
        <v>1308018.6509513042</v>
      </c>
      <c r="N25" s="33">
        <f t="shared" si="4"/>
        <v>1187359.5198325508</v>
      </c>
      <c r="O25" s="33">
        <f t="shared" si="4"/>
        <v>1295112.7112144518</v>
      </c>
      <c r="P25" s="33">
        <f t="shared" si="4"/>
        <v>1294892.8467511937</v>
      </c>
      <c r="Q25" s="33">
        <f t="shared" si="4"/>
        <v>1366233.6416634221</v>
      </c>
    </row>
    <row r="26" spans="1:17" ht="9" customHeight="1" x14ac:dyDescent="0.35"/>
    <row r="27" spans="1:17" x14ac:dyDescent="0.35">
      <c r="A27" s="26" t="s">
        <v>1083</v>
      </c>
      <c r="F27" s="161">
        <f>F23/'Test Year Detail'!F40*365</f>
        <v>414.53504021564112</v>
      </c>
      <c r="G27" s="161">
        <f>G23/'Test Year Detail'!H40*365</f>
        <v>338.58519830235878</v>
      </c>
      <c r="H27" s="161">
        <f>H23/'Test Year Detail'!I40*365</f>
        <v>315.58996007240574</v>
      </c>
      <c r="I27" s="161">
        <f>I23/'Test Year Detail'!J40*365</f>
        <v>310.89654107255387</v>
      </c>
      <c r="J27" s="161">
        <f>J23/'Test Year Detail'!K40*365</f>
        <v>256.44370215764246</v>
      </c>
      <c r="K27" s="161">
        <f>K23/'Test Year Detail'!L40*365</f>
        <v>222.47102486815643</v>
      </c>
      <c r="L27" s="161">
        <f>L23/'Test Year Detail'!M40*365</f>
        <v>173.25951260955543</v>
      </c>
      <c r="M27" s="161">
        <f>M23/'Test Year Detail'!N40*365</f>
        <v>123.16733279973447</v>
      </c>
      <c r="N27" s="161">
        <f>N23/'Test Year Detail'!O40*365</f>
        <v>136.93431589003686</v>
      </c>
      <c r="O27" s="161">
        <f>O23/'Test Year Detail'!P40*365</f>
        <v>138.433016601655</v>
      </c>
      <c r="P27" s="161">
        <f>P23/'Test Year Detail'!Q40*365</f>
        <v>128.77054645298463</v>
      </c>
      <c r="Q27" s="161">
        <f>Q23/'Test Year Detail'!R40*365</f>
        <v>144.27950940141668</v>
      </c>
    </row>
    <row r="28" spans="1:17" ht="8.65" customHeight="1" x14ac:dyDescent="0.35"/>
    <row r="29" spans="1:17" x14ac:dyDescent="0.35">
      <c r="A29" s="26" t="s">
        <v>1084</v>
      </c>
      <c r="F29" s="162">
        <f>F23/('Test Year Detail'!F40+'Debt Service'!H81)*365</f>
        <v>365.86834819946603</v>
      </c>
      <c r="G29" s="162">
        <f>G23/('Test Year Detail'!H40+'Debt Service'!I81)*365</f>
        <v>300.10131203296504</v>
      </c>
      <c r="H29" s="162">
        <f>H23/('Test Year Detail'!I40+'Debt Service'!J81)*365</f>
        <v>280.72713733447114</v>
      </c>
      <c r="I29" s="162">
        <f>I23/('Test Year Detail'!J40+'Debt Service'!K81)*365</f>
        <v>277.5220801361844</v>
      </c>
      <c r="J29" s="162">
        <f>J23/('Test Year Detail'!K40+'Debt Service'!L81)*365</f>
        <v>229.69639571093103</v>
      </c>
      <c r="K29" s="162">
        <f>K23/('Test Year Detail'!L40+'Debt Service'!M81)*365</f>
        <v>199.92962819130025</v>
      </c>
      <c r="L29" s="162">
        <f>L23/('Test Year Detail'!M40+'Debt Service'!N81)*365</f>
        <v>156.20835516487259</v>
      </c>
      <c r="M29" s="162">
        <f>M23/('Test Year Detail'!N40+'Debt Service'!O81)*365</f>
        <v>111.39584896269736</v>
      </c>
      <c r="N29" s="162">
        <f>N23/('Test Year Detail'!O40+'Debt Service'!P81)*365</f>
        <v>136.93431589003686</v>
      </c>
      <c r="O29" s="162">
        <f>O23/('Test Year Detail'!P40+'Debt Service'!Q81)*365</f>
        <v>138.433016601655</v>
      </c>
      <c r="P29" s="162">
        <f>P23/('Test Year Detail'!Q40+'Debt Service'!R81)*365</f>
        <v>128.77054645298463</v>
      </c>
      <c r="Q29" s="162">
        <f>Q23/('Test Year Detail'!R40+'Debt Service'!S81)*365</f>
        <v>144.27950940141668</v>
      </c>
    </row>
    <row r="31" spans="1:17" x14ac:dyDescent="0.35">
      <c r="A31" s="26" t="s">
        <v>346</v>
      </c>
      <c r="F31" s="128">
        <f>F25*F33</f>
        <v>14482.404475000001</v>
      </c>
      <c r="G31" s="128">
        <f>G25*G33</f>
        <v>13715.802280793534</v>
      </c>
      <c r="H31" s="128">
        <f t="shared" ref="H31:Q31" si="5">H25*H33</f>
        <v>12414.474251160342</v>
      </c>
      <c r="I31" s="128">
        <f t="shared" si="5"/>
        <v>18394.233321477448</v>
      </c>
      <c r="J31" s="128">
        <f t="shared" si="5"/>
        <v>22867.97431915416</v>
      </c>
      <c r="K31" s="128">
        <f t="shared" si="5"/>
        <v>29865.106088414737</v>
      </c>
      <c r="L31" s="128">
        <f t="shared" si="5"/>
        <v>33896.526877319229</v>
      </c>
      <c r="M31" s="128">
        <f t="shared" si="5"/>
        <v>26160.373019026087</v>
      </c>
      <c r="N31" s="128">
        <f t="shared" si="5"/>
        <v>23747.190396651014</v>
      </c>
      <c r="O31" s="128">
        <f t="shared" si="5"/>
        <v>25902.254224289038</v>
      </c>
      <c r="P31" s="128">
        <f t="shared" si="5"/>
        <v>25897.856935023876</v>
      </c>
      <c r="Q31" s="128">
        <f t="shared" si="5"/>
        <v>27324.672833268443</v>
      </c>
    </row>
    <row r="32" spans="1:17" ht="10.9" customHeight="1" x14ac:dyDescent="0.35"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x14ac:dyDescent="0.35">
      <c r="A33" s="26" t="s">
        <v>843</v>
      </c>
      <c r="F33" s="242">
        <v>5.0000000000000001E-3</v>
      </c>
      <c r="G33" s="242">
        <v>5.0000000000000001E-3</v>
      </c>
      <c r="H33" s="242">
        <v>5.0000000000000001E-3</v>
      </c>
      <c r="I33" s="242">
        <v>7.4999999999999997E-3</v>
      </c>
      <c r="J33" s="242">
        <v>0.01</v>
      </c>
      <c r="K33" s="242">
        <v>1.4999999999999999E-2</v>
      </c>
      <c r="L33" s="242">
        <v>0.02</v>
      </c>
      <c r="M33" s="242">
        <v>0.02</v>
      </c>
      <c r="N33" s="242">
        <v>0.02</v>
      </c>
      <c r="O33" s="242">
        <v>0.02</v>
      </c>
      <c r="P33" s="242">
        <v>0.02</v>
      </c>
      <c r="Q33" s="242">
        <v>0.02</v>
      </c>
    </row>
    <row r="34" spans="1:17" ht="7.9" customHeight="1" x14ac:dyDescent="0.35"/>
    <row r="35" spans="1:17" ht="7.9" customHeight="1" x14ac:dyDescent="0.35"/>
    <row r="37" spans="1:17" x14ac:dyDescent="0.35">
      <c r="A37" s="25" t="s">
        <v>842</v>
      </c>
    </row>
    <row r="38" spans="1:17" ht="10.15" customHeight="1" x14ac:dyDescent="0.35"/>
    <row r="39" spans="1:17" x14ac:dyDescent="0.35">
      <c r="A39" s="26" t="s">
        <v>1085</v>
      </c>
      <c r="F39" s="352">
        <v>335230.42</v>
      </c>
      <c r="G39" s="33">
        <f>F49</f>
        <v>338723</v>
      </c>
      <c r="H39" s="33">
        <f t="shared" ref="H39:Q39" si="6">G49</f>
        <v>338723</v>
      </c>
      <c r="I39" s="33">
        <f t="shared" si="6"/>
        <v>338723</v>
      </c>
      <c r="J39" s="33">
        <f t="shared" si="6"/>
        <v>338723</v>
      </c>
      <c r="K39" s="33">
        <f t="shared" si="6"/>
        <v>338723</v>
      </c>
      <c r="L39" s="33">
        <f t="shared" si="6"/>
        <v>338723</v>
      </c>
      <c r="M39" s="33">
        <f t="shared" si="6"/>
        <v>338723</v>
      </c>
      <c r="N39" s="33">
        <f t="shared" si="6"/>
        <v>338723</v>
      </c>
      <c r="O39" s="33">
        <f t="shared" si="6"/>
        <v>338723</v>
      </c>
      <c r="P39" s="33">
        <f t="shared" si="6"/>
        <v>338723</v>
      </c>
      <c r="Q39" s="33">
        <f t="shared" si="6"/>
        <v>338723</v>
      </c>
    </row>
    <row r="41" spans="1:17" x14ac:dyDescent="0.35">
      <c r="A41" s="26" t="s">
        <v>235</v>
      </c>
    </row>
    <row r="42" spans="1:17" x14ac:dyDescent="0.35">
      <c r="B42" s="26" t="s">
        <v>838</v>
      </c>
      <c r="F42" s="119">
        <f>F18</f>
        <v>0</v>
      </c>
      <c r="G42" s="119">
        <f t="shared" ref="G42:Q42" si="7">G18</f>
        <v>0</v>
      </c>
      <c r="H42" s="119">
        <f t="shared" si="7"/>
        <v>0</v>
      </c>
      <c r="I42" s="119">
        <f t="shared" si="7"/>
        <v>0</v>
      </c>
      <c r="J42" s="119">
        <f t="shared" si="7"/>
        <v>0</v>
      </c>
      <c r="K42" s="119">
        <f t="shared" si="7"/>
        <v>0</v>
      </c>
      <c r="L42" s="119">
        <f t="shared" si="7"/>
        <v>0</v>
      </c>
      <c r="M42" s="119">
        <f t="shared" si="7"/>
        <v>0</v>
      </c>
      <c r="N42" s="119">
        <f t="shared" si="7"/>
        <v>0</v>
      </c>
      <c r="O42" s="119">
        <f t="shared" si="7"/>
        <v>0</v>
      </c>
      <c r="P42" s="119">
        <f t="shared" si="7"/>
        <v>0</v>
      </c>
      <c r="Q42" s="119">
        <f t="shared" si="7"/>
        <v>0</v>
      </c>
    </row>
    <row r="43" spans="1:17" x14ac:dyDescent="0.35">
      <c r="B43" s="40" t="s">
        <v>234</v>
      </c>
      <c r="F43" s="33">
        <f>SUM(F42)</f>
        <v>0</v>
      </c>
      <c r="G43" s="33">
        <f t="shared" ref="G43:Q43" si="8">SUM(G42)</f>
        <v>0</v>
      </c>
      <c r="H43" s="33">
        <f t="shared" si="8"/>
        <v>0</v>
      </c>
      <c r="I43" s="33">
        <f t="shared" si="8"/>
        <v>0</v>
      </c>
      <c r="J43" s="33">
        <f t="shared" si="8"/>
        <v>0</v>
      </c>
      <c r="K43" s="33">
        <f t="shared" si="8"/>
        <v>0</v>
      </c>
      <c r="L43" s="33">
        <f t="shared" si="8"/>
        <v>0</v>
      </c>
      <c r="M43" s="33">
        <f t="shared" si="8"/>
        <v>0</v>
      </c>
      <c r="N43" s="33">
        <f t="shared" si="8"/>
        <v>0</v>
      </c>
      <c r="O43" s="33">
        <f t="shared" si="8"/>
        <v>0</v>
      </c>
      <c r="P43" s="33">
        <f t="shared" si="8"/>
        <v>0</v>
      </c>
      <c r="Q43" s="33">
        <f t="shared" si="8"/>
        <v>0</v>
      </c>
    </row>
    <row r="45" spans="1:17" x14ac:dyDescent="0.35">
      <c r="A45" s="26" t="s">
        <v>236</v>
      </c>
    </row>
    <row r="46" spans="1:17" x14ac:dyDescent="0.35">
      <c r="B46" s="26" t="s">
        <v>1087</v>
      </c>
      <c r="F46" s="358">
        <v>0</v>
      </c>
      <c r="G46" s="119">
        <f>IF('Debt Service'!P52=1,2109083,0)</f>
        <v>0</v>
      </c>
      <c r="H46" s="358">
        <v>0</v>
      </c>
      <c r="I46" s="358">
        <v>0</v>
      </c>
      <c r="J46" s="358">
        <v>0</v>
      </c>
      <c r="K46" s="358">
        <v>0</v>
      </c>
      <c r="L46" s="358">
        <v>0</v>
      </c>
      <c r="M46" s="358">
        <v>0</v>
      </c>
      <c r="N46" s="358">
        <v>0</v>
      </c>
      <c r="O46" s="358">
        <v>0</v>
      </c>
      <c r="P46" s="358">
        <v>0</v>
      </c>
      <c r="Q46" s="358">
        <v>0</v>
      </c>
    </row>
    <row r="47" spans="1:17" x14ac:dyDescent="0.35">
      <c r="B47" s="40" t="s">
        <v>234</v>
      </c>
      <c r="F47" s="33">
        <f>SUM(F46)</f>
        <v>0</v>
      </c>
      <c r="G47" s="33">
        <f t="shared" ref="G47:Q47" si="9">SUM(G46)</f>
        <v>0</v>
      </c>
      <c r="H47" s="33">
        <f t="shared" si="9"/>
        <v>0</v>
      </c>
      <c r="I47" s="33">
        <f t="shared" si="9"/>
        <v>0</v>
      </c>
      <c r="J47" s="33">
        <f t="shared" si="9"/>
        <v>0</v>
      </c>
      <c r="K47" s="33">
        <f t="shared" si="9"/>
        <v>0</v>
      </c>
      <c r="L47" s="33">
        <f t="shared" si="9"/>
        <v>0</v>
      </c>
      <c r="M47" s="33">
        <f t="shared" si="9"/>
        <v>0</v>
      </c>
      <c r="N47" s="33">
        <f t="shared" si="9"/>
        <v>0</v>
      </c>
      <c r="O47" s="33">
        <f t="shared" si="9"/>
        <v>0</v>
      </c>
      <c r="P47" s="33">
        <f t="shared" si="9"/>
        <v>0</v>
      </c>
      <c r="Q47" s="33">
        <f t="shared" si="9"/>
        <v>0</v>
      </c>
    </row>
    <row r="49" spans="1:17" x14ac:dyDescent="0.35">
      <c r="A49" s="26" t="s">
        <v>237</v>
      </c>
      <c r="F49" s="352">
        <v>338723</v>
      </c>
      <c r="G49" s="33">
        <f>G39+G43-G47</f>
        <v>338723</v>
      </c>
      <c r="H49" s="33">
        <f t="shared" ref="H49:Q49" si="10">H39+H43-H47</f>
        <v>338723</v>
      </c>
      <c r="I49" s="33">
        <f t="shared" si="10"/>
        <v>338723</v>
      </c>
      <c r="J49" s="33">
        <f t="shared" si="10"/>
        <v>338723</v>
      </c>
      <c r="K49" s="33">
        <f t="shared" si="10"/>
        <v>338723</v>
      </c>
      <c r="L49" s="33">
        <f t="shared" si="10"/>
        <v>338723</v>
      </c>
      <c r="M49" s="33">
        <f t="shared" si="10"/>
        <v>338723</v>
      </c>
      <c r="N49" s="33">
        <f t="shared" si="10"/>
        <v>338723</v>
      </c>
      <c r="O49" s="33">
        <f t="shared" si="10"/>
        <v>338723</v>
      </c>
      <c r="P49" s="33">
        <f t="shared" si="10"/>
        <v>338723</v>
      </c>
      <c r="Q49" s="33">
        <f t="shared" si="10"/>
        <v>338723</v>
      </c>
    </row>
    <row r="50" spans="1:17" ht="7.9" customHeight="1" x14ac:dyDescent="0.35"/>
    <row r="51" spans="1:17" x14ac:dyDescent="0.35">
      <c r="A51" s="26" t="s">
        <v>839</v>
      </c>
      <c r="F51" s="33">
        <f>AVERAGE(F39,F49)</f>
        <v>336976.70999999996</v>
      </c>
      <c r="G51" s="33">
        <f t="shared" ref="G51:Q51" si="11">AVERAGE(G39,G49)</f>
        <v>338723</v>
      </c>
      <c r="H51" s="33">
        <f t="shared" si="11"/>
        <v>338723</v>
      </c>
      <c r="I51" s="33">
        <f t="shared" si="11"/>
        <v>338723</v>
      </c>
      <c r="J51" s="33">
        <f t="shared" si="11"/>
        <v>338723</v>
      </c>
      <c r="K51" s="33">
        <f t="shared" si="11"/>
        <v>338723</v>
      </c>
      <c r="L51" s="33">
        <f t="shared" si="11"/>
        <v>338723</v>
      </c>
      <c r="M51" s="33">
        <f t="shared" si="11"/>
        <v>338723</v>
      </c>
      <c r="N51" s="33">
        <f t="shared" si="11"/>
        <v>338723</v>
      </c>
      <c r="O51" s="33">
        <f t="shared" si="11"/>
        <v>338723</v>
      </c>
      <c r="P51" s="33">
        <f t="shared" si="11"/>
        <v>338723</v>
      </c>
      <c r="Q51" s="33">
        <f t="shared" si="11"/>
        <v>338723</v>
      </c>
    </row>
    <row r="53" spans="1:17" x14ac:dyDescent="0.35">
      <c r="A53" s="26" t="s">
        <v>346</v>
      </c>
      <c r="F53" s="128">
        <f>F51*F55</f>
        <v>1684.8835499999998</v>
      </c>
      <c r="G53" s="128">
        <f t="shared" ref="G53:Q53" si="12">G51*G55</f>
        <v>1693.615</v>
      </c>
      <c r="H53" s="128">
        <f t="shared" si="12"/>
        <v>1693.615</v>
      </c>
      <c r="I53" s="128">
        <f t="shared" si="12"/>
        <v>2540.4225000000001</v>
      </c>
      <c r="J53" s="128">
        <f t="shared" si="12"/>
        <v>3387.23</v>
      </c>
      <c r="K53" s="128">
        <f t="shared" si="12"/>
        <v>5080.8450000000003</v>
      </c>
      <c r="L53" s="128">
        <f t="shared" si="12"/>
        <v>6774.46</v>
      </c>
      <c r="M53" s="128">
        <f t="shared" si="12"/>
        <v>6774.46</v>
      </c>
      <c r="N53" s="128">
        <f t="shared" si="12"/>
        <v>6774.46</v>
      </c>
      <c r="O53" s="128">
        <f t="shared" si="12"/>
        <v>6774.46</v>
      </c>
      <c r="P53" s="128">
        <f t="shared" si="12"/>
        <v>6774.46</v>
      </c>
      <c r="Q53" s="128">
        <f t="shared" si="12"/>
        <v>6774.46</v>
      </c>
    </row>
    <row r="54" spans="1:17" ht="10.9" customHeight="1" x14ac:dyDescent="0.35"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x14ac:dyDescent="0.35">
      <c r="A55" s="26" t="s">
        <v>843</v>
      </c>
      <c r="F55" s="359">
        <f>F33</f>
        <v>5.0000000000000001E-3</v>
      </c>
      <c r="G55" s="359">
        <f t="shared" ref="G55:Q55" si="13">G33</f>
        <v>5.0000000000000001E-3</v>
      </c>
      <c r="H55" s="359">
        <f t="shared" si="13"/>
        <v>5.0000000000000001E-3</v>
      </c>
      <c r="I55" s="359">
        <f t="shared" si="13"/>
        <v>7.4999999999999997E-3</v>
      </c>
      <c r="J55" s="359">
        <f t="shared" si="13"/>
        <v>0.01</v>
      </c>
      <c r="K55" s="359">
        <f t="shared" si="13"/>
        <v>1.4999999999999999E-2</v>
      </c>
      <c r="L55" s="359">
        <f t="shared" si="13"/>
        <v>0.02</v>
      </c>
      <c r="M55" s="359">
        <f t="shared" si="13"/>
        <v>0.02</v>
      </c>
      <c r="N55" s="359">
        <f t="shared" si="13"/>
        <v>0.02</v>
      </c>
      <c r="O55" s="359">
        <f t="shared" si="13"/>
        <v>0.02</v>
      </c>
      <c r="P55" s="359">
        <f t="shared" si="13"/>
        <v>0.02</v>
      </c>
      <c r="Q55" s="359">
        <f t="shared" si="13"/>
        <v>0.02</v>
      </c>
    </row>
    <row r="57" spans="1:17" x14ac:dyDescent="0.35">
      <c r="A57" s="26" t="s">
        <v>840</v>
      </c>
    </row>
    <row r="58" spans="1:17" x14ac:dyDescent="0.35">
      <c r="B58" s="26" t="s">
        <v>231</v>
      </c>
      <c r="F58" s="128">
        <f>F31</f>
        <v>14482.404475000001</v>
      </c>
      <c r="G58" s="128">
        <f t="shared" ref="G58:Q58" si="14">G31</f>
        <v>13715.802280793534</v>
      </c>
      <c r="H58" s="128">
        <f t="shared" si="14"/>
        <v>12414.474251160342</v>
      </c>
      <c r="I58" s="128">
        <f t="shared" si="14"/>
        <v>18394.233321477448</v>
      </c>
      <c r="J58" s="128">
        <f t="shared" si="14"/>
        <v>22867.97431915416</v>
      </c>
      <c r="K58" s="128">
        <f t="shared" si="14"/>
        <v>29865.106088414737</v>
      </c>
      <c r="L58" s="128">
        <f t="shared" si="14"/>
        <v>33896.526877319229</v>
      </c>
      <c r="M58" s="128">
        <f t="shared" si="14"/>
        <v>26160.373019026087</v>
      </c>
      <c r="N58" s="128">
        <f t="shared" si="14"/>
        <v>23747.190396651014</v>
      </c>
      <c r="O58" s="128">
        <f t="shared" si="14"/>
        <v>25902.254224289038</v>
      </c>
      <c r="P58" s="128">
        <f t="shared" si="14"/>
        <v>25897.856935023876</v>
      </c>
      <c r="Q58" s="128">
        <f t="shared" si="14"/>
        <v>27324.672833268443</v>
      </c>
    </row>
    <row r="59" spans="1:17" x14ac:dyDescent="0.35">
      <c r="B59" s="26" t="s">
        <v>837</v>
      </c>
      <c r="F59" s="35">
        <f>F53</f>
        <v>1684.8835499999998</v>
      </c>
      <c r="G59" s="35">
        <f t="shared" ref="G59:Q59" si="15">G53</f>
        <v>1693.615</v>
      </c>
      <c r="H59" s="35">
        <f t="shared" si="15"/>
        <v>1693.615</v>
      </c>
      <c r="I59" s="35">
        <f t="shared" si="15"/>
        <v>2540.4225000000001</v>
      </c>
      <c r="J59" s="35">
        <f t="shared" si="15"/>
        <v>3387.23</v>
      </c>
      <c r="K59" s="35">
        <f t="shared" si="15"/>
        <v>5080.8450000000003</v>
      </c>
      <c r="L59" s="35">
        <f t="shared" si="15"/>
        <v>6774.46</v>
      </c>
      <c r="M59" s="35">
        <f t="shared" si="15"/>
        <v>6774.46</v>
      </c>
      <c r="N59" s="35">
        <f t="shared" si="15"/>
        <v>6774.46</v>
      </c>
      <c r="O59" s="35">
        <f t="shared" si="15"/>
        <v>6774.46</v>
      </c>
      <c r="P59" s="35">
        <f t="shared" si="15"/>
        <v>6774.46</v>
      </c>
      <c r="Q59" s="35">
        <f t="shared" si="15"/>
        <v>6774.46</v>
      </c>
    </row>
    <row r="60" spans="1:17" x14ac:dyDescent="0.35">
      <c r="A60" s="26" t="s">
        <v>840</v>
      </c>
      <c r="F60" s="128">
        <f>SUM(F58:F59)</f>
        <v>16167.288025000002</v>
      </c>
      <c r="G60" s="128">
        <f t="shared" ref="G60:Q60" si="16">SUM(G58:G59)</f>
        <v>15409.417280793534</v>
      </c>
      <c r="H60" s="128">
        <f t="shared" si="16"/>
        <v>14108.089251160342</v>
      </c>
      <c r="I60" s="128">
        <f t="shared" si="16"/>
        <v>20934.655821477449</v>
      </c>
      <c r="J60" s="128">
        <f t="shared" si="16"/>
        <v>26255.20431915416</v>
      </c>
      <c r="K60" s="128">
        <f t="shared" si="16"/>
        <v>34945.951088414738</v>
      </c>
      <c r="L60" s="128">
        <f t="shared" si="16"/>
        <v>40670.986877319228</v>
      </c>
      <c r="M60" s="128">
        <f t="shared" si="16"/>
        <v>32934.833019026089</v>
      </c>
      <c r="N60" s="128">
        <f t="shared" si="16"/>
        <v>30521.650396651014</v>
      </c>
      <c r="O60" s="128">
        <f t="shared" si="16"/>
        <v>32676.714224289037</v>
      </c>
      <c r="P60" s="128">
        <f t="shared" si="16"/>
        <v>32672.316935023875</v>
      </c>
      <c r="Q60" s="128">
        <f t="shared" si="16"/>
        <v>34099.132833268442</v>
      </c>
    </row>
    <row r="63" spans="1:17" x14ac:dyDescent="0.35">
      <c r="A63" s="84">
        <v>-1</v>
      </c>
      <c r="B63" s="26" t="s">
        <v>410</v>
      </c>
    </row>
    <row r="64" spans="1:17" x14ac:dyDescent="0.35">
      <c r="A64" s="84">
        <v>-2</v>
      </c>
      <c r="B64" s="26" t="s">
        <v>1086</v>
      </c>
    </row>
  </sheetData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L67"/>
  <sheetViews>
    <sheetView zoomScale="75" zoomScaleNormal="75" workbookViewId="0">
      <selection activeCell="E6" sqref="E6"/>
    </sheetView>
  </sheetViews>
  <sheetFormatPr defaultColWidth="8.7265625" defaultRowHeight="15.5" x14ac:dyDescent="0.35"/>
  <cols>
    <col min="1" max="1" width="3.26953125" style="26" customWidth="1"/>
    <col min="2" max="2" width="14.26953125" style="26" customWidth="1"/>
    <col min="3" max="3" width="21.7265625" style="26" customWidth="1"/>
    <col min="4" max="4" width="13.7265625" style="26" customWidth="1"/>
    <col min="5" max="5" width="12.7265625" style="26" bestFit="1" customWidth="1"/>
    <col min="6" max="6" width="6.7265625" style="26" customWidth="1"/>
    <col min="7" max="7" width="2.7265625" style="26" customWidth="1"/>
    <col min="8" max="8" width="8.7265625" style="26"/>
    <col min="9" max="9" width="13.7265625" style="26" customWidth="1"/>
    <col min="10" max="10" width="15" style="26" customWidth="1"/>
    <col min="11" max="11" width="14.7265625" style="26" customWidth="1"/>
    <col min="12" max="12" width="12.26953125" style="26" customWidth="1"/>
    <col min="13" max="16384" width="8.7265625" style="26"/>
  </cols>
  <sheetData>
    <row r="1" spans="1:12" x14ac:dyDescent="0.35">
      <c r="A1" s="388" t="s">
        <v>960</v>
      </c>
      <c r="B1" s="389"/>
      <c r="C1" s="390"/>
      <c r="D1" s="391"/>
      <c r="E1" s="391"/>
      <c r="F1" s="391"/>
      <c r="G1" s="391"/>
      <c r="H1" s="400"/>
      <c r="I1" s="400"/>
    </row>
    <row r="2" spans="1:12" x14ac:dyDescent="0.35">
      <c r="A2" s="389"/>
      <c r="B2" s="389"/>
      <c r="C2" s="389"/>
      <c r="D2" s="389"/>
      <c r="E2" s="389"/>
      <c r="F2" s="389"/>
      <c r="G2" s="389"/>
    </row>
    <row r="3" spans="1:12" x14ac:dyDescent="0.35">
      <c r="A3" s="389"/>
      <c r="B3" s="389"/>
      <c r="C3" s="389"/>
      <c r="D3" s="389"/>
      <c r="E3" s="398" t="s">
        <v>37</v>
      </c>
      <c r="F3" s="389"/>
      <c r="G3" s="389"/>
      <c r="H3" s="66" t="s">
        <v>969</v>
      </c>
    </row>
    <row r="4" spans="1:12" x14ac:dyDescent="0.35">
      <c r="A4" s="392" t="s">
        <v>956</v>
      </c>
      <c r="B4" s="389"/>
      <c r="C4" s="389"/>
      <c r="D4" s="389"/>
      <c r="E4" s="389"/>
      <c r="F4" s="389"/>
      <c r="G4" s="389"/>
    </row>
    <row r="5" spans="1:12" ht="13.9" customHeight="1" x14ac:dyDescent="0.35">
      <c r="A5" s="392"/>
      <c r="B5" s="389"/>
      <c r="C5" s="389"/>
      <c r="D5" s="389"/>
      <c r="E5" s="389"/>
      <c r="F5" s="389"/>
      <c r="G5" s="389"/>
      <c r="I5" s="29" t="s">
        <v>970</v>
      </c>
      <c r="J5" s="29" t="s">
        <v>971</v>
      </c>
      <c r="K5" s="29" t="s">
        <v>972</v>
      </c>
      <c r="L5" s="29" t="s">
        <v>33</v>
      </c>
    </row>
    <row r="6" spans="1:12" x14ac:dyDescent="0.35">
      <c r="A6" s="389" t="s">
        <v>973</v>
      </c>
      <c r="B6" s="389"/>
      <c r="C6" s="389"/>
      <c r="D6" s="389"/>
      <c r="E6" s="393">
        <f>Summary!H36</f>
        <v>0.16951945087259782</v>
      </c>
      <c r="F6" s="389"/>
      <c r="G6" s="389"/>
      <c r="I6" s="182">
        <f>Impacts!C7</f>
        <v>0</v>
      </c>
      <c r="J6" s="117">
        <f>Impacts!H7</f>
        <v>17.11</v>
      </c>
      <c r="K6" s="117">
        <f>Impacts!G245</f>
        <v>9.1098976322656817</v>
      </c>
      <c r="L6" s="399">
        <f>(K6-J6)/J6</f>
        <v>-0.46756881167354286</v>
      </c>
    </row>
    <row r="7" spans="1:12" x14ac:dyDescent="0.35">
      <c r="A7" s="389"/>
      <c r="B7" s="389"/>
      <c r="C7" s="389"/>
      <c r="D7" s="389"/>
      <c r="E7" s="394"/>
      <c r="F7" s="389"/>
      <c r="G7" s="389"/>
      <c r="I7" s="182">
        <f>Impacts!C8</f>
        <v>499.5</v>
      </c>
      <c r="J7" s="117">
        <f>Impacts!H8</f>
        <v>17.11</v>
      </c>
      <c r="K7" s="117">
        <f>Impacts!G246</f>
        <v>12.326580204576263</v>
      </c>
      <c r="L7" s="399">
        <f t="shared" ref="L7:L65" si="0">(K7-J7)/J7</f>
        <v>-0.27956866133394132</v>
      </c>
    </row>
    <row r="8" spans="1:12" x14ac:dyDescent="0.35">
      <c r="A8" s="389" t="s">
        <v>957</v>
      </c>
      <c r="B8" s="389"/>
      <c r="C8" s="389"/>
      <c r="D8" s="389"/>
      <c r="E8" s="389"/>
      <c r="F8" s="389"/>
      <c r="G8" s="389"/>
      <c r="I8" s="182">
        <f>Impacts!C9</f>
        <v>1499.5</v>
      </c>
      <c r="J8" s="117">
        <f>Impacts!H9</f>
        <v>17.11</v>
      </c>
      <c r="K8" s="117">
        <f>Impacts!G247</f>
        <v>18.766385154147002</v>
      </c>
      <c r="L8" s="399">
        <f t="shared" si="0"/>
        <v>9.6808016022618529E-2</v>
      </c>
    </row>
    <row r="9" spans="1:12" x14ac:dyDescent="0.35">
      <c r="A9" s="389"/>
      <c r="B9" s="389" t="s">
        <v>961</v>
      </c>
      <c r="C9" s="389"/>
      <c r="D9" s="389"/>
      <c r="E9" s="395">
        <f>Reserves!G25</f>
        <v>2743160.4561587069</v>
      </c>
      <c r="F9" s="389"/>
      <c r="G9" s="389"/>
      <c r="I9" s="182">
        <f>Impacts!C10</f>
        <v>2499.5</v>
      </c>
      <c r="J9" s="117">
        <f>Impacts!H10</f>
        <v>19.897209999999998</v>
      </c>
      <c r="K9" s="117">
        <f>Impacts!G248</f>
        <v>25.206190103717734</v>
      </c>
      <c r="L9" s="399">
        <f t="shared" si="0"/>
        <v>0.26682032826299451</v>
      </c>
    </row>
    <row r="10" spans="1:12" x14ac:dyDescent="0.35">
      <c r="A10" s="389"/>
      <c r="B10" s="389" t="s">
        <v>958</v>
      </c>
      <c r="C10" s="389"/>
      <c r="D10" s="389"/>
      <c r="E10" s="396">
        <f>Reserves!G27</f>
        <v>338.58519830235878</v>
      </c>
      <c r="F10" s="389"/>
      <c r="G10" s="389"/>
      <c r="I10" s="182">
        <f>Impacts!C11</f>
        <v>3499.5</v>
      </c>
      <c r="J10" s="117">
        <f>Impacts!H11</f>
        <v>25.477209999999999</v>
      </c>
      <c r="K10" s="117">
        <f>Impacts!G249</f>
        <v>31.64599505328847</v>
      </c>
      <c r="L10" s="399">
        <f t="shared" si="0"/>
        <v>0.24212953668350931</v>
      </c>
    </row>
    <row r="11" spans="1:12" x14ac:dyDescent="0.35">
      <c r="A11" s="389"/>
      <c r="B11" s="389" t="s">
        <v>959</v>
      </c>
      <c r="C11" s="389"/>
      <c r="D11" s="389"/>
      <c r="E11" s="396">
        <f>Reserves!G29</f>
        <v>300.10131203296504</v>
      </c>
      <c r="F11" s="389"/>
      <c r="G11" s="389"/>
      <c r="I11" s="182">
        <f>Impacts!C12</f>
        <v>4499.5</v>
      </c>
      <c r="J11" s="117">
        <f>Impacts!H12</f>
        <v>31.057210000000001</v>
      </c>
      <c r="K11" s="117">
        <f>Impacts!G250</f>
        <v>38.085800002859209</v>
      </c>
      <c r="L11" s="399">
        <f t="shared" si="0"/>
        <v>0.22631105636530799</v>
      </c>
    </row>
    <row r="12" spans="1:12" x14ac:dyDescent="0.35">
      <c r="A12" s="389"/>
      <c r="B12" s="389"/>
      <c r="C12" s="389"/>
      <c r="D12" s="389"/>
      <c r="E12" s="389"/>
      <c r="F12" s="389"/>
      <c r="G12" s="389"/>
      <c r="I12" s="182">
        <f>Impacts!C13</f>
        <v>5499.5</v>
      </c>
      <c r="J12" s="117">
        <f>Impacts!H13</f>
        <v>36.637209999999996</v>
      </c>
      <c r="K12" s="117">
        <f>Impacts!G251</f>
        <v>44.525604952429944</v>
      </c>
      <c r="L12" s="399">
        <f t="shared" si="0"/>
        <v>0.2153110171989065</v>
      </c>
    </row>
    <row r="13" spans="1:12" x14ac:dyDescent="0.35">
      <c r="A13" s="389" t="s">
        <v>492</v>
      </c>
      <c r="B13" s="389"/>
      <c r="C13" s="389"/>
      <c r="D13" s="389"/>
      <c r="E13" s="395"/>
      <c r="F13" s="389"/>
      <c r="G13" s="389"/>
      <c r="I13" s="182">
        <f>Impacts!C14</f>
        <v>6499.5</v>
      </c>
      <c r="J13" s="117">
        <f>Impacts!H14</f>
        <v>42.217210000000001</v>
      </c>
      <c r="K13" s="117">
        <f>Impacts!G252</f>
        <v>50.965409902000673</v>
      </c>
      <c r="L13" s="399">
        <f t="shared" si="0"/>
        <v>0.20721880725895128</v>
      </c>
    </row>
    <row r="14" spans="1:12" x14ac:dyDescent="0.35">
      <c r="A14" s="389"/>
      <c r="B14" s="389" t="s">
        <v>424</v>
      </c>
      <c r="C14" s="389"/>
      <c r="D14" s="389"/>
      <c r="E14" s="395">
        <f>Proof!F11</f>
        <v>3371082.18</v>
      </c>
      <c r="F14" s="389"/>
      <c r="G14" s="389"/>
      <c r="I14" s="182">
        <f>Impacts!C15</f>
        <v>7499.5</v>
      </c>
      <c r="J14" s="117">
        <f>Impacts!H15</f>
        <v>47.79721</v>
      </c>
      <c r="K14" s="117">
        <f>Impacts!G253</f>
        <v>57.405214851571415</v>
      </c>
      <c r="L14" s="399">
        <f t="shared" si="0"/>
        <v>0.20101601854106999</v>
      </c>
    </row>
    <row r="15" spans="1:12" x14ac:dyDescent="0.35">
      <c r="A15" s="389"/>
      <c r="B15" s="389" t="s">
        <v>962</v>
      </c>
      <c r="C15" s="389"/>
      <c r="D15" s="389"/>
      <c r="E15" s="397">
        <f>Proof!F15</f>
        <v>211378.29</v>
      </c>
      <c r="F15" s="389"/>
      <c r="G15" s="389"/>
      <c r="I15" s="182">
        <f>Impacts!C16</f>
        <v>8499.5</v>
      </c>
      <c r="J15" s="117">
        <f>Impacts!H16</f>
        <v>53.377209999999998</v>
      </c>
      <c r="K15" s="117">
        <f>Impacts!G254</f>
        <v>63.845019801142143</v>
      </c>
      <c r="L15" s="399">
        <f t="shared" si="0"/>
        <v>0.19611009644644495</v>
      </c>
    </row>
    <row r="16" spans="1:12" x14ac:dyDescent="0.35">
      <c r="B16" s="389" t="s">
        <v>963</v>
      </c>
      <c r="E16" s="35">
        <f>Proof!F17</f>
        <v>0</v>
      </c>
      <c r="I16" s="182">
        <f>Impacts!C17</f>
        <v>9499.5</v>
      </c>
      <c r="J16" s="117">
        <f>Impacts!H17</f>
        <v>58.957209999999996</v>
      </c>
      <c r="K16" s="117">
        <f>Impacts!G255</f>
        <v>70.284824750712886</v>
      </c>
      <c r="L16" s="399">
        <f t="shared" si="0"/>
        <v>0.19213281548962188</v>
      </c>
    </row>
    <row r="17" spans="1:12" ht="14.65" customHeight="1" x14ac:dyDescent="0.35">
      <c r="I17" s="182">
        <f>Impacts!C18</f>
        <v>10499.5</v>
      </c>
      <c r="J17" s="117">
        <f>Impacts!H18</f>
        <v>64.537209999999988</v>
      </c>
      <c r="K17" s="117">
        <f>Impacts!G256</f>
        <v>76.724629700283614</v>
      </c>
      <c r="L17" s="399">
        <f t="shared" si="0"/>
        <v>0.18884329986194986</v>
      </c>
    </row>
    <row r="18" spans="1:12" x14ac:dyDescent="0.35">
      <c r="A18" s="26" t="s">
        <v>964</v>
      </c>
      <c r="E18" s="33">
        <f>SUM(E14:E17)</f>
        <v>3582460.47</v>
      </c>
      <c r="I18" s="182">
        <f>Impacts!C19</f>
        <v>11499.5</v>
      </c>
      <c r="J18" s="117">
        <f>Impacts!H19</f>
        <v>70.11721</v>
      </c>
      <c r="K18" s="117">
        <f>Impacts!G257</f>
        <v>83.164434649854357</v>
      </c>
      <c r="L18" s="399">
        <f t="shared" si="0"/>
        <v>0.18607735033744721</v>
      </c>
    </row>
    <row r="19" spans="1:12" x14ac:dyDescent="0.35">
      <c r="I19" s="182">
        <f>Impacts!C20</f>
        <v>12499.5</v>
      </c>
      <c r="J19" s="117">
        <f>Impacts!H20</f>
        <v>75.697209999999998</v>
      </c>
      <c r="K19" s="117">
        <f>Impacts!G258</f>
        <v>89.604239599425085</v>
      </c>
      <c r="L19" s="399">
        <f t="shared" si="0"/>
        <v>0.18371918330180317</v>
      </c>
    </row>
    <row r="20" spans="1:12" x14ac:dyDescent="0.35">
      <c r="A20" s="26" t="s">
        <v>965</v>
      </c>
      <c r="E20" s="33"/>
      <c r="I20" s="182">
        <f>Impacts!C21</f>
        <v>13499.5</v>
      </c>
      <c r="J20" s="117">
        <f>Impacts!H21</f>
        <v>81.277209999999997</v>
      </c>
      <c r="K20" s="117">
        <f>Impacts!G259</f>
        <v>96.044044548995828</v>
      </c>
      <c r="L20" s="399">
        <f t="shared" si="0"/>
        <v>0.18168481114196502</v>
      </c>
    </row>
    <row r="21" spans="1:12" x14ac:dyDescent="0.35">
      <c r="B21" s="26" t="s">
        <v>6</v>
      </c>
      <c r="E21" s="33">
        <f>Summary!H10</f>
        <v>2729854.8076825868</v>
      </c>
      <c r="I21" s="182">
        <f>Impacts!C22</f>
        <v>14499.5</v>
      </c>
      <c r="J21" s="117">
        <f>Impacts!H22</f>
        <v>86.857209999999995</v>
      </c>
      <c r="K21" s="117">
        <f>Impacts!G260</f>
        <v>102.48384949856656</v>
      </c>
      <c r="L21" s="399">
        <f t="shared" si="0"/>
        <v>0.17991182883454998</v>
      </c>
    </row>
    <row r="22" spans="1:12" x14ac:dyDescent="0.35">
      <c r="B22" s="26" t="s">
        <v>366</v>
      </c>
      <c r="E22" s="34">
        <f>Summary!H8</f>
        <v>348954.96666666667</v>
      </c>
      <c r="I22" s="182">
        <f>Impacts!C23</f>
        <v>19999.5</v>
      </c>
      <c r="J22" s="117">
        <f>Impacts!H23</f>
        <v>111.997765</v>
      </c>
      <c r="K22" s="117">
        <f>Impacts!G261</f>
        <v>137.90277672120561</v>
      </c>
      <c r="L22" s="399">
        <f t="shared" si="0"/>
        <v>0.2312993631721634</v>
      </c>
    </row>
    <row r="23" spans="1:12" x14ac:dyDescent="0.35">
      <c r="B23" s="26" t="s">
        <v>106</v>
      </c>
      <c r="E23" s="35">
        <f>Summary!H11</f>
        <v>1125655.0014785714</v>
      </c>
      <c r="I23" s="182">
        <f>Impacts!C24</f>
        <v>29999.5</v>
      </c>
      <c r="J23" s="117">
        <f>Impacts!H24</f>
        <v>156.697765</v>
      </c>
      <c r="K23" s="117">
        <f>Impacts!G262</f>
        <v>202.30082621691295</v>
      </c>
      <c r="L23" s="399">
        <f t="shared" si="0"/>
        <v>0.29102560088788088</v>
      </c>
    </row>
    <row r="24" spans="1:12" ht="15" customHeight="1" x14ac:dyDescent="0.35">
      <c r="I24" s="182">
        <f>Impacts!C25</f>
        <v>39999.5</v>
      </c>
      <c r="J24" s="117">
        <f>Impacts!H25</f>
        <v>201.39776499999999</v>
      </c>
      <c r="K24" s="117">
        <f>Impacts!G263</f>
        <v>266.69887571262029</v>
      </c>
      <c r="L24" s="399">
        <f t="shared" si="0"/>
        <v>0.32423950043646366</v>
      </c>
    </row>
    <row r="25" spans="1:12" x14ac:dyDescent="0.35">
      <c r="A25" s="26" t="s">
        <v>344</v>
      </c>
      <c r="E25" s="33">
        <f>SUM(E21:E24)</f>
        <v>4204464.7758278251</v>
      </c>
      <c r="I25" s="182">
        <f>Impacts!C26</f>
        <v>49999.5</v>
      </c>
      <c r="J25" s="117">
        <f>Impacts!H26</f>
        <v>246.09776499999998</v>
      </c>
      <c r="K25" s="117">
        <f>Impacts!G264</f>
        <v>331.09692520832766</v>
      </c>
      <c r="L25" s="399">
        <f t="shared" si="0"/>
        <v>0.34538777793584469</v>
      </c>
    </row>
    <row r="26" spans="1:12" x14ac:dyDescent="0.35">
      <c r="I26" s="182">
        <f>Impacts!C27</f>
        <v>59999.5</v>
      </c>
      <c r="J26" s="117">
        <f>Impacts!H27</f>
        <v>290.79776499999997</v>
      </c>
      <c r="K26" s="117">
        <f>Impacts!G265</f>
        <v>395.49497470403503</v>
      </c>
      <c r="L26" s="399">
        <f t="shared" si="0"/>
        <v>0.360034437348702</v>
      </c>
    </row>
    <row r="27" spans="1:12" x14ac:dyDescent="0.35">
      <c r="A27" s="26" t="s">
        <v>976</v>
      </c>
      <c r="E27" s="290">
        <f>Proof!F61</f>
        <v>2.3666424378927009</v>
      </c>
      <c r="I27" s="182">
        <f>Impacts!C28</f>
        <v>69999.5</v>
      </c>
      <c r="J27" s="117">
        <f>Impacts!H28</f>
        <v>335.49776500000002</v>
      </c>
      <c r="K27" s="117">
        <f>Impacts!G266</f>
        <v>459.8930241997424</v>
      </c>
      <c r="L27" s="399">
        <f t="shared" si="0"/>
        <v>0.37077820533243305</v>
      </c>
    </row>
    <row r="28" spans="1:12" x14ac:dyDescent="0.35">
      <c r="I28" s="182">
        <f>Impacts!C29</f>
        <v>79999.5</v>
      </c>
      <c r="J28" s="117">
        <f>Impacts!H29</f>
        <v>380.197765</v>
      </c>
      <c r="K28" s="117">
        <f>Impacts!G267</f>
        <v>524.29107369544965</v>
      </c>
      <c r="L28" s="399">
        <f t="shared" si="0"/>
        <v>0.37899567530453432</v>
      </c>
    </row>
    <row r="29" spans="1:12" x14ac:dyDescent="0.35">
      <c r="A29" s="66" t="s">
        <v>966</v>
      </c>
      <c r="D29" s="29" t="s">
        <v>429</v>
      </c>
      <c r="E29" s="29" t="s">
        <v>430</v>
      </c>
      <c r="I29" s="182">
        <f>Impacts!C30</f>
        <v>89999.5</v>
      </c>
      <c r="J29" s="117">
        <f>Impacts!H30</f>
        <v>424.89776499999999</v>
      </c>
      <c r="K29" s="117">
        <f>Impacts!G268</f>
        <v>588.68912319115702</v>
      </c>
      <c r="L29" s="399">
        <f t="shared" si="0"/>
        <v>0.38548416038657446</v>
      </c>
    </row>
    <row r="30" spans="1:12" x14ac:dyDescent="0.35">
      <c r="A30" s="26" t="s">
        <v>967</v>
      </c>
      <c r="D30" s="117">
        <f>'Rate Calculations'!F7</f>
        <v>17.11</v>
      </c>
      <c r="E30" s="117"/>
      <c r="I30" s="182">
        <f>Impacts!C31</f>
        <v>99999.5</v>
      </c>
      <c r="J30" s="117">
        <f>Impacts!H31</f>
        <v>469.59776499999998</v>
      </c>
      <c r="K30" s="117">
        <f>Impacts!G269</f>
        <v>653.08717268686439</v>
      </c>
      <c r="L30" s="399">
        <f t="shared" si="0"/>
        <v>0.39073739562381526</v>
      </c>
    </row>
    <row r="31" spans="1:12" x14ac:dyDescent="0.35">
      <c r="A31" s="26" t="s">
        <v>977</v>
      </c>
      <c r="E31" s="117">
        <f>'Rate Calculations'!F39</f>
        <v>9.1098976322656817</v>
      </c>
      <c r="I31" s="182">
        <f>Impacts!C32</f>
        <v>109999.5</v>
      </c>
      <c r="J31" s="117">
        <f>Impacts!H32</f>
        <v>514.29776500000003</v>
      </c>
      <c r="K31" s="117">
        <f>Impacts!G270</f>
        <v>717.48522218257176</v>
      </c>
      <c r="L31" s="399">
        <f t="shared" si="0"/>
        <v>0.39507746486623702</v>
      </c>
    </row>
    <row r="32" spans="1:12" x14ac:dyDescent="0.35">
      <c r="I32" s="182">
        <f>Impacts!C33</f>
        <v>119999.5</v>
      </c>
      <c r="J32" s="117">
        <f>Impacts!H33</f>
        <v>558.99776499999996</v>
      </c>
      <c r="K32" s="117">
        <f>Impacts!G271</f>
        <v>781.88327167827913</v>
      </c>
      <c r="L32" s="399">
        <f t="shared" si="0"/>
        <v>0.39872343081421657</v>
      </c>
    </row>
    <row r="33" spans="1:12" x14ac:dyDescent="0.35">
      <c r="I33" s="182">
        <f>Impacts!C34</f>
        <v>129999.5</v>
      </c>
      <c r="J33" s="117">
        <f>Impacts!H34</f>
        <v>603.697765</v>
      </c>
      <c r="K33" s="117">
        <f>Impacts!G272</f>
        <v>846.2813211739865</v>
      </c>
      <c r="L33" s="399">
        <f t="shared" si="0"/>
        <v>0.40182947534017538</v>
      </c>
    </row>
    <row r="34" spans="1:12" x14ac:dyDescent="0.35">
      <c r="A34" s="26" t="s">
        <v>968</v>
      </c>
      <c r="E34" s="117">
        <f>'Rate Calculations'!F45</f>
        <v>6.4398049495707355</v>
      </c>
      <c r="I34" s="182">
        <f>Impacts!C35</f>
        <v>139999.5</v>
      </c>
      <c r="J34" s="117">
        <f>Impacts!H35</f>
        <v>648.39776500000005</v>
      </c>
      <c r="K34" s="117">
        <f>Impacts!G273</f>
        <v>910.67937066969387</v>
      </c>
      <c r="L34" s="399">
        <f t="shared" si="0"/>
        <v>0.40450726363884643</v>
      </c>
    </row>
    <row r="35" spans="1:12" x14ac:dyDescent="0.35">
      <c r="B35" s="26" t="s">
        <v>286</v>
      </c>
      <c r="D35" s="117">
        <f>'Rate Calculations'!F13</f>
        <v>5.58</v>
      </c>
      <c r="E35" s="117"/>
      <c r="I35" s="182">
        <f>Impacts!C36</f>
        <v>149999.5</v>
      </c>
      <c r="J35" s="117">
        <f>Impacts!H36</f>
        <v>693.09776499999998</v>
      </c>
      <c r="K35" s="117">
        <f>Impacts!G274</f>
        <v>975.07742016540124</v>
      </c>
      <c r="L35" s="399">
        <f t="shared" si="0"/>
        <v>0.40683965438180464</v>
      </c>
    </row>
    <row r="36" spans="1:12" x14ac:dyDescent="0.35">
      <c r="B36" s="26" t="s">
        <v>287</v>
      </c>
      <c r="D36" s="117">
        <f>'Rate Calculations'!F14</f>
        <v>4.47</v>
      </c>
      <c r="E36" s="117"/>
      <c r="I36" s="182">
        <f>Impacts!C37</f>
        <v>159999.5</v>
      </c>
      <c r="J36" s="117">
        <f>Impacts!H37</f>
        <v>737.79776500000003</v>
      </c>
      <c r="K36" s="117">
        <f>Impacts!G275</f>
        <v>1039.4754696611087</v>
      </c>
      <c r="L36" s="399">
        <f t="shared" si="0"/>
        <v>0.40888942603547829</v>
      </c>
    </row>
    <row r="37" spans="1:12" x14ac:dyDescent="0.35">
      <c r="I37" s="182">
        <f>Impacts!C38</f>
        <v>169999.5</v>
      </c>
      <c r="J37" s="117">
        <f>Impacts!H38</f>
        <v>782.49776499999996</v>
      </c>
      <c r="K37" s="117">
        <f>Impacts!G276</f>
        <v>1103.873519156816</v>
      </c>
      <c r="L37" s="399">
        <f t="shared" si="0"/>
        <v>0.4107050122460299</v>
      </c>
    </row>
    <row r="38" spans="1:12" x14ac:dyDescent="0.35">
      <c r="I38" s="182">
        <f>Impacts!C39</f>
        <v>179999.5</v>
      </c>
      <c r="J38" s="117">
        <f>Impacts!H39</f>
        <v>827.197765</v>
      </c>
      <c r="K38" s="117">
        <f>Impacts!G277</f>
        <v>1168.2715686525235</v>
      </c>
      <c r="L38" s="399">
        <f t="shared" si="0"/>
        <v>0.41232437765656133</v>
      </c>
    </row>
    <row r="39" spans="1:12" x14ac:dyDescent="0.35">
      <c r="I39" s="182">
        <f>Impacts!C40</f>
        <v>189999.5</v>
      </c>
      <c r="J39" s="117">
        <f>Impacts!H40</f>
        <v>871.89776499999994</v>
      </c>
      <c r="K39" s="117">
        <f>Impacts!G278</f>
        <v>1232.6696181482307</v>
      </c>
      <c r="L39" s="399">
        <f t="shared" si="0"/>
        <v>0.41377770150406429</v>
      </c>
    </row>
    <row r="40" spans="1:12" x14ac:dyDescent="0.35">
      <c r="I40" s="182">
        <f>Impacts!C41</f>
        <v>199999.5</v>
      </c>
      <c r="J40" s="117">
        <f>Impacts!H41</f>
        <v>916.59776499999998</v>
      </c>
      <c r="K40" s="117">
        <f>Impacts!G279</f>
        <v>1297.0676676439382</v>
      </c>
      <c r="L40" s="399">
        <f t="shared" si="0"/>
        <v>0.41508927598567535</v>
      </c>
    </row>
    <row r="41" spans="1:12" x14ac:dyDescent="0.35">
      <c r="I41" s="182">
        <f>Impacts!C42</f>
        <v>209999.5</v>
      </c>
      <c r="J41" s="117">
        <f>Impacts!H42</f>
        <v>961.29776500000003</v>
      </c>
      <c r="K41" s="117">
        <f>Impacts!G280</f>
        <v>1361.4657171396454</v>
      </c>
      <c r="L41" s="399">
        <f t="shared" si="0"/>
        <v>0.4162788749848445</v>
      </c>
    </row>
    <row r="42" spans="1:12" x14ac:dyDescent="0.35">
      <c r="I42" s="182">
        <f>Impacts!C43</f>
        <v>219999.5</v>
      </c>
      <c r="J42" s="117">
        <f>Impacts!H43</f>
        <v>1005.997765</v>
      </c>
      <c r="K42" s="117">
        <f>Impacts!G281</f>
        <v>1425.8637666353529</v>
      </c>
      <c r="L42" s="399">
        <f t="shared" si="0"/>
        <v>0.41736275789375438</v>
      </c>
    </row>
    <row r="43" spans="1:12" x14ac:dyDescent="0.35">
      <c r="I43" s="182">
        <f>Impacts!C44</f>
        <v>229999.5</v>
      </c>
      <c r="J43" s="117">
        <f>Impacts!H44</f>
        <v>1050.6977649999999</v>
      </c>
      <c r="K43" s="117">
        <f>Impacts!G282</f>
        <v>1490.2618161310602</v>
      </c>
      <c r="L43" s="399">
        <f t="shared" si="0"/>
        <v>0.41835441720108762</v>
      </c>
    </row>
    <row r="44" spans="1:12" x14ac:dyDescent="0.35">
      <c r="I44" s="182">
        <f>Impacts!C45</f>
        <v>239999.5</v>
      </c>
      <c r="J44" s="117">
        <f>Impacts!H45</f>
        <v>1095.3977649999999</v>
      </c>
      <c r="K44" s="117">
        <f>Impacts!G283</f>
        <v>1554.6598656267677</v>
      </c>
      <c r="L44" s="399">
        <f t="shared" si="0"/>
        <v>0.41926514303849044</v>
      </c>
    </row>
    <row r="45" spans="1:12" x14ac:dyDescent="0.35">
      <c r="I45" s="182">
        <f>Impacts!C46</f>
        <v>249999.5</v>
      </c>
      <c r="J45" s="117">
        <f>Impacts!H46</f>
        <v>1140.0977649999998</v>
      </c>
      <c r="K45" s="117">
        <f>Impacts!G284</f>
        <v>1619.0579151224749</v>
      </c>
      <c r="L45" s="399">
        <f t="shared" si="0"/>
        <v>0.4201044549214385</v>
      </c>
    </row>
    <row r="46" spans="1:12" x14ac:dyDescent="0.35">
      <c r="I46" s="182">
        <f>Impacts!C47</f>
        <v>259999.5</v>
      </c>
      <c r="J46" s="117">
        <f>Impacts!H47</f>
        <v>1184.7977649999998</v>
      </c>
      <c r="K46" s="117">
        <f>Impacts!G285</f>
        <v>1683.4559646181822</v>
      </c>
      <c r="L46" s="399">
        <f t="shared" si="0"/>
        <v>0.42088043575789702</v>
      </c>
    </row>
    <row r="47" spans="1:12" x14ac:dyDescent="0.35">
      <c r="I47" s="182">
        <f>Impacts!C48</f>
        <v>269999.5</v>
      </c>
      <c r="J47" s="117">
        <f>Impacts!H48</f>
        <v>1229.4977649999998</v>
      </c>
      <c r="K47" s="117">
        <f>Impacts!G286</f>
        <v>1747.8540141138897</v>
      </c>
      <c r="L47" s="399">
        <f t="shared" si="0"/>
        <v>0.42159999299705103</v>
      </c>
    </row>
    <row r="48" spans="1:12" x14ac:dyDescent="0.35">
      <c r="I48" s="182">
        <f>Impacts!C49</f>
        <v>279999.5</v>
      </c>
      <c r="J48" s="117">
        <f>Impacts!H49</f>
        <v>1274.1977649999999</v>
      </c>
      <c r="K48" s="117">
        <f>Impacts!G287</f>
        <v>1812.2520636095969</v>
      </c>
      <c r="L48" s="399">
        <f t="shared" si="0"/>
        <v>0.42226906481004312</v>
      </c>
    </row>
    <row r="49" spans="9:12" x14ac:dyDescent="0.35">
      <c r="I49" s="182">
        <f>Impacts!C50</f>
        <v>289999.5</v>
      </c>
      <c r="J49" s="117">
        <f>Impacts!H50</f>
        <v>1318.8977649999999</v>
      </c>
      <c r="K49" s="117">
        <f>Impacts!G288</f>
        <v>1876.6501131053044</v>
      </c>
      <c r="L49" s="399">
        <f t="shared" si="0"/>
        <v>0.42289278434352678</v>
      </c>
    </row>
    <row r="50" spans="9:12" x14ac:dyDescent="0.35">
      <c r="I50" s="182">
        <f>Impacts!C51</f>
        <v>299999.5</v>
      </c>
      <c r="J50" s="117">
        <f>Impacts!H51</f>
        <v>1363.5977649999998</v>
      </c>
      <c r="K50" s="117">
        <f>Impacts!G289</f>
        <v>1941.0481626010117</v>
      </c>
      <c r="L50" s="399">
        <f t="shared" si="0"/>
        <v>0.42347561166691411</v>
      </c>
    </row>
    <row r="51" spans="9:12" x14ac:dyDescent="0.35">
      <c r="I51" s="182">
        <f>Impacts!C52</f>
        <v>309999.5</v>
      </c>
      <c r="J51" s="117">
        <f>Impacts!H52</f>
        <v>1408.2977649999998</v>
      </c>
      <c r="K51" s="117">
        <f>Impacts!G290</f>
        <v>2005.4462120967191</v>
      </c>
      <c r="L51" s="399">
        <f t="shared" si="0"/>
        <v>0.42402144059123703</v>
      </c>
    </row>
    <row r="52" spans="9:12" x14ac:dyDescent="0.35">
      <c r="I52" s="182">
        <f>Impacts!C53</f>
        <v>319999.5</v>
      </c>
      <c r="J52" s="117">
        <f>Impacts!H53</f>
        <v>1452.9977649999998</v>
      </c>
      <c r="K52" s="117">
        <f>Impacts!G291</f>
        <v>2069.8442615924264</v>
      </c>
      <c r="L52" s="399">
        <f t="shared" si="0"/>
        <v>0.42453368577096651</v>
      </c>
    </row>
    <row r="53" spans="9:12" x14ac:dyDescent="0.35">
      <c r="I53" s="182">
        <f>Impacts!C54</f>
        <v>329999.5</v>
      </c>
      <c r="J53" s="117">
        <f>Impacts!H54</f>
        <v>1497.6977649999999</v>
      </c>
      <c r="K53" s="117">
        <f>Impacts!G292</f>
        <v>2134.2423110881336</v>
      </c>
      <c r="L53" s="399">
        <f t="shared" si="0"/>
        <v>0.42501535420808606</v>
      </c>
    </row>
    <row r="54" spans="9:12" x14ac:dyDescent="0.35">
      <c r="I54" s="182">
        <f>Impacts!C55</f>
        <v>339999.5</v>
      </c>
      <c r="J54" s="117">
        <f>Impacts!H55</f>
        <v>1542.3977649999999</v>
      </c>
      <c r="K54" s="117">
        <f>Impacts!G293</f>
        <v>2198.6403605838409</v>
      </c>
      <c r="L54" s="399">
        <f t="shared" si="0"/>
        <v>0.42546910432267193</v>
      </c>
    </row>
    <row r="55" spans="9:12" x14ac:dyDescent="0.35">
      <c r="I55" s="182">
        <f>Impacts!C56</f>
        <v>349999.5</v>
      </c>
      <c r="J55" s="117">
        <f>Impacts!H56</f>
        <v>1587.0977649999998</v>
      </c>
      <c r="K55" s="117">
        <f>Impacts!G294</f>
        <v>2263.0384100795482</v>
      </c>
      <c r="L55" s="399">
        <f t="shared" si="0"/>
        <v>0.42589729504127211</v>
      </c>
    </row>
    <row r="56" spans="9:12" x14ac:dyDescent="0.35">
      <c r="I56" s="182">
        <f>Impacts!C57</f>
        <v>364999.5</v>
      </c>
      <c r="J56" s="117">
        <f>Impacts!H57</f>
        <v>1654.1477649999999</v>
      </c>
      <c r="K56" s="117">
        <f>Impacts!G295</f>
        <v>2359.6354843231093</v>
      </c>
      <c r="L56" s="399">
        <f t="shared" si="0"/>
        <v>0.42649618991149157</v>
      </c>
    </row>
    <row r="57" spans="9:12" x14ac:dyDescent="0.35">
      <c r="I57" s="182">
        <f>Impacts!C58</f>
        <v>379999.5</v>
      </c>
      <c r="J57" s="117">
        <f>Impacts!H58</f>
        <v>1721.1977649999999</v>
      </c>
      <c r="K57" s="117">
        <f>Impacts!G296</f>
        <v>2456.2325585666704</v>
      </c>
      <c r="L57" s="399">
        <f t="shared" si="0"/>
        <v>0.42704842436666218</v>
      </c>
    </row>
    <row r="58" spans="9:12" x14ac:dyDescent="0.35">
      <c r="I58" s="182">
        <f>Impacts!C59</f>
        <v>394999.5</v>
      </c>
      <c r="J58" s="117">
        <f>Impacts!H59</f>
        <v>1788.2477649999998</v>
      </c>
      <c r="K58" s="117">
        <f>Impacts!G297</f>
        <v>2552.8296328102315</v>
      </c>
      <c r="L58" s="399">
        <f t="shared" si="0"/>
        <v>0.42755924697617709</v>
      </c>
    </row>
    <row r="59" spans="9:12" x14ac:dyDescent="0.35">
      <c r="I59" s="182">
        <f>Impacts!C60</f>
        <v>414999.5</v>
      </c>
      <c r="J59" s="117">
        <f>Impacts!H60</f>
        <v>1877.6477649999997</v>
      </c>
      <c r="K59" s="117">
        <f>Impacts!G298</f>
        <v>2681.625731801646</v>
      </c>
      <c r="L59" s="399">
        <f t="shared" si="0"/>
        <v>0.42818359321065014</v>
      </c>
    </row>
    <row r="60" spans="9:12" x14ac:dyDescent="0.35">
      <c r="I60" s="182">
        <f>Impacts!C61</f>
        <v>444999.5</v>
      </c>
      <c r="J60" s="117">
        <f>Impacts!H61</f>
        <v>2011.7477649999998</v>
      </c>
      <c r="K60" s="117">
        <f>Impacts!G299</f>
        <v>2874.8198802887682</v>
      </c>
      <c r="L60" s="399">
        <f t="shared" si="0"/>
        <v>0.4290160676722653</v>
      </c>
    </row>
    <row r="61" spans="9:12" x14ac:dyDescent="0.35">
      <c r="I61" s="182">
        <f>Impacts!C62</f>
        <v>544999.5</v>
      </c>
      <c r="J61" s="117">
        <f>Impacts!H62</f>
        <v>2458.7477650000001</v>
      </c>
      <c r="K61" s="117">
        <f>Impacts!G300</f>
        <v>3518.8003752458417</v>
      </c>
      <c r="L61" s="399">
        <f t="shared" si="0"/>
        <v>0.43113515966768617</v>
      </c>
    </row>
    <row r="62" spans="9:12" x14ac:dyDescent="0.35">
      <c r="I62" s="182">
        <f>Impacts!C63</f>
        <v>639999.5</v>
      </c>
      <c r="J62" s="117">
        <f>Impacts!H63</f>
        <v>2883.3977650000002</v>
      </c>
      <c r="K62" s="117">
        <f>Impacts!G301</f>
        <v>4130.5818454550617</v>
      </c>
      <c r="L62" s="399">
        <f t="shared" si="0"/>
        <v>0.43253972642760286</v>
      </c>
    </row>
    <row r="63" spans="9:12" x14ac:dyDescent="0.35">
      <c r="I63" s="182">
        <f>Impacts!C64</f>
        <v>684999.5</v>
      </c>
      <c r="J63" s="117">
        <f>Impacts!H64</f>
        <v>3084.5477649999998</v>
      </c>
      <c r="K63" s="117">
        <f>Impacts!G302</f>
        <v>4420.3730681857442</v>
      </c>
      <c r="L63" s="399">
        <f t="shared" si="0"/>
        <v>0.43307006568132833</v>
      </c>
    </row>
    <row r="64" spans="9:12" x14ac:dyDescent="0.35">
      <c r="I64" s="182">
        <f>Impacts!C65</f>
        <v>779999.5</v>
      </c>
      <c r="J64" s="117">
        <f>Impacts!H65</f>
        <v>3509.1977649999999</v>
      </c>
      <c r="K64" s="117">
        <f>Impacts!G303</f>
        <v>5032.1545383949642</v>
      </c>
      <c r="L64" s="399">
        <f t="shared" si="0"/>
        <v>0.43399001007712212</v>
      </c>
    </row>
    <row r="65" spans="9:12" x14ac:dyDescent="0.35">
      <c r="I65" s="182">
        <f>Impacts!C66</f>
        <v>845000</v>
      </c>
      <c r="J65" s="117">
        <f>Impacts!H66</f>
        <v>3799.75</v>
      </c>
      <c r="K65" s="117">
        <f>Impacts!G304</f>
        <v>5450.7450800195365</v>
      </c>
      <c r="L65" s="399">
        <f t="shared" si="0"/>
        <v>0.43450097506929047</v>
      </c>
    </row>
    <row r="67" spans="9:12" x14ac:dyDescent="0.35">
      <c r="I67" s="182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184"/>
  <sheetViews>
    <sheetView workbookViewId="0">
      <selection activeCell="K84" sqref="K83:K84"/>
    </sheetView>
  </sheetViews>
  <sheetFormatPr defaultRowHeight="12.5" x14ac:dyDescent="0.25"/>
  <cols>
    <col min="1" max="1" width="17.26953125" customWidth="1"/>
    <col min="2" max="2" width="10.26953125" bestFit="1" customWidth="1"/>
    <col min="4" max="4" width="11.26953125" bestFit="1" customWidth="1"/>
    <col min="7" max="7" width="14.26953125" customWidth="1"/>
    <col min="8" max="8" width="12.7265625" customWidth="1"/>
    <col min="9" max="9" width="14" customWidth="1"/>
    <col min="10" max="11" width="14.453125" customWidth="1"/>
    <col min="12" max="15" width="12.7265625" customWidth="1"/>
    <col min="16" max="16" width="12.453125" customWidth="1"/>
    <col min="17" max="17" width="14" bestFit="1" customWidth="1"/>
    <col min="18" max="18" width="12" customWidth="1"/>
    <col min="19" max="19" width="12.7265625" customWidth="1"/>
    <col min="20" max="20" width="14" customWidth="1"/>
    <col min="21" max="21" width="12.7265625" customWidth="1"/>
    <col min="22" max="22" width="13.7265625" customWidth="1"/>
    <col min="23" max="23" width="15" customWidth="1"/>
    <col min="24" max="24" width="13.7265625" customWidth="1"/>
    <col min="25" max="25" width="13.26953125" customWidth="1"/>
  </cols>
  <sheetData>
    <row r="1" spans="1:23" x14ac:dyDescent="0.25">
      <c r="F1" s="439" t="s">
        <v>1243</v>
      </c>
    </row>
    <row r="2" spans="1:23" x14ac:dyDescent="0.25">
      <c r="F2" s="439" t="s">
        <v>1243</v>
      </c>
      <c r="K2">
        <v>1</v>
      </c>
      <c r="L2" s="522" t="s">
        <v>1277</v>
      </c>
    </row>
    <row r="3" spans="1:23" x14ac:dyDescent="0.25">
      <c r="F3" s="439" t="s">
        <v>1243</v>
      </c>
      <c r="G3" t="s">
        <v>1223</v>
      </c>
      <c r="K3">
        <v>1</v>
      </c>
      <c r="L3" s="522" t="s">
        <v>1276</v>
      </c>
    </row>
    <row r="4" spans="1:23" x14ac:dyDescent="0.25">
      <c r="A4" s="423">
        <f>+Summary!F13</f>
        <v>3931107.8566666674</v>
      </c>
      <c r="B4" s="484" t="s">
        <v>1204</v>
      </c>
      <c r="F4" s="439" t="s">
        <v>1243</v>
      </c>
    </row>
    <row r="5" spans="1:23" x14ac:dyDescent="0.25">
      <c r="A5" s="423">
        <f>Summary!H28</f>
        <v>3371082.18</v>
      </c>
      <c r="B5" s="484" t="s">
        <v>1205</v>
      </c>
      <c r="F5" s="439" t="s">
        <v>1243</v>
      </c>
      <c r="G5" t="s">
        <v>1224</v>
      </c>
      <c r="I5" s="517"/>
      <c r="J5" s="523">
        <v>0.13800000000000001</v>
      </c>
      <c r="R5" t="s">
        <v>1278</v>
      </c>
    </row>
    <row r="6" spans="1:23" x14ac:dyDescent="0.25">
      <c r="A6" s="423">
        <f>+A4-A5</f>
        <v>560025.67666666722</v>
      </c>
      <c r="B6" s="484" t="s">
        <v>1206</v>
      </c>
      <c r="F6" s="439" t="s">
        <v>1243</v>
      </c>
      <c r="H6" s="416">
        <v>2011</v>
      </c>
      <c r="I6" s="416">
        <v>2012</v>
      </c>
      <c r="J6" s="416">
        <f>+I6+1</f>
        <v>2013</v>
      </c>
      <c r="K6" s="416">
        <f>+J6+1</f>
        <v>2014</v>
      </c>
      <c r="L6" s="416">
        <f>+K6+1</f>
        <v>2015</v>
      </c>
      <c r="M6" s="416">
        <f>+L6+1</f>
        <v>2016</v>
      </c>
      <c r="N6" s="416">
        <f>+M6+1</f>
        <v>2017</v>
      </c>
    </row>
    <row r="7" spans="1:23" x14ac:dyDescent="0.25">
      <c r="A7" s="496">
        <f>+A6/A5</f>
        <v>0.16612637923489221</v>
      </c>
      <c r="B7" s="484" t="s">
        <v>1207</v>
      </c>
      <c r="F7" s="439" t="s">
        <v>1243</v>
      </c>
      <c r="G7" t="s">
        <v>1225</v>
      </c>
      <c r="H7" s="418">
        <v>39084</v>
      </c>
      <c r="I7" s="418">
        <f>+H7</f>
        <v>39084</v>
      </c>
      <c r="J7" s="418">
        <f>ROUND(((FV(0.013/12,12,-(I34/12),0))-I34)+((FV(0.013/12,12,0,-I33))-I33),-2)</f>
        <v>29400</v>
      </c>
      <c r="K7" s="418">
        <f>ROUND(((FV(0.013/12,12,-(J34/12),0))-J34)+((FV(0.013/12,12,0,-J33))-J33),-2)</f>
        <v>-2900</v>
      </c>
      <c r="L7" s="418">
        <f>ROUND(((FV(0.013/12,12,-(K34/12),0))-K34)+((FV(0.013/12,12,0,-K33))-K33),-2)</f>
        <v>18400</v>
      </c>
      <c r="M7" s="418">
        <f>ROUND(((FV(0.013/12,12,-(L34/12),0))-L34)+((FV(0.013/12,12,0,-L33))-L33),-2)</f>
        <v>20500</v>
      </c>
      <c r="N7" s="418">
        <f>ROUND(((FV(0.013/12,12,-(M34/12),0))-M34)+((FV(0.013/12,12,0,-M33))-M33),-2)</f>
        <v>23600</v>
      </c>
      <c r="O7" s="520">
        <v>1.4999999999999999E-2</v>
      </c>
      <c r="P7" s="520">
        <v>1.4999999999999999E-2</v>
      </c>
      <c r="S7">
        <v>2013</v>
      </c>
      <c r="T7">
        <f>+S7+1</f>
        <v>2014</v>
      </c>
      <c r="U7">
        <f>+T7+1</f>
        <v>2015</v>
      </c>
      <c r="V7">
        <f>+U7+1</f>
        <v>2016</v>
      </c>
      <c r="W7">
        <f>+V7+1</f>
        <v>2017</v>
      </c>
    </row>
    <row r="8" spans="1:23" x14ac:dyDescent="0.25">
      <c r="F8" s="439" t="s">
        <v>1243</v>
      </c>
      <c r="G8" t="s">
        <v>1226</v>
      </c>
      <c r="H8" s="418">
        <f>+H10-H9-H7</f>
        <v>111928.81999999983</v>
      </c>
      <c r="I8" s="418">
        <f>+Summary!H50</f>
        <v>187254.91</v>
      </c>
      <c r="J8" s="418">
        <f>IF($K$2=1,I8+100000,I8)*$O$9</f>
        <v>288691.18455000001</v>
      </c>
      <c r="K8" s="418">
        <f>J8*$P$9</f>
        <v>290134.64047274995</v>
      </c>
      <c r="L8" s="418">
        <f>K8*$P$9</f>
        <v>291585.31367511366</v>
      </c>
      <c r="M8" s="418">
        <f>L8*$P$9</f>
        <v>293043.24024348921</v>
      </c>
      <c r="N8" s="418">
        <f>M8*$P$9</f>
        <v>294508.45644470665</v>
      </c>
      <c r="O8" s="521"/>
      <c r="P8" s="521"/>
      <c r="Q8" s="517" t="s">
        <v>1293</v>
      </c>
      <c r="R8" t="s">
        <v>1283</v>
      </c>
      <c r="S8" s="416"/>
      <c r="T8" s="416"/>
      <c r="U8" s="416"/>
      <c r="V8" s="416"/>
      <c r="W8" s="416"/>
    </row>
    <row r="9" spans="1:23" x14ac:dyDescent="0.25">
      <c r="A9" s="484" t="s">
        <v>1208</v>
      </c>
      <c r="F9" s="439" t="s">
        <v>1243</v>
      </c>
      <c r="G9" t="s">
        <v>1227</v>
      </c>
      <c r="H9" s="418">
        <f>+Summary!H49</f>
        <v>3371082.18</v>
      </c>
      <c r="I9" s="418">
        <f>+H9</f>
        <v>3371082.18</v>
      </c>
      <c r="J9" s="418">
        <f>(I9*$O$9)*(1+$J$5)</f>
        <v>3855472.9784441995</v>
      </c>
      <c r="K9" s="418">
        <f>+J9*$P9</f>
        <v>3874750.3433364201</v>
      </c>
      <c r="L9" s="418">
        <f>+K9*$P9</f>
        <v>3894124.0950531019</v>
      </c>
      <c r="M9" s="418">
        <f>+L9*$P9</f>
        <v>3913594.7155283671</v>
      </c>
      <c r="N9" s="418">
        <f>+M9*$P9</f>
        <v>3933162.6891060085</v>
      </c>
      <c r="O9" s="521">
        <v>1.0049999999999999</v>
      </c>
      <c r="P9" s="521">
        <v>1.0049999999999999</v>
      </c>
      <c r="Q9" s="517"/>
      <c r="R9" t="s">
        <v>1280</v>
      </c>
      <c r="S9" s="418">
        <v>-217764.42145000072</v>
      </c>
      <c r="T9" s="418">
        <v>-341071.09390725149</v>
      </c>
      <c r="U9" s="418">
        <v>-426389.79972678795</v>
      </c>
      <c r="V9" s="418">
        <v>-517420.09907542262</v>
      </c>
      <c r="W9" s="418">
        <v>-610961.54992080014</v>
      </c>
    </row>
    <row r="10" spans="1:23" x14ac:dyDescent="0.25">
      <c r="F10" s="439" t="s">
        <v>1243</v>
      </c>
      <c r="G10" t="s">
        <v>1228</v>
      </c>
      <c r="H10" s="418">
        <f>3483011+39084</f>
        <v>3522095</v>
      </c>
      <c r="I10" s="418">
        <f>SUM(I7:I9)</f>
        <v>3597421.0900000003</v>
      </c>
      <c r="J10" s="418">
        <f>+J9+J8+J7</f>
        <v>4173564.1629941994</v>
      </c>
      <c r="K10" s="418">
        <f>+K9+K8+K7</f>
        <v>4161984.9838091703</v>
      </c>
      <c r="L10" s="418">
        <f>+L9+L8+L7</f>
        <v>4204109.4087282158</v>
      </c>
      <c r="M10" s="418">
        <f>+M9+M8+M7</f>
        <v>4227137.955771856</v>
      </c>
      <c r="N10" s="418">
        <f>+N9+N8+N7</f>
        <v>4251271.1455507148</v>
      </c>
      <c r="Q10" s="517"/>
      <c r="R10" t="s">
        <v>1281</v>
      </c>
      <c r="S10" s="418">
        <v>3234122.3108360022</v>
      </c>
      <c r="T10" s="418">
        <v>3126263.3769287509</v>
      </c>
      <c r="U10" s="418">
        <v>2853085.7372019631</v>
      </c>
      <c r="V10" s="418">
        <v>2511877.7981265406</v>
      </c>
      <c r="W10" s="418">
        <v>1917566.4082057404</v>
      </c>
    </row>
    <row r="11" spans="1:23" x14ac:dyDescent="0.25">
      <c r="A11" s="423">
        <f>Summary!G13+ABS(A15)</f>
        <v>307019.81916115771</v>
      </c>
      <c r="B11" s="484" t="s">
        <v>1209</v>
      </c>
      <c r="F11" s="439" t="s">
        <v>1243</v>
      </c>
      <c r="H11" s="418"/>
      <c r="I11" s="418"/>
      <c r="Q11" s="517"/>
      <c r="R11" t="s">
        <v>1282</v>
      </c>
      <c r="S11" s="418">
        <v>296447.73854999943</v>
      </c>
      <c r="T11" s="418">
        <v>-107858.93390725134</v>
      </c>
      <c r="U11" s="418">
        <v>-273177.63972678781</v>
      </c>
      <c r="V11" s="418">
        <v>-341207.93907542247</v>
      </c>
      <c r="W11" s="418">
        <v>-594311.38992080023</v>
      </c>
    </row>
    <row r="12" spans="1:23" x14ac:dyDescent="0.25">
      <c r="A12" s="423">
        <f>-Summary!H16</f>
        <v>-24123.38</v>
      </c>
      <c r="B12" s="484" t="s">
        <v>1210</v>
      </c>
      <c r="F12" s="439" t="s">
        <v>1243</v>
      </c>
      <c r="G12" t="s">
        <v>1229</v>
      </c>
      <c r="H12" s="418"/>
      <c r="I12" s="418"/>
      <c r="Q12" s="517"/>
    </row>
    <row r="13" spans="1:23" x14ac:dyDescent="0.25">
      <c r="A13" s="423">
        <f>-Summary!F21</f>
        <v>-87352.22</v>
      </c>
      <c r="B13" s="484" t="s">
        <v>1211</v>
      </c>
      <c r="F13" s="439" t="s">
        <v>1243</v>
      </c>
      <c r="H13" s="418"/>
      <c r="I13" s="418"/>
      <c r="Q13" s="517" t="s">
        <v>1294</v>
      </c>
      <c r="R13" t="s">
        <v>1279</v>
      </c>
    </row>
    <row r="14" spans="1:23" x14ac:dyDescent="0.25">
      <c r="A14" s="423">
        <f>-Summary!G21</f>
        <v>-99902.69</v>
      </c>
      <c r="B14" s="484" t="s">
        <v>1212</v>
      </c>
      <c r="F14" s="439" t="s">
        <v>1243</v>
      </c>
      <c r="G14" t="s">
        <v>1230</v>
      </c>
      <c r="H14" s="418">
        <f>+H18-H15-H16</f>
        <v>607585</v>
      </c>
      <c r="I14" s="418">
        <f>+I18-I15-I16</f>
        <v>547923.90768258704</v>
      </c>
      <c r="J14" s="418">
        <f>ROUND(+I14*$O14,-3)</f>
        <v>559000</v>
      </c>
      <c r="K14" s="418">
        <f>ROUND(+J14*$O14,-3)</f>
        <v>570000</v>
      </c>
      <c r="L14" s="418">
        <f>ROUND(+K14*$O14,-3)</f>
        <v>581000</v>
      </c>
      <c r="M14" s="418">
        <f>ROUND(+L14*$O14,-3)</f>
        <v>593000</v>
      </c>
      <c r="N14" s="418">
        <f>ROUND(+M14*$O14,-3)</f>
        <v>605000</v>
      </c>
      <c r="O14" s="520">
        <v>1.02</v>
      </c>
      <c r="P14" s="520"/>
      <c r="Q14" s="517"/>
      <c r="R14" t="s">
        <v>1280</v>
      </c>
      <c r="S14" s="418">
        <v>-147034.49145000055</v>
      </c>
      <c r="T14" s="418">
        <v>-303941.16390725132</v>
      </c>
      <c r="U14" s="418">
        <v>-375959.86972678779</v>
      </c>
      <c r="V14" s="418">
        <v>-457390.16907542245</v>
      </c>
      <c r="W14" s="418">
        <v>-540531.61992079997</v>
      </c>
    </row>
    <row r="15" spans="1:23" x14ac:dyDescent="0.25">
      <c r="A15" s="423">
        <f>+'Test Year Detail'!G38</f>
        <v>33662.899999999994</v>
      </c>
      <c r="B15" s="484" t="s">
        <v>1218</v>
      </c>
      <c r="F15" s="439" t="s">
        <v>1243</v>
      </c>
      <c r="G15" t="s">
        <v>1231</v>
      </c>
      <c r="H15" s="418">
        <v>2082650</v>
      </c>
      <c r="I15" s="418">
        <f>+'Test Year Detail'!H23</f>
        <v>2181930.9</v>
      </c>
      <c r="J15" s="418">
        <f>ROUND(+I15*$P15,-2)</f>
        <v>2247400</v>
      </c>
      <c r="K15" s="418">
        <f>ROUND(+J15*$P15,-2)</f>
        <v>2314800</v>
      </c>
      <c r="L15" s="418">
        <f>ROUND(+K15*$P15,-2)</f>
        <v>2384200</v>
      </c>
      <c r="M15" s="418">
        <f>ROUND(+L15*$P15,-2)</f>
        <v>2455700</v>
      </c>
      <c r="N15" s="418">
        <f>ROUND(+M15*$P15,-2)</f>
        <v>2529400</v>
      </c>
      <c r="O15" s="520">
        <v>1.03</v>
      </c>
      <c r="P15" s="520">
        <v>1.03</v>
      </c>
      <c r="Q15" s="517"/>
      <c r="R15" t="s">
        <v>1281</v>
      </c>
      <c r="S15" s="418">
        <v>1474557.0808360022</v>
      </c>
      <c r="T15" s="418">
        <v>1610641.7855162513</v>
      </c>
      <c r="U15" s="418">
        <v>1762637.788719902</v>
      </c>
      <c r="V15" s="418">
        <v>1890717.5219395705</v>
      </c>
      <c r="W15" s="418">
        <v>2000728.5288253375</v>
      </c>
    </row>
    <row r="16" spans="1:23" x14ac:dyDescent="0.25">
      <c r="A16" s="423">
        <f>SUM(A11:A15)</f>
        <v>129304.42916115769</v>
      </c>
      <c r="B16" s="484" t="s">
        <v>1217</v>
      </c>
      <c r="F16" s="439" t="s">
        <v>1243</v>
      </c>
      <c r="G16" t="s">
        <v>1232</v>
      </c>
      <c r="H16" s="418">
        <v>93052</v>
      </c>
      <c r="I16" s="418">
        <f>+('Debt Service'!D42/3)</f>
        <v>59472.543333333335</v>
      </c>
      <c r="J16" s="524">
        <f>IF($K$3=1,0,I16)</f>
        <v>0</v>
      </c>
      <c r="K16" s="418">
        <f>IF($K$3=1,0,J16)</f>
        <v>0</v>
      </c>
      <c r="L16" s="418">
        <f>IF($K$3=1,0,K16)</f>
        <v>0</v>
      </c>
      <c r="M16" s="418">
        <f>IF($K$3=1,0,L16)</f>
        <v>0</v>
      </c>
      <c r="N16" s="418">
        <f>IF($K$3=1,0,M16)</f>
        <v>0</v>
      </c>
      <c r="Q16" s="517"/>
      <c r="R16" t="s">
        <v>1282</v>
      </c>
      <c r="S16" s="418">
        <v>-1463117.4914500006</v>
      </c>
      <c r="T16" s="418">
        <v>136084.70468024909</v>
      </c>
      <c r="U16" s="418">
        <v>151996.0032036507</v>
      </c>
      <c r="V16" s="418">
        <v>128079.7332196685</v>
      </c>
      <c r="W16" s="418">
        <v>110011.00688576698</v>
      </c>
    </row>
    <row r="17" spans="1:23 16384:16384" x14ac:dyDescent="0.25">
      <c r="A17" s="423"/>
      <c r="B17" s="484"/>
      <c r="F17" s="439" t="s">
        <v>1243</v>
      </c>
      <c r="H17" s="418"/>
      <c r="I17" s="418"/>
      <c r="Q17" s="517"/>
    </row>
    <row r="18" spans="1:23 16384:16384" x14ac:dyDescent="0.25">
      <c r="A18" s="423">
        <f>+A6+A16</f>
        <v>689330.10582782491</v>
      </c>
      <c r="B18" s="484" t="s">
        <v>1206</v>
      </c>
      <c r="F18" s="439" t="s">
        <v>1243</v>
      </c>
      <c r="G18" t="s">
        <v>1228</v>
      </c>
      <c r="H18" s="418">
        <f>2651643+92190+39454</f>
        <v>2783287</v>
      </c>
      <c r="I18" s="418">
        <f>+A30-A25-A24+('Debt Service'!D42/3)</f>
        <v>2789327.3510159203</v>
      </c>
      <c r="J18" s="418">
        <f>+J14+J15+J16</f>
        <v>2806400</v>
      </c>
      <c r="K18" s="418">
        <f>+K14+K15+K16</f>
        <v>2884800</v>
      </c>
      <c r="L18" s="418">
        <f>+L14+L15+L16</f>
        <v>2965200</v>
      </c>
      <c r="M18" s="418">
        <f>+M14+M15+M16</f>
        <v>3048700</v>
      </c>
      <c r="N18" s="418">
        <f>+N14+N15+N16</f>
        <v>3134400</v>
      </c>
      <c r="Q18" s="517" t="s">
        <v>1295</v>
      </c>
      <c r="R18" t="s">
        <v>1284</v>
      </c>
    </row>
    <row r="19" spans="1:23 16384:16384" x14ac:dyDescent="0.25">
      <c r="A19" s="495">
        <f>+A18/A5</f>
        <v>0.20448332880090894</v>
      </c>
      <c r="B19" s="484" t="s">
        <v>1207</v>
      </c>
      <c r="F19" s="439" t="s">
        <v>1243</v>
      </c>
      <c r="H19" s="418"/>
      <c r="I19" s="418"/>
      <c r="Q19" s="517"/>
      <c r="R19" t="s">
        <v>1280</v>
      </c>
      <c r="S19" s="418">
        <v>-46534.491450000554</v>
      </c>
      <c r="T19" s="418">
        <v>-201038.66390725132</v>
      </c>
      <c r="U19" s="418">
        <v>-275652.35722678807</v>
      </c>
      <c r="V19" s="418">
        <v>-359275.11901292251</v>
      </c>
      <c r="W19" s="418">
        <v>-444506.49460798735</v>
      </c>
    </row>
    <row r="20" spans="1:23 16384:16384" x14ac:dyDescent="0.25">
      <c r="A20" s="423">
        <f>+A4+A16</f>
        <v>4060412.2858278248</v>
      </c>
      <c r="B20" s="484" t="s">
        <v>1219</v>
      </c>
      <c r="F20" s="439" t="s">
        <v>1243</v>
      </c>
      <c r="G20" t="s">
        <v>1233</v>
      </c>
      <c r="H20" s="418">
        <f t="shared" ref="H20:N20" si="0">+H10-H18</f>
        <v>738808</v>
      </c>
      <c r="I20" s="518">
        <f t="shared" si="0"/>
        <v>808093.73898408003</v>
      </c>
      <c r="J20" s="418">
        <f t="shared" si="0"/>
        <v>1367164.1629941994</v>
      </c>
      <c r="K20" s="418">
        <f t="shared" si="0"/>
        <v>1277184.9838091703</v>
      </c>
      <c r="L20" s="418">
        <f t="shared" si="0"/>
        <v>1238909.4087282158</v>
      </c>
      <c r="M20" s="418">
        <f t="shared" si="0"/>
        <v>1178437.955771856</v>
      </c>
      <c r="N20" s="418">
        <f t="shared" si="0"/>
        <v>1116871.1455507148</v>
      </c>
      <c r="Q20" s="517"/>
      <c r="R20" t="s">
        <v>1281</v>
      </c>
      <c r="S20" s="418">
        <v>1575057.0808360022</v>
      </c>
      <c r="T20" s="418">
        <v>1738669.2855162513</v>
      </c>
      <c r="U20" s="418">
        <v>1916795.9262199018</v>
      </c>
      <c r="V20" s="418">
        <v>2071510.0751270703</v>
      </c>
      <c r="W20" s="418">
        <v>2208459.919778775</v>
      </c>
    </row>
    <row r="21" spans="1:23 16384:16384" x14ac:dyDescent="0.25">
      <c r="F21" s="439" t="s">
        <v>1243</v>
      </c>
      <c r="H21" s="418"/>
      <c r="I21" s="418"/>
      <c r="Q21" s="517"/>
      <c r="R21" t="s">
        <v>1282</v>
      </c>
      <c r="S21" s="418">
        <v>-1362617.4914500006</v>
      </c>
      <c r="T21" s="418">
        <v>163612.20468024909</v>
      </c>
      <c r="U21" s="418">
        <v>178126.64070365042</v>
      </c>
      <c r="V21" s="418">
        <v>154714.14890716854</v>
      </c>
      <c r="W21" s="418">
        <v>136949.84465170465</v>
      </c>
    </row>
    <row r="22" spans="1:23 16384:16384" x14ac:dyDescent="0.25">
      <c r="A22" s="484" t="s">
        <v>1213</v>
      </c>
      <c r="F22" s="439" t="s">
        <v>1243</v>
      </c>
      <c r="G22" t="s">
        <v>91</v>
      </c>
      <c r="H22" s="418">
        <v>818760</v>
      </c>
      <c r="I22" s="418">
        <f>+'Test Year Detail'!H44</f>
        <v>1125655.0014785714</v>
      </c>
      <c r="J22" s="418">
        <f>ROUND(ABS(I29)/30+I22,-3)</f>
        <v>1202000</v>
      </c>
      <c r="K22" s="418">
        <f>ROUND(ABS(J29)/30+J22,-3)</f>
        <v>1253000</v>
      </c>
      <c r="L22" s="418">
        <f>ROUND(ABS(K29)/30+K22,-3)</f>
        <v>1287000</v>
      </c>
      <c r="M22" s="418">
        <f>ROUND(ABS(L29)/30+L22,-3)</f>
        <v>1319000</v>
      </c>
      <c r="N22" s="418">
        <f>ROUND(ABS(M29)/30+M22,-3)</f>
        <v>1350000</v>
      </c>
      <c r="Q22" s="517"/>
    </row>
    <row r="23" spans="1:23 16384:16384" x14ac:dyDescent="0.25">
      <c r="F23" s="439" t="s">
        <v>1243</v>
      </c>
      <c r="G23" t="s">
        <v>1234</v>
      </c>
      <c r="H23" s="418">
        <f t="shared" ref="H23:N23" si="1">+H20-H22</f>
        <v>-79952</v>
      </c>
      <c r="I23" s="418">
        <f t="shared" si="1"/>
        <v>-317561.26249449141</v>
      </c>
      <c r="J23" s="418">
        <f t="shared" si="1"/>
        <v>165164.16299419943</v>
      </c>
      <c r="K23" s="418">
        <f t="shared" si="1"/>
        <v>24184.983809170313</v>
      </c>
      <c r="L23" s="418">
        <f t="shared" si="1"/>
        <v>-48090.591271784157</v>
      </c>
      <c r="M23" s="418">
        <f t="shared" si="1"/>
        <v>-140562.04422814399</v>
      </c>
      <c r="N23" s="418">
        <f t="shared" si="1"/>
        <v>-233128.85444928519</v>
      </c>
      <c r="Q23" s="517" t="s">
        <v>1296</v>
      </c>
      <c r="R23" t="s">
        <v>1297</v>
      </c>
    </row>
    <row r="24" spans="1:23 16384:16384" x14ac:dyDescent="0.25">
      <c r="A24" s="423">
        <f>+Summary!H46</f>
        <v>348954.96666666667</v>
      </c>
      <c r="B24" s="484" t="s">
        <v>40</v>
      </c>
      <c r="F24" s="439" t="s">
        <v>1243</v>
      </c>
      <c r="H24" s="418"/>
      <c r="I24" s="418"/>
      <c r="R24" t="s">
        <v>1280</v>
      </c>
      <c r="S24" s="418">
        <v>410667.7449419992</v>
      </c>
      <c r="T24" s="418">
        <v>267249.58366670879</v>
      </c>
      <c r="U24" s="418">
        <v>183533.33158504218</v>
      </c>
      <c r="V24" s="418">
        <v>92719.498242966831</v>
      </c>
      <c r="W24" s="418">
        <v>408.59573418088257</v>
      </c>
    </row>
    <row r="25" spans="1:23 16384:16384" x14ac:dyDescent="0.25">
      <c r="A25" s="423">
        <f>+'Test Year Detail'!H44</f>
        <v>1125655.0014785714</v>
      </c>
      <c r="B25" s="484" t="s">
        <v>1214</v>
      </c>
      <c r="F25" s="439" t="s">
        <v>1243</v>
      </c>
      <c r="G25" t="s">
        <v>1235</v>
      </c>
      <c r="H25" s="418">
        <v>2754906</v>
      </c>
      <c r="I25" s="418">
        <f t="shared" ref="I25:N25" si="2">+H33</f>
        <v>2838937</v>
      </c>
      <c r="J25" s="418">
        <f t="shared" si="2"/>
        <v>2433282.4056507465</v>
      </c>
      <c r="K25" s="418">
        <f t="shared" si="2"/>
        <v>611363.56864494598</v>
      </c>
      <c r="L25" s="418">
        <f t="shared" si="2"/>
        <v>1158132.4302084667</v>
      </c>
      <c r="M25" s="418">
        <f t="shared" si="2"/>
        <v>1439153.1010798048</v>
      </c>
      <c r="N25" s="418">
        <f t="shared" si="2"/>
        <v>1688409.000305499</v>
      </c>
      <c r="R25" t="s">
        <v>1281</v>
      </c>
      <c r="S25" s="418">
        <v>2032259.317228002</v>
      </c>
      <c r="T25" s="418">
        <v>2321258.0921882112</v>
      </c>
      <c r="U25" s="418">
        <v>2618354.2360232216</v>
      </c>
      <c r="V25" s="418">
        <v>2894423.7355774068</v>
      </c>
      <c r="W25" s="418">
        <v>3153792.7076293626</v>
      </c>
      <c r="XFD25" s="418">
        <f>+XFC33</f>
        <v>0</v>
      </c>
    </row>
    <row r="26" spans="1:23 16384:16384" x14ac:dyDescent="0.25">
      <c r="A26" s="417">
        <f>+'Test Year Detail'!H23</f>
        <v>2181930.9</v>
      </c>
      <c r="B26" s="484" t="s">
        <v>1215</v>
      </c>
      <c r="F26" s="439" t="s">
        <v>1243</v>
      </c>
      <c r="G26" t="s">
        <v>1241</v>
      </c>
      <c r="H26" s="418">
        <v>1391876</v>
      </c>
      <c r="I26" s="519">
        <f>SUM(CIP!F41:F42)</f>
        <v>1365734.0899999999</v>
      </c>
      <c r="J26" s="519">
        <f>SUM(CIP!G41:G42)</f>
        <v>450000</v>
      </c>
      <c r="K26" s="519">
        <f>SUM(CIP!H41:H42)</f>
        <v>294957</v>
      </c>
      <c r="L26" s="519">
        <f>SUM(CIP!I41:I42)</f>
        <v>0</v>
      </c>
      <c r="M26" s="519">
        <f>SUM(CIP!J41:J42)</f>
        <v>0</v>
      </c>
      <c r="N26" s="519">
        <f>SUM(CIP!K41:K42)</f>
        <v>0</v>
      </c>
      <c r="R26" t="s">
        <v>1282</v>
      </c>
      <c r="S26" s="418">
        <v>-905415.2550580008</v>
      </c>
      <c r="T26" s="418">
        <v>288998.77496020915</v>
      </c>
      <c r="U26" s="418">
        <v>297096.14383501047</v>
      </c>
      <c r="V26" s="418">
        <v>276069.4995541852</v>
      </c>
      <c r="W26" s="418">
        <v>259368.97205195576</v>
      </c>
    </row>
    <row r="27" spans="1:23 16384:16384" x14ac:dyDescent="0.25">
      <c r="A27" s="423">
        <f>+Personnel!N111</f>
        <v>150399.41132123215</v>
      </c>
      <c r="B27" s="484" t="s">
        <v>1221</v>
      </c>
      <c r="F27" s="439" t="s">
        <v>1243</v>
      </c>
      <c r="G27" t="s">
        <v>1242</v>
      </c>
      <c r="H27" s="418">
        <f t="shared" ref="H27:N27" si="3">+H23</f>
        <v>-79952</v>
      </c>
      <c r="I27" s="418">
        <f t="shared" si="3"/>
        <v>-317561.26249449141</v>
      </c>
      <c r="J27" s="418">
        <f t="shared" si="3"/>
        <v>165164.16299419943</v>
      </c>
      <c r="K27" s="418">
        <f t="shared" si="3"/>
        <v>24184.983809170313</v>
      </c>
      <c r="L27" s="418">
        <f t="shared" si="3"/>
        <v>-48090.591271784157</v>
      </c>
      <c r="M27" s="418">
        <f t="shared" si="3"/>
        <v>-140562.04422814399</v>
      </c>
      <c r="N27" s="418">
        <f t="shared" si="3"/>
        <v>-233128.85444928519</v>
      </c>
    </row>
    <row r="28" spans="1:23 16384:16384" x14ac:dyDescent="0.25">
      <c r="A28" s="418">
        <f>+A30-(SUM(A24:A27))</f>
        <v>397524.49636135483</v>
      </c>
      <c r="B28" s="484" t="s">
        <v>1216</v>
      </c>
      <c r="F28" s="439" t="s">
        <v>1243</v>
      </c>
      <c r="G28" t="s">
        <v>1240</v>
      </c>
      <c r="H28" s="418">
        <f t="shared" ref="H28:N28" si="4">+H22</f>
        <v>818760</v>
      </c>
      <c r="I28" s="418">
        <f t="shared" si="4"/>
        <v>1125655.0014785714</v>
      </c>
      <c r="J28" s="418">
        <f t="shared" si="4"/>
        <v>1202000</v>
      </c>
      <c r="K28" s="418">
        <f t="shared" si="4"/>
        <v>1253000</v>
      </c>
      <c r="L28" s="418">
        <f t="shared" si="4"/>
        <v>1287000</v>
      </c>
      <c r="M28" s="418">
        <f t="shared" si="4"/>
        <v>1319000</v>
      </c>
      <c r="N28" s="418">
        <f t="shared" si="4"/>
        <v>1350000</v>
      </c>
    </row>
    <row r="29" spans="1:23 16384:16384" x14ac:dyDescent="0.25">
      <c r="A29" s="423"/>
      <c r="F29" s="439" t="s">
        <v>1243</v>
      </c>
      <c r="G29" t="s">
        <v>1236</v>
      </c>
      <c r="H29" s="418">
        <v>-1848082</v>
      </c>
      <c r="I29" s="519">
        <f>-CIP!F36</f>
        <v>-2290000</v>
      </c>
      <c r="J29" s="423">
        <f>-CIP!G36</f>
        <v>-1530000</v>
      </c>
      <c r="K29" s="423">
        <f>IF($K$3=1,-((J27+J28)*0.75),-CIP!H36)</f>
        <v>-1025373.1222456496</v>
      </c>
      <c r="L29" s="423">
        <f>IF($K$3=1,-((K27+K28)*0.75),-CIP!I36)</f>
        <v>-957888.73785687773</v>
      </c>
      <c r="M29" s="423">
        <f>IF($K$3=1,-((L27+L28)*0.75),-CIP!J36)</f>
        <v>-929182.05654616188</v>
      </c>
      <c r="N29" s="423">
        <f>IF($K$3=1,-((M27+M28)*0.75),-CIP!K36)</f>
        <v>-883828.46682889201</v>
      </c>
    </row>
    <row r="30" spans="1:23 16384:16384" x14ac:dyDescent="0.25">
      <c r="A30" s="423">
        <f>+A24+A25+'Test Year Detail'!H40</f>
        <v>4204464.7758278251</v>
      </c>
      <c r="B30" s="484" t="s">
        <v>1220</v>
      </c>
      <c r="F30" s="439" t="s">
        <v>1243</v>
      </c>
      <c r="G30" t="s">
        <v>1237</v>
      </c>
      <c r="H30" s="418">
        <v>-258447</v>
      </c>
      <c r="I30" s="519">
        <f>-('Debt Service'!C42/3)</f>
        <v>-289482.42333333334</v>
      </c>
      <c r="J30" s="524">
        <f>IF($K$3=1,-2109083,I30)</f>
        <v>-2109083</v>
      </c>
      <c r="K30" s="524">
        <f>IF($K$3=1,0,J30)</f>
        <v>0</v>
      </c>
      <c r="L30" s="524">
        <f>IF($K$3=1,0,K30)</f>
        <v>0</v>
      </c>
      <c r="M30" s="524">
        <f>IF($K$3=1,0,L30)</f>
        <v>0</v>
      </c>
      <c r="N30" s="524">
        <f>IF($K$3=1,0,M30)</f>
        <v>0</v>
      </c>
    </row>
    <row r="31" spans="1:23 16384:16384" x14ac:dyDescent="0.25">
      <c r="F31" s="439" t="s">
        <v>1243</v>
      </c>
      <c r="G31" t="s">
        <v>1238</v>
      </c>
      <c r="H31" s="418">
        <f>+H33-H25+(SUM(H26:H30))</f>
        <v>108186</v>
      </c>
      <c r="I31" s="418">
        <v>0</v>
      </c>
      <c r="J31" s="418">
        <f>+I31</f>
        <v>0</v>
      </c>
      <c r="K31" s="418">
        <f>+J31</f>
        <v>0</v>
      </c>
      <c r="L31" s="418">
        <f>+K31</f>
        <v>0</v>
      </c>
      <c r="M31" s="418">
        <f>+L31</f>
        <v>0</v>
      </c>
      <c r="N31" s="418">
        <f>+M31</f>
        <v>0</v>
      </c>
    </row>
    <row r="32" spans="1:23 16384:16384" x14ac:dyDescent="0.25">
      <c r="F32" s="439" t="s">
        <v>1243</v>
      </c>
      <c r="H32" s="418"/>
      <c r="I32" s="418"/>
    </row>
    <row r="33" spans="6:25" x14ac:dyDescent="0.25">
      <c r="F33" s="439" t="s">
        <v>1243</v>
      </c>
      <c r="G33" t="s">
        <v>1239</v>
      </c>
      <c r="H33" s="418">
        <v>2838937</v>
      </c>
      <c r="I33" s="418">
        <f t="shared" ref="I33:N33" si="5">+I25+SUM(I26:I31)</f>
        <v>2433282.4056507465</v>
      </c>
      <c r="J33" s="418">
        <f t="shared" si="5"/>
        <v>611363.56864494598</v>
      </c>
      <c r="K33" s="418">
        <f t="shared" si="5"/>
        <v>1158132.4302084667</v>
      </c>
      <c r="L33" s="418">
        <f t="shared" si="5"/>
        <v>1439153.1010798048</v>
      </c>
      <c r="M33" s="418">
        <f t="shared" si="5"/>
        <v>1688409.000305499</v>
      </c>
      <c r="N33" s="418">
        <f t="shared" si="5"/>
        <v>1921451.6790273217</v>
      </c>
    </row>
    <row r="34" spans="6:25" x14ac:dyDescent="0.25">
      <c r="F34" s="439" t="s">
        <v>1243</v>
      </c>
      <c r="I34" s="418">
        <f t="shared" ref="I34:N34" si="6">+I33-I25</f>
        <v>-405654.59434925346</v>
      </c>
      <c r="J34" s="418">
        <f t="shared" si="6"/>
        <v>-1821918.8370058006</v>
      </c>
      <c r="K34" s="418">
        <f t="shared" si="6"/>
        <v>546768.86156352074</v>
      </c>
      <c r="L34" s="418">
        <f t="shared" si="6"/>
        <v>281020.67087133811</v>
      </c>
      <c r="M34" s="418">
        <f t="shared" si="6"/>
        <v>249255.89922569413</v>
      </c>
      <c r="N34" s="418">
        <f t="shared" si="6"/>
        <v>233042.6787218228</v>
      </c>
    </row>
    <row r="35" spans="6:25" x14ac:dyDescent="0.25">
      <c r="F35" s="439" t="s">
        <v>1243</v>
      </c>
    </row>
    <row r="36" spans="6:25" x14ac:dyDescent="0.25">
      <c r="F36" s="439" t="s">
        <v>1243</v>
      </c>
      <c r="I36" s="520">
        <f t="shared" ref="I36:N36" si="7">+I23/I9</f>
        <v>-9.4201578465966496E-2</v>
      </c>
      <c r="J36" s="520">
        <f t="shared" si="7"/>
        <v>4.2838884857351066E-2</v>
      </c>
      <c r="K36" s="520">
        <f t="shared" si="7"/>
        <v>6.2416882808365454E-3</v>
      </c>
      <c r="L36" s="520">
        <f t="shared" si="7"/>
        <v>-1.2349527158848381E-2</v>
      </c>
      <c r="M36" s="520">
        <f t="shared" si="7"/>
        <v>-3.5916351703568508E-2</v>
      </c>
      <c r="N36" s="520">
        <f t="shared" si="7"/>
        <v>-5.9272619232100567E-2</v>
      </c>
    </row>
    <row r="38" spans="6:25" x14ac:dyDescent="0.25">
      <c r="J38" s="494"/>
    </row>
    <row r="42" spans="6:25" x14ac:dyDescent="0.25">
      <c r="G42" t="s">
        <v>1244</v>
      </c>
    </row>
    <row r="43" spans="6:25" x14ac:dyDescent="0.25">
      <c r="G43" t="s">
        <v>1245</v>
      </c>
    </row>
    <row r="44" spans="6:25" x14ac:dyDescent="0.25">
      <c r="M44" s="484" t="s">
        <v>1274</v>
      </c>
    </row>
    <row r="45" spans="6:25" ht="37.5" x14ac:dyDescent="0.25">
      <c r="G45" s="488" t="s">
        <v>1246</v>
      </c>
      <c r="H45" s="488" t="s">
        <v>1247</v>
      </c>
      <c r="I45" s="488" t="s">
        <v>1248</v>
      </c>
      <c r="J45" s="488" t="s">
        <v>1249</v>
      </c>
      <c r="K45" s="488" t="s">
        <v>1250</v>
      </c>
      <c r="M45" s="511" t="s">
        <v>1273</v>
      </c>
      <c r="N45" s="511" t="s">
        <v>1268</v>
      </c>
      <c r="O45" s="511" t="s">
        <v>1269</v>
      </c>
      <c r="P45" s="511" t="s">
        <v>1270</v>
      </c>
      <c r="Q45" s="511" t="s">
        <v>1228</v>
      </c>
      <c r="V45" t="s">
        <v>1300</v>
      </c>
      <c r="W45" t="s">
        <v>1301</v>
      </c>
      <c r="X45" s="517" t="s">
        <v>1302</v>
      </c>
      <c r="Y45" s="517" t="s">
        <v>1303</v>
      </c>
    </row>
    <row r="46" spans="6:25" x14ac:dyDescent="0.25">
      <c r="G46" s="439" t="s">
        <v>1251</v>
      </c>
      <c r="H46" s="417">
        <f>129058+1250</f>
        <v>130308</v>
      </c>
      <c r="I46" s="417">
        <v>11564</v>
      </c>
      <c r="J46" s="417">
        <v>16100</v>
      </c>
      <c r="K46" s="417">
        <f>SUM(H46:J46)</f>
        <v>157972</v>
      </c>
      <c r="M46" s="439">
        <v>2007</v>
      </c>
      <c r="N46" s="418">
        <f>+Q46-P46-O46</f>
        <v>1494800</v>
      </c>
      <c r="O46" s="418">
        <v>177600</v>
      </c>
      <c r="P46" s="418">
        <v>177600</v>
      </c>
      <c r="Q46" s="418">
        <v>1850000</v>
      </c>
      <c r="R46" s="484" t="s">
        <v>1271</v>
      </c>
      <c r="V46" s="418">
        <f>(V47/N47)*N46</f>
        <v>135425.48733624342</v>
      </c>
      <c r="W46" s="418">
        <f>(W47/N47)*N46</f>
        <v>188546.38067394661</v>
      </c>
      <c r="X46" s="418">
        <f t="shared" ref="X46:Y51" si="8">O46-V46</f>
        <v>42174.512663756585</v>
      </c>
      <c r="Y46" s="418">
        <f t="shared" si="8"/>
        <v>-10946.380673946609</v>
      </c>
    </row>
    <row r="47" spans="6:25" x14ac:dyDescent="0.25">
      <c r="G47" s="439" t="s">
        <v>1252</v>
      </c>
      <c r="H47" s="417">
        <f>129058+1250</f>
        <v>130308</v>
      </c>
      <c r="I47" s="417">
        <v>11564</v>
      </c>
      <c r="J47" s="417">
        <v>16100</v>
      </c>
      <c r="K47" s="417">
        <f t="shared" ref="K47:K57" si="9">SUM(H47:J47)</f>
        <v>157972</v>
      </c>
      <c r="M47" s="439">
        <f>+M46+1</f>
        <v>2008</v>
      </c>
      <c r="N47" s="418">
        <f>+Q47-P47-O47</f>
        <v>1531694</v>
      </c>
      <c r="O47" s="418">
        <f>+P47</f>
        <v>181985</v>
      </c>
      <c r="P47" s="418">
        <v>181985</v>
      </c>
      <c r="Q47" s="418">
        <v>1895664</v>
      </c>
      <c r="R47" s="520">
        <f>(Q47/Q46)-1</f>
        <v>2.4683243243243336E-2</v>
      </c>
      <c r="S47" s="484" t="s">
        <v>1272</v>
      </c>
      <c r="V47" s="418">
        <f>11564*12</f>
        <v>138768</v>
      </c>
      <c r="W47" s="418">
        <f>16100*12</f>
        <v>193200</v>
      </c>
      <c r="X47" s="418">
        <f t="shared" si="8"/>
        <v>43217</v>
      </c>
      <c r="Y47" s="418">
        <f t="shared" si="8"/>
        <v>-11215</v>
      </c>
    </row>
    <row r="48" spans="6:25" x14ac:dyDescent="0.25">
      <c r="G48" s="439" t="s">
        <v>1253</v>
      </c>
      <c r="H48" s="417">
        <f>129058+1250</f>
        <v>130308</v>
      </c>
      <c r="I48" s="417">
        <v>11564</v>
      </c>
      <c r="J48" s="417">
        <v>16100</v>
      </c>
      <c r="K48" s="417">
        <f t="shared" si="9"/>
        <v>157972</v>
      </c>
      <c r="M48" s="439">
        <v>2009</v>
      </c>
      <c r="N48" s="418">
        <f>+N47</f>
        <v>1531694</v>
      </c>
      <c r="O48" s="418">
        <f>+Q48-P48-N48</f>
        <v>270902.76</v>
      </c>
      <c r="P48" s="418">
        <f>+J59</f>
        <v>263036.24</v>
      </c>
      <c r="Q48" s="418">
        <v>2065633</v>
      </c>
      <c r="R48" s="520">
        <f>(Q48/Q47)-1</f>
        <v>8.9661986512377778E-2</v>
      </c>
      <c r="V48" s="418">
        <f>15897*12</f>
        <v>190764</v>
      </c>
      <c r="W48" s="418">
        <f>+W47</f>
        <v>193200</v>
      </c>
      <c r="X48" s="418">
        <f t="shared" si="8"/>
        <v>80138.760000000009</v>
      </c>
      <c r="Y48" s="418">
        <f t="shared" si="8"/>
        <v>69836.239999999991</v>
      </c>
    </row>
    <row r="49" spans="7:25" x14ac:dyDescent="0.25">
      <c r="G49" s="439" t="s">
        <v>1254</v>
      </c>
      <c r="H49" s="417">
        <f>129058+1250</f>
        <v>130308</v>
      </c>
      <c r="I49" s="417">
        <v>11564</v>
      </c>
      <c r="J49" s="417">
        <v>16100</v>
      </c>
      <c r="K49" s="417">
        <f t="shared" si="9"/>
        <v>157972</v>
      </c>
      <c r="M49" s="439">
        <f>+M48+1</f>
        <v>2010</v>
      </c>
      <c r="N49" s="418">
        <f>+H75</f>
        <v>1551816.83</v>
      </c>
      <c r="O49" s="418">
        <f>+I75</f>
        <v>280747.13</v>
      </c>
      <c r="P49" s="418">
        <f>+J75</f>
        <v>230255.05</v>
      </c>
      <c r="Q49" s="418">
        <f>+P49+O49+N49</f>
        <v>2062819.01</v>
      </c>
      <c r="R49" s="520">
        <f>(Q49/Q48)-1</f>
        <v>-1.3622894289546661E-3</v>
      </c>
      <c r="V49" s="418">
        <f>+V48</f>
        <v>190764</v>
      </c>
      <c r="W49" s="418">
        <f>+W48</f>
        <v>193200</v>
      </c>
      <c r="X49" s="418">
        <f t="shared" si="8"/>
        <v>89983.13</v>
      </c>
      <c r="Y49" s="418">
        <f t="shared" si="8"/>
        <v>37055.049999999988</v>
      </c>
    </row>
    <row r="50" spans="7:25" x14ac:dyDescent="0.25">
      <c r="G50" s="439" t="s">
        <v>1255</v>
      </c>
      <c r="H50" s="417">
        <f t="shared" ref="H50:H56" si="10">124725+1250</f>
        <v>125975</v>
      </c>
      <c r="I50" s="417">
        <v>15897</v>
      </c>
      <c r="J50" s="417">
        <v>16100</v>
      </c>
      <c r="K50" s="417">
        <f t="shared" si="9"/>
        <v>157972</v>
      </c>
      <c r="M50" s="439">
        <f>+M49+1</f>
        <v>2011</v>
      </c>
      <c r="N50" s="418">
        <f>+H91</f>
        <v>1601385.0099999998</v>
      </c>
      <c r="O50" s="418">
        <f>+I91</f>
        <v>291613.88</v>
      </c>
      <c r="P50" s="418">
        <f>+J91</f>
        <v>292879.71999999997</v>
      </c>
      <c r="Q50" s="418">
        <f>+P50+O50+N50</f>
        <v>2185878.61</v>
      </c>
      <c r="R50" s="520">
        <f>(Q50/Q49)-1</f>
        <v>5.9656033516968465E-2</v>
      </c>
      <c r="V50" s="418">
        <f>+V48</f>
        <v>190764</v>
      </c>
      <c r="W50" s="418">
        <f>+W49</f>
        <v>193200</v>
      </c>
      <c r="X50" s="418">
        <f t="shared" si="8"/>
        <v>100849.88</v>
      </c>
      <c r="Y50" s="418">
        <f t="shared" si="8"/>
        <v>99679.719999999972</v>
      </c>
    </row>
    <row r="51" spans="7:25" x14ac:dyDescent="0.25">
      <c r="G51" s="439" t="s">
        <v>1256</v>
      </c>
      <c r="H51" s="417">
        <f t="shared" si="10"/>
        <v>125975</v>
      </c>
      <c r="I51" s="417">
        <v>15897</v>
      </c>
      <c r="J51" s="417">
        <v>16100</v>
      </c>
      <c r="K51" s="417">
        <f t="shared" si="9"/>
        <v>157972</v>
      </c>
      <c r="M51" s="439">
        <f>+M50+1</f>
        <v>2012</v>
      </c>
      <c r="N51" s="418">
        <f>+H107</f>
        <v>1632634.9199999997</v>
      </c>
      <c r="O51" s="418">
        <v>308684</v>
      </c>
      <c r="P51" s="418">
        <v>258575</v>
      </c>
      <c r="Q51" s="418">
        <f>+K107</f>
        <v>2125598.88</v>
      </c>
      <c r="R51" s="520">
        <f>(Q51/Q50)-1</f>
        <v>-2.7576888178616699E-2</v>
      </c>
      <c r="V51" s="418">
        <f>+V48</f>
        <v>190764</v>
      </c>
      <c r="W51" s="418">
        <f>+W50</f>
        <v>193200</v>
      </c>
      <c r="X51" s="418">
        <f t="shared" si="8"/>
        <v>117920</v>
      </c>
      <c r="Y51" s="418">
        <f t="shared" si="8"/>
        <v>65375</v>
      </c>
    </row>
    <row r="52" spans="7:25" x14ac:dyDescent="0.25">
      <c r="G52" s="439" t="s">
        <v>1257</v>
      </c>
      <c r="H52" s="417">
        <f t="shared" si="10"/>
        <v>125975</v>
      </c>
      <c r="I52" s="417">
        <v>15897</v>
      </c>
      <c r="J52" s="417">
        <v>16100</v>
      </c>
      <c r="K52" s="417">
        <f t="shared" si="9"/>
        <v>157972</v>
      </c>
    </row>
    <row r="53" spans="7:25" x14ac:dyDescent="0.25">
      <c r="G53" s="439" t="s">
        <v>1258</v>
      </c>
      <c r="H53" s="417">
        <f t="shared" si="10"/>
        <v>125975</v>
      </c>
      <c r="I53" s="417">
        <v>15897</v>
      </c>
      <c r="J53" s="417">
        <v>16100</v>
      </c>
      <c r="K53" s="417">
        <f t="shared" si="9"/>
        <v>157972</v>
      </c>
      <c r="M53" t="s">
        <v>1298</v>
      </c>
      <c r="N53" s="418">
        <f>SUM(N46:N51)</f>
        <v>9344024.7599999998</v>
      </c>
      <c r="O53" s="418">
        <f>SUM(O46:O51)</f>
        <v>1511532.77</v>
      </c>
      <c r="P53" s="418">
        <f>SUM(P46:P51)</f>
        <v>1404331.01</v>
      </c>
      <c r="R53" s="496">
        <f>RATE(5,0,-Q46,Q51)</f>
        <v>2.8162871600657162E-2</v>
      </c>
      <c r="S53" s="484" t="s">
        <v>1275</v>
      </c>
    </row>
    <row r="54" spans="7:25" x14ac:dyDescent="0.25">
      <c r="G54" s="439" t="s">
        <v>1259</v>
      </c>
      <c r="H54" s="417">
        <f t="shared" si="10"/>
        <v>125975</v>
      </c>
      <c r="I54" s="417">
        <v>15897</v>
      </c>
      <c r="J54" s="417">
        <v>16100</v>
      </c>
      <c r="K54" s="417">
        <f t="shared" si="9"/>
        <v>157972</v>
      </c>
      <c r="M54" t="s">
        <v>1299</v>
      </c>
      <c r="N54" s="418">
        <f>+N53</f>
        <v>9344024.7599999998</v>
      </c>
    </row>
    <row r="55" spans="7:25" x14ac:dyDescent="0.25">
      <c r="G55" s="439" t="s">
        <v>1260</v>
      </c>
      <c r="H55" s="417">
        <f t="shared" si="10"/>
        <v>125975</v>
      </c>
      <c r="I55" s="417">
        <f>15897+35193.68</f>
        <v>51090.68</v>
      </c>
      <c r="J55" s="417">
        <f>16100+4914.76</f>
        <v>21014.760000000002</v>
      </c>
      <c r="K55" s="417">
        <f t="shared" si="9"/>
        <v>198080.44</v>
      </c>
    </row>
    <row r="56" spans="7:25" x14ac:dyDescent="0.25">
      <c r="G56" s="439" t="s">
        <v>1261</v>
      </c>
      <c r="H56" s="417">
        <f t="shared" si="10"/>
        <v>125975</v>
      </c>
      <c r="I56" s="417">
        <f>15897+20293.81</f>
        <v>36190.81</v>
      </c>
      <c r="J56" s="417">
        <f>16100+21557.46</f>
        <v>37657.46</v>
      </c>
      <c r="K56" s="417">
        <f t="shared" si="9"/>
        <v>199823.27</v>
      </c>
    </row>
    <row r="57" spans="7:25" x14ac:dyDescent="0.25">
      <c r="G57" s="439" t="s">
        <v>1262</v>
      </c>
      <c r="H57" s="437">
        <f>124725+1250-13446.54</f>
        <v>112528.45999999999</v>
      </c>
      <c r="I57" s="437">
        <f>15897+25295.81+27018.17+5777.34</f>
        <v>73988.319999999992</v>
      </c>
      <c r="J57" s="437">
        <f>16100+14914.25+23148.01+5301.76</f>
        <v>59464.02</v>
      </c>
      <c r="K57" s="437">
        <f t="shared" si="9"/>
        <v>245980.79999999996</v>
      </c>
    </row>
    <row r="58" spans="7:25" x14ac:dyDescent="0.25">
      <c r="H58" s="418"/>
      <c r="I58" s="418"/>
      <c r="J58" s="418"/>
      <c r="K58" s="418"/>
    </row>
    <row r="59" spans="7:25" x14ac:dyDescent="0.25">
      <c r="H59" s="418">
        <f>SUM(H46:H58)</f>
        <v>1515585.46</v>
      </c>
      <c r="I59" s="418">
        <f>SUM(I46:I58)</f>
        <v>287010.81</v>
      </c>
      <c r="J59" s="418">
        <f>SUM(J46:J58)</f>
        <v>263036.24</v>
      </c>
      <c r="K59" s="418">
        <f>SUM(K46:K58)</f>
        <v>2065632.51</v>
      </c>
    </row>
    <row r="60" spans="7:25" x14ac:dyDescent="0.25">
      <c r="H60" s="418"/>
      <c r="I60" s="418"/>
      <c r="J60" s="418"/>
      <c r="K60" s="418"/>
    </row>
    <row r="61" spans="7:25" x14ac:dyDescent="0.25">
      <c r="G61" s="488" t="s">
        <v>1263</v>
      </c>
      <c r="H61" s="418"/>
      <c r="I61" s="418"/>
      <c r="J61" s="418"/>
      <c r="K61" s="418"/>
    </row>
    <row r="62" spans="7:25" x14ac:dyDescent="0.25">
      <c r="G62" s="439" t="s">
        <v>1251</v>
      </c>
      <c r="H62" s="417">
        <f>124725+1250</f>
        <v>125975</v>
      </c>
      <c r="I62" s="417">
        <v>15897</v>
      </c>
      <c r="J62" s="417">
        <v>16100</v>
      </c>
      <c r="K62" s="417">
        <f>SUM(H62:J62)</f>
        <v>157972</v>
      </c>
    </row>
    <row r="63" spans="7:25" x14ac:dyDescent="0.25">
      <c r="G63" s="439" t="s">
        <v>1252</v>
      </c>
      <c r="H63" s="417">
        <f>124725+1250</f>
        <v>125975</v>
      </c>
      <c r="I63" s="417">
        <v>15897</v>
      </c>
      <c r="J63" s="417">
        <v>16100</v>
      </c>
      <c r="K63" s="417">
        <f t="shared" ref="K63:K73" si="11">SUM(H63:J63)</f>
        <v>157972</v>
      </c>
    </row>
    <row r="64" spans="7:25" x14ac:dyDescent="0.25">
      <c r="G64" s="439" t="s">
        <v>1253</v>
      </c>
      <c r="H64" s="417">
        <f>129215.08+1250+8980.16</f>
        <v>139445.24</v>
      </c>
      <c r="I64" s="417">
        <v>15897</v>
      </c>
      <c r="J64" s="417">
        <v>16100</v>
      </c>
      <c r="K64" s="417">
        <f t="shared" si="11"/>
        <v>171442.24</v>
      </c>
    </row>
    <row r="65" spans="7:11" x14ac:dyDescent="0.25">
      <c r="G65" s="439" t="s">
        <v>1254</v>
      </c>
      <c r="H65" s="417">
        <f>129215.08+1250</f>
        <v>130465.08</v>
      </c>
      <c r="I65" s="417">
        <v>15897</v>
      </c>
      <c r="J65" s="417">
        <v>16100</v>
      </c>
      <c r="K65" s="417">
        <f t="shared" si="11"/>
        <v>162462.08000000002</v>
      </c>
    </row>
    <row r="66" spans="7:11" x14ac:dyDescent="0.25">
      <c r="G66" s="439" t="s">
        <v>1255</v>
      </c>
      <c r="H66" s="417">
        <f t="shared" ref="H66:H72" si="12">129215.08+1250</f>
        <v>130465.08</v>
      </c>
      <c r="I66" s="417">
        <v>15897</v>
      </c>
      <c r="J66" s="417">
        <v>16100</v>
      </c>
      <c r="K66" s="417">
        <f t="shared" si="11"/>
        <v>162462.08000000002</v>
      </c>
    </row>
    <row r="67" spans="7:11" x14ac:dyDescent="0.25">
      <c r="G67" s="439" t="s">
        <v>1256</v>
      </c>
      <c r="H67" s="417">
        <f t="shared" si="12"/>
        <v>130465.08</v>
      </c>
      <c r="I67" s="417">
        <v>15897</v>
      </c>
      <c r="J67" s="417">
        <v>16100</v>
      </c>
      <c r="K67" s="417">
        <f t="shared" si="11"/>
        <v>162462.08000000002</v>
      </c>
    </row>
    <row r="68" spans="7:11" x14ac:dyDescent="0.25">
      <c r="G68" s="439" t="s">
        <v>1257</v>
      </c>
      <c r="H68" s="417">
        <f t="shared" si="12"/>
        <v>130465.08</v>
      </c>
      <c r="I68" s="417">
        <v>15897</v>
      </c>
      <c r="J68" s="417">
        <v>16100</v>
      </c>
      <c r="K68" s="417">
        <f t="shared" si="11"/>
        <v>162462.08000000002</v>
      </c>
    </row>
    <row r="69" spans="7:11" x14ac:dyDescent="0.25">
      <c r="G69" s="439" t="s">
        <v>1258</v>
      </c>
      <c r="H69" s="417">
        <f t="shared" si="12"/>
        <v>130465.08</v>
      </c>
      <c r="I69" s="417">
        <v>15897</v>
      </c>
      <c r="J69" s="417">
        <v>16100</v>
      </c>
      <c r="K69" s="417">
        <f t="shared" si="11"/>
        <v>162462.08000000002</v>
      </c>
    </row>
    <row r="70" spans="7:11" x14ac:dyDescent="0.25">
      <c r="G70" s="439" t="s">
        <v>1259</v>
      </c>
      <c r="H70" s="417">
        <f t="shared" si="12"/>
        <v>130465.08</v>
      </c>
      <c r="I70" s="417">
        <v>15897</v>
      </c>
      <c r="J70" s="417">
        <v>16100</v>
      </c>
      <c r="K70" s="417">
        <f t="shared" si="11"/>
        <v>162462.08000000002</v>
      </c>
    </row>
    <row r="71" spans="7:11" x14ac:dyDescent="0.25">
      <c r="G71" s="439" t="s">
        <v>1260</v>
      </c>
      <c r="H71" s="417">
        <f t="shared" si="12"/>
        <v>130465.08</v>
      </c>
      <c r="I71" s="417">
        <v>15897</v>
      </c>
      <c r="J71" s="417">
        <v>16100</v>
      </c>
      <c r="K71" s="417">
        <f t="shared" si="11"/>
        <v>162462.08000000002</v>
      </c>
    </row>
    <row r="72" spans="7:11" x14ac:dyDescent="0.25">
      <c r="G72" s="439" t="s">
        <v>1261</v>
      </c>
      <c r="H72" s="417">
        <f t="shared" si="12"/>
        <v>130465.08</v>
      </c>
      <c r="I72" s="417">
        <f>15897+22006.35</f>
        <v>37903.35</v>
      </c>
      <c r="J72" s="417">
        <f>16100+66.32</f>
        <v>16166.32</v>
      </c>
      <c r="K72" s="417">
        <f t="shared" si="11"/>
        <v>184534.75</v>
      </c>
    </row>
    <row r="73" spans="7:11" x14ac:dyDescent="0.25">
      <c r="G73" s="439" t="s">
        <v>1262</v>
      </c>
      <c r="H73" s="437">
        <f>129215.08+1250-13764.13</f>
        <v>116700.95</v>
      </c>
      <c r="I73" s="437">
        <f>15897+27558.87+19210.56+21207.35</f>
        <v>83873.78</v>
      </c>
      <c r="J73" s="437">
        <f>16100+14131.28+7483.98+15373.47</f>
        <v>53088.729999999996</v>
      </c>
      <c r="K73" s="437">
        <f t="shared" si="11"/>
        <v>253663.45999999996</v>
      </c>
    </row>
    <row r="74" spans="7:11" x14ac:dyDescent="0.25">
      <c r="H74" s="417"/>
      <c r="I74" s="417"/>
      <c r="J74" s="417"/>
      <c r="K74" s="417"/>
    </row>
    <row r="75" spans="7:11" x14ac:dyDescent="0.25">
      <c r="H75" s="417">
        <f>SUM(H62:H74)</f>
        <v>1551816.83</v>
      </c>
      <c r="I75" s="417">
        <f>SUM(I62:I74)</f>
        <v>280747.13</v>
      </c>
      <c r="J75" s="417">
        <f>SUM(J62:J74)</f>
        <v>230255.05</v>
      </c>
      <c r="K75" s="417">
        <f>SUM(K62:K74)</f>
        <v>2062819.0100000005</v>
      </c>
    </row>
    <row r="76" spans="7:11" x14ac:dyDescent="0.25">
      <c r="H76" s="417"/>
      <c r="I76" s="417"/>
      <c r="J76" s="417"/>
      <c r="K76" s="417"/>
    </row>
    <row r="77" spans="7:11" x14ac:dyDescent="0.25">
      <c r="G77" s="488" t="s">
        <v>1264</v>
      </c>
      <c r="H77" s="417"/>
      <c r="I77" s="417"/>
      <c r="J77" s="417"/>
      <c r="K77" s="417"/>
    </row>
    <row r="78" spans="7:11" x14ac:dyDescent="0.25">
      <c r="G78" s="439" t="s">
        <v>1251</v>
      </c>
      <c r="H78" s="417">
        <f>129215.08+1250</f>
        <v>130465.08</v>
      </c>
      <c r="I78" s="417">
        <v>15897</v>
      </c>
      <c r="J78" s="417">
        <v>16100</v>
      </c>
      <c r="K78" s="417">
        <f>SUM(H78:J78)</f>
        <v>162462.08000000002</v>
      </c>
    </row>
    <row r="79" spans="7:11" x14ac:dyDescent="0.25">
      <c r="G79" s="439" t="s">
        <v>1252</v>
      </c>
      <c r="H79" s="417">
        <f>129215.08+1250</f>
        <v>130465.08</v>
      </c>
      <c r="I79" s="417">
        <v>15897</v>
      </c>
      <c r="J79" s="417">
        <v>16100</v>
      </c>
      <c r="K79" s="417">
        <f t="shared" ref="K79:K89" si="13">SUM(H79:J79)</f>
        <v>162462.08000000002</v>
      </c>
    </row>
    <row r="80" spans="7:11" x14ac:dyDescent="0.25">
      <c r="G80" s="439" t="s">
        <v>1253</v>
      </c>
      <c r="H80" s="417">
        <f>129215.08+1250</f>
        <v>130465.08</v>
      </c>
      <c r="I80" s="417">
        <v>15897</v>
      </c>
      <c r="J80" s="417">
        <v>16100</v>
      </c>
      <c r="K80" s="417">
        <f t="shared" si="13"/>
        <v>162462.08000000002</v>
      </c>
    </row>
    <row r="81" spans="7:12" x14ac:dyDescent="0.25">
      <c r="G81" s="439" t="s">
        <v>1254</v>
      </c>
      <c r="H81" s="417">
        <f>129215.08+1250</f>
        <v>130465.08</v>
      </c>
      <c r="I81" s="417">
        <v>15897</v>
      </c>
      <c r="J81" s="417">
        <v>16100</v>
      </c>
      <c r="K81" s="417">
        <f t="shared" si="13"/>
        <v>162462.08000000002</v>
      </c>
    </row>
    <row r="82" spans="7:12" x14ac:dyDescent="0.25">
      <c r="G82" s="439" t="s">
        <v>1255</v>
      </c>
      <c r="H82" s="417">
        <f>129215.08+1250</f>
        <v>130465.08</v>
      </c>
      <c r="I82" s="417">
        <v>15897</v>
      </c>
      <c r="J82" s="417">
        <v>16100</v>
      </c>
      <c r="K82" s="417">
        <f t="shared" si="13"/>
        <v>162462.08000000002</v>
      </c>
    </row>
    <row r="83" spans="7:12" x14ac:dyDescent="0.25">
      <c r="G83" s="439" t="s">
        <v>1256</v>
      </c>
      <c r="H83" s="417">
        <f>133359.91+1250+20724.13</f>
        <v>155334.04</v>
      </c>
      <c r="I83" s="417">
        <v>15897</v>
      </c>
      <c r="J83" s="417">
        <v>16100</v>
      </c>
      <c r="K83" s="417">
        <f t="shared" si="13"/>
        <v>187331.04</v>
      </c>
    </row>
    <row r="84" spans="7:12" x14ac:dyDescent="0.25">
      <c r="G84" s="439" t="s">
        <v>1257</v>
      </c>
      <c r="H84" s="417">
        <f>133359.91+1250</f>
        <v>134609.91</v>
      </c>
      <c r="I84" s="417">
        <v>15897</v>
      </c>
      <c r="J84" s="417">
        <v>16100</v>
      </c>
      <c r="K84" s="417">
        <f t="shared" si="13"/>
        <v>166606.91</v>
      </c>
    </row>
    <row r="85" spans="7:12" x14ac:dyDescent="0.25">
      <c r="G85" s="439" t="s">
        <v>1258</v>
      </c>
      <c r="H85" s="417">
        <f>133359.91+1250</f>
        <v>134609.91</v>
      </c>
      <c r="I85" s="417">
        <v>15897</v>
      </c>
      <c r="J85" s="417">
        <v>16100</v>
      </c>
      <c r="K85" s="417">
        <f t="shared" si="13"/>
        <v>166606.91</v>
      </c>
    </row>
    <row r="86" spans="7:12" x14ac:dyDescent="0.25">
      <c r="G86" s="439" t="s">
        <v>1259</v>
      </c>
      <c r="H86" s="417">
        <f>133359.91+1250</f>
        <v>134609.91</v>
      </c>
      <c r="I86" s="417">
        <v>15897</v>
      </c>
      <c r="J86" s="417">
        <v>16100</v>
      </c>
      <c r="K86" s="417">
        <f t="shared" si="13"/>
        <v>166606.91</v>
      </c>
    </row>
    <row r="87" spans="7:12" x14ac:dyDescent="0.25">
      <c r="G87" s="439" t="s">
        <v>1260</v>
      </c>
      <c r="H87" s="417">
        <f>133359.91+1250</f>
        <v>134609.91</v>
      </c>
      <c r="I87" s="417">
        <v>15897</v>
      </c>
      <c r="J87" s="417">
        <v>16100</v>
      </c>
      <c r="K87" s="417">
        <f t="shared" si="13"/>
        <v>166606.91</v>
      </c>
    </row>
    <row r="88" spans="7:12" x14ac:dyDescent="0.25">
      <c r="G88" s="439" t="s">
        <v>1261</v>
      </c>
      <c r="H88" s="417">
        <f>133359.91+1250-11836.18</f>
        <v>122773.73000000001</v>
      </c>
      <c r="I88" s="417">
        <f>15897+92176.48</f>
        <v>108073.48</v>
      </c>
      <c r="J88" s="417">
        <f>16100+68627.35</f>
        <v>84727.35</v>
      </c>
      <c r="K88" s="417">
        <f t="shared" si="13"/>
        <v>315574.56000000006</v>
      </c>
    </row>
    <row r="89" spans="7:12" x14ac:dyDescent="0.25">
      <c r="G89" s="439" t="s">
        <v>1262</v>
      </c>
      <c r="H89" s="437">
        <f>133359.91+1250-847.71-1250</f>
        <v>132512.20000000001</v>
      </c>
      <c r="I89" s="437">
        <f>15897+3459.02+5214.38</f>
        <v>24570.400000000001</v>
      </c>
      <c r="J89" s="437">
        <f>16100+11498.38+19553.99</f>
        <v>47152.369999999995</v>
      </c>
      <c r="K89" s="437">
        <f t="shared" si="13"/>
        <v>204234.97</v>
      </c>
    </row>
    <row r="90" spans="7:12" x14ac:dyDescent="0.25">
      <c r="H90" s="417"/>
      <c r="I90" s="417"/>
      <c r="J90" s="417"/>
      <c r="K90" s="417"/>
    </row>
    <row r="91" spans="7:12" x14ac:dyDescent="0.25">
      <c r="H91" s="417">
        <f>SUM(H78:H90)</f>
        <v>1601385.0099999998</v>
      </c>
      <c r="I91" s="417">
        <f>SUM(I78:I90)</f>
        <v>291613.88</v>
      </c>
      <c r="J91" s="417">
        <f>SUM(J78:J90)</f>
        <v>292879.71999999997</v>
      </c>
      <c r="K91" s="417">
        <f>SUM(K78:K90)</f>
        <v>2185878.61</v>
      </c>
    </row>
    <row r="92" spans="7:12" x14ac:dyDescent="0.25">
      <c r="H92" s="417"/>
      <c r="I92" s="417"/>
      <c r="J92" s="417"/>
      <c r="K92" s="417"/>
    </row>
    <row r="93" spans="7:12" x14ac:dyDescent="0.25">
      <c r="G93" s="488" t="s">
        <v>1265</v>
      </c>
      <c r="H93" s="417"/>
      <c r="I93" s="417"/>
      <c r="J93" s="417"/>
      <c r="K93" s="417"/>
    </row>
    <row r="94" spans="7:12" x14ac:dyDescent="0.25">
      <c r="G94" s="439" t="s">
        <v>1251</v>
      </c>
      <c r="H94" s="417">
        <f>134802.91+1250</f>
        <v>136052.91</v>
      </c>
      <c r="I94" s="417">
        <f>15897+8333.33-1333.33</f>
        <v>22897</v>
      </c>
      <c r="J94" s="417">
        <f>16100+2083.33</f>
        <v>18183.330000000002</v>
      </c>
      <c r="K94" s="417">
        <f>SUM(H94:J94)</f>
        <v>177133.24</v>
      </c>
      <c r="L94" t="s">
        <v>1266</v>
      </c>
    </row>
    <row r="95" spans="7:12" x14ac:dyDescent="0.25">
      <c r="G95" s="439" t="s">
        <v>1252</v>
      </c>
      <c r="H95" s="417">
        <f t="shared" ref="H95:H105" si="14">134802.91+1250</f>
        <v>136052.91</v>
      </c>
      <c r="I95" s="417">
        <f t="shared" ref="I95:I105" si="15">15897+8333.33-1333.33</f>
        <v>22897</v>
      </c>
      <c r="J95" s="417">
        <f t="shared" ref="J95:J105" si="16">16100+2083.33</f>
        <v>18183.330000000002</v>
      </c>
      <c r="K95" s="417">
        <f t="shared" ref="K95:K105" si="17">SUM(H95:J95)</f>
        <v>177133.24</v>
      </c>
      <c r="L95" t="s">
        <v>1267</v>
      </c>
    </row>
    <row r="96" spans="7:12" x14ac:dyDescent="0.25">
      <c r="G96" s="439" t="s">
        <v>1253</v>
      </c>
      <c r="H96" s="417">
        <f t="shared" si="14"/>
        <v>136052.91</v>
      </c>
      <c r="I96" s="417">
        <f t="shared" si="15"/>
        <v>22897</v>
      </c>
      <c r="J96" s="417">
        <f t="shared" si="16"/>
        <v>18183.330000000002</v>
      </c>
      <c r="K96" s="417">
        <f t="shared" si="17"/>
        <v>177133.24</v>
      </c>
    </row>
    <row r="97" spans="1:11" x14ac:dyDescent="0.25">
      <c r="G97" s="439" t="s">
        <v>1254</v>
      </c>
      <c r="H97" s="417">
        <f t="shared" si="14"/>
        <v>136052.91</v>
      </c>
      <c r="I97" s="417">
        <f t="shared" si="15"/>
        <v>22897</v>
      </c>
      <c r="J97" s="417">
        <f t="shared" si="16"/>
        <v>18183.330000000002</v>
      </c>
      <c r="K97" s="417">
        <f t="shared" si="17"/>
        <v>177133.24</v>
      </c>
    </row>
    <row r="98" spans="1:11" x14ac:dyDescent="0.25">
      <c r="G98" s="439" t="s">
        <v>1255</v>
      </c>
      <c r="H98" s="417">
        <f t="shared" si="14"/>
        <v>136052.91</v>
      </c>
      <c r="I98" s="417">
        <f t="shared" si="15"/>
        <v>22897</v>
      </c>
      <c r="J98" s="417">
        <f t="shared" si="16"/>
        <v>18183.330000000002</v>
      </c>
      <c r="K98" s="417">
        <f t="shared" si="17"/>
        <v>177133.24</v>
      </c>
    </row>
    <row r="99" spans="1:11" x14ac:dyDescent="0.25">
      <c r="G99" s="439" t="s">
        <v>1256</v>
      </c>
      <c r="H99" s="417">
        <f t="shared" si="14"/>
        <v>136052.91</v>
      </c>
      <c r="I99" s="417">
        <f t="shared" si="15"/>
        <v>22897</v>
      </c>
      <c r="J99" s="417">
        <f t="shared" si="16"/>
        <v>18183.330000000002</v>
      </c>
      <c r="K99" s="417">
        <f t="shared" si="17"/>
        <v>177133.24</v>
      </c>
    </row>
    <row r="100" spans="1:11" x14ac:dyDescent="0.25">
      <c r="G100" s="439" t="s">
        <v>1257</v>
      </c>
      <c r="H100" s="417">
        <f t="shared" si="14"/>
        <v>136052.91</v>
      </c>
      <c r="I100" s="417">
        <f t="shared" si="15"/>
        <v>22897</v>
      </c>
      <c r="J100" s="417">
        <f t="shared" si="16"/>
        <v>18183.330000000002</v>
      </c>
      <c r="K100" s="417">
        <f t="shared" si="17"/>
        <v>177133.24</v>
      </c>
    </row>
    <row r="101" spans="1:11" x14ac:dyDescent="0.25">
      <c r="G101" s="439" t="s">
        <v>1258</v>
      </c>
      <c r="H101" s="417">
        <f t="shared" si="14"/>
        <v>136052.91</v>
      </c>
      <c r="I101" s="417">
        <f t="shared" si="15"/>
        <v>22897</v>
      </c>
      <c r="J101" s="417">
        <f t="shared" si="16"/>
        <v>18183.330000000002</v>
      </c>
      <c r="K101" s="417">
        <f t="shared" si="17"/>
        <v>177133.24</v>
      </c>
    </row>
    <row r="102" spans="1:11" x14ac:dyDescent="0.25">
      <c r="G102" s="439" t="s">
        <v>1259</v>
      </c>
      <c r="H102" s="417">
        <f t="shared" si="14"/>
        <v>136052.91</v>
      </c>
      <c r="I102" s="417">
        <f t="shared" si="15"/>
        <v>22897</v>
      </c>
      <c r="J102" s="417">
        <f t="shared" si="16"/>
        <v>18183.330000000002</v>
      </c>
      <c r="K102" s="417">
        <f t="shared" si="17"/>
        <v>177133.24</v>
      </c>
    </row>
    <row r="103" spans="1:11" x14ac:dyDescent="0.25">
      <c r="G103" s="439" t="s">
        <v>1260</v>
      </c>
      <c r="H103" s="417">
        <f t="shared" si="14"/>
        <v>136052.91</v>
      </c>
      <c r="I103" s="417">
        <f t="shared" si="15"/>
        <v>22897</v>
      </c>
      <c r="J103" s="417">
        <f t="shared" si="16"/>
        <v>18183.330000000002</v>
      </c>
      <c r="K103" s="417">
        <f t="shared" si="17"/>
        <v>177133.24</v>
      </c>
    </row>
    <row r="104" spans="1:11" x14ac:dyDescent="0.25">
      <c r="G104" s="439" t="s">
        <v>1261</v>
      </c>
      <c r="H104" s="417">
        <f t="shared" si="14"/>
        <v>136052.91</v>
      </c>
      <c r="I104" s="417">
        <f t="shared" si="15"/>
        <v>22897</v>
      </c>
      <c r="J104" s="417">
        <f t="shared" si="16"/>
        <v>18183.330000000002</v>
      </c>
      <c r="K104" s="417">
        <f t="shared" si="17"/>
        <v>177133.24</v>
      </c>
    </row>
    <row r="105" spans="1:11" x14ac:dyDescent="0.25">
      <c r="G105" s="439" t="s">
        <v>1262</v>
      </c>
      <c r="H105" s="437">
        <f t="shared" si="14"/>
        <v>136052.91</v>
      </c>
      <c r="I105" s="437">
        <f t="shared" si="15"/>
        <v>22897</v>
      </c>
      <c r="J105" s="437">
        <f t="shared" si="16"/>
        <v>18183.330000000002</v>
      </c>
      <c r="K105" s="437">
        <f t="shared" si="17"/>
        <v>177133.24</v>
      </c>
    </row>
    <row r="106" spans="1:11" x14ac:dyDescent="0.25">
      <c r="H106" s="417"/>
      <c r="I106" s="417"/>
      <c r="J106" s="417"/>
      <c r="K106" s="417"/>
    </row>
    <row r="107" spans="1:11" x14ac:dyDescent="0.25">
      <c r="H107" s="417">
        <f>SUM(H94:H106)</f>
        <v>1632634.9199999997</v>
      </c>
      <c r="I107" s="417">
        <f>SUM(I94:I106)</f>
        <v>274764</v>
      </c>
      <c r="J107" s="417">
        <f>SUM(J94:J106)</f>
        <v>218199.96000000008</v>
      </c>
      <c r="K107" s="417">
        <f>SUM(K94:K106)</f>
        <v>2125598.88</v>
      </c>
    </row>
    <row r="112" spans="1:11" x14ac:dyDescent="0.25">
      <c r="A112" t="s">
        <v>1285</v>
      </c>
    </row>
    <row r="114" spans="1:4" x14ac:dyDescent="0.25">
      <c r="A114" t="s">
        <v>1286</v>
      </c>
      <c r="B114" s="418">
        <v>1105</v>
      </c>
      <c r="C114">
        <v>50</v>
      </c>
      <c r="D114" s="418">
        <f>+C114*B114</f>
        <v>55250</v>
      </c>
    </row>
    <row r="115" spans="1:4" x14ac:dyDescent="0.25">
      <c r="A115" t="s">
        <v>1287</v>
      </c>
      <c r="B115" s="418">
        <v>39</v>
      </c>
      <c r="C115">
        <v>30</v>
      </c>
      <c r="D115" s="418">
        <f>+C115*B115</f>
        <v>1170</v>
      </c>
    </row>
    <row r="116" spans="1:4" x14ac:dyDescent="0.25">
      <c r="A116" t="s">
        <v>1288</v>
      </c>
      <c r="B116" s="418" t="e">
        <f>+'NR Charges'!#REF!</f>
        <v>#REF!</v>
      </c>
      <c r="C116">
        <v>30</v>
      </c>
      <c r="D116" s="418" t="e">
        <f>+C116*B116</f>
        <v>#REF!</v>
      </c>
    </row>
    <row r="117" spans="1:4" x14ac:dyDescent="0.25">
      <c r="A117" t="s">
        <v>1289</v>
      </c>
      <c r="B117" s="418">
        <v>186</v>
      </c>
      <c r="C117">
        <v>106</v>
      </c>
      <c r="D117" s="418">
        <f t="shared" ref="D117:D120" si="18">+C117*B117</f>
        <v>19716</v>
      </c>
    </row>
    <row r="118" spans="1:4" x14ac:dyDescent="0.25">
      <c r="A118" t="s">
        <v>1290</v>
      </c>
      <c r="B118" s="418">
        <v>292</v>
      </c>
      <c r="C118">
        <v>43</v>
      </c>
      <c r="D118" s="418">
        <f t="shared" si="18"/>
        <v>12556</v>
      </c>
    </row>
    <row r="119" spans="1:4" x14ac:dyDescent="0.25">
      <c r="A119" t="s">
        <v>1291</v>
      </c>
      <c r="B119" s="418">
        <v>49</v>
      </c>
      <c r="C119">
        <v>106</v>
      </c>
      <c r="D119" s="418">
        <f t="shared" si="18"/>
        <v>5194</v>
      </c>
    </row>
    <row r="120" spans="1:4" x14ac:dyDescent="0.25">
      <c r="A120" t="s">
        <v>1292</v>
      </c>
      <c r="B120" s="418">
        <v>156</v>
      </c>
      <c r="C120">
        <v>43</v>
      </c>
      <c r="D120" s="418">
        <f t="shared" si="18"/>
        <v>6708</v>
      </c>
    </row>
    <row r="121" spans="1:4" x14ac:dyDescent="0.25">
      <c r="D121" s="418"/>
    </row>
    <row r="122" spans="1:4" x14ac:dyDescent="0.25">
      <c r="D122" s="418" t="e">
        <f>SUM(D114:D121)</f>
        <v>#REF!</v>
      </c>
    </row>
    <row r="145" spans="1:13" ht="112.5" x14ac:dyDescent="0.25">
      <c r="A145" s="532" t="s">
        <v>1230</v>
      </c>
      <c r="B145" s="533" t="s">
        <v>1321</v>
      </c>
      <c r="C145" s="533">
        <v>17.62</v>
      </c>
      <c r="D145" s="533">
        <v>2000</v>
      </c>
      <c r="E145" s="533" t="s">
        <v>1322</v>
      </c>
      <c r="F145" s="533" t="s">
        <v>1323</v>
      </c>
      <c r="G145" s="533" t="s">
        <v>1324</v>
      </c>
      <c r="H145" s="533" t="s">
        <v>1325</v>
      </c>
      <c r="I145" s="533" t="s">
        <v>1326</v>
      </c>
      <c r="J145" s="533" t="s">
        <v>1326</v>
      </c>
      <c r="K145" s="534">
        <v>9019</v>
      </c>
      <c r="L145" s="533" t="s">
        <v>1327</v>
      </c>
      <c r="M145" s="535">
        <f>(4.4-2)*(5.58)+17.62</f>
        <v>31.012000000000004</v>
      </c>
    </row>
    <row r="146" spans="1:13" ht="112.5" x14ac:dyDescent="0.25">
      <c r="A146" s="532" t="s">
        <v>1328</v>
      </c>
      <c r="B146" s="533" t="s">
        <v>1329</v>
      </c>
      <c r="C146" s="533">
        <v>19.559999999999999</v>
      </c>
      <c r="D146" s="533">
        <v>2000</v>
      </c>
      <c r="E146" s="533" t="s">
        <v>1322</v>
      </c>
      <c r="F146" s="533" t="s">
        <v>1323</v>
      </c>
      <c r="G146" s="533" t="s">
        <v>1330</v>
      </c>
      <c r="H146" s="533"/>
      <c r="I146" s="533" t="s">
        <v>1326</v>
      </c>
      <c r="J146" s="533" t="s">
        <v>1326</v>
      </c>
      <c r="K146" s="534">
        <v>9019</v>
      </c>
      <c r="L146" s="533"/>
      <c r="M146" s="535">
        <v>34.42</v>
      </c>
    </row>
    <row r="147" spans="1:13" ht="87.5" x14ac:dyDescent="0.25">
      <c r="A147" s="532" t="s">
        <v>1331</v>
      </c>
      <c r="B147" s="533" t="s">
        <v>1332</v>
      </c>
      <c r="C147" s="536">
        <v>14.43</v>
      </c>
      <c r="D147" s="533">
        <v>0</v>
      </c>
      <c r="E147" s="536" t="s">
        <v>1333</v>
      </c>
      <c r="F147" s="533" t="s">
        <v>1323</v>
      </c>
      <c r="G147" s="537" t="s">
        <v>1334</v>
      </c>
      <c r="H147" s="537" t="s">
        <v>1335</v>
      </c>
      <c r="I147" s="533" t="s">
        <v>1336</v>
      </c>
      <c r="J147" s="533" t="s">
        <v>1323</v>
      </c>
      <c r="K147" s="534">
        <v>6000</v>
      </c>
      <c r="L147" s="533" t="s">
        <v>1337</v>
      </c>
      <c r="M147" s="535">
        <f>(4.4*5.85)+14.43</f>
        <v>40.17</v>
      </c>
    </row>
    <row r="148" spans="1:13" ht="87.5" x14ac:dyDescent="0.25">
      <c r="A148" s="532" t="s">
        <v>1338</v>
      </c>
      <c r="B148" s="538" t="s">
        <v>1339</v>
      </c>
      <c r="C148" s="539">
        <v>20.54</v>
      </c>
      <c r="D148" s="533">
        <v>0</v>
      </c>
      <c r="E148" s="533" t="s">
        <v>1340</v>
      </c>
      <c r="F148" s="533" t="s">
        <v>1323</v>
      </c>
      <c r="G148" s="537" t="s">
        <v>1335</v>
      </c>
      <c r="H148" s="533" t="s">
        <v>1325</v>
      </c>
      <c r="I148" s="533" t="s">
        <v>1336</v>
      </c>
      <c r="J148" s="533" t="s">
        <v>1323</v>
      </c>
      <c r="K148" s="534">
        <v>6001</v>
      </c>
      <c r="L148" s="533" t="s">
        <v>1341</v>
      </c>
      <c r="M148" s="535">
        <f>(4.4*6.14)+20.54</f>
        <v>47.555999999999997</v>
      </c>
    </row>
    <row r="149" spans="1:13" ht="62.5" x14ac:dyDescent="0.25">
      <c r="A149" s="532" t="s">
        <v>1342</v>
      </c>
      <c r="B149" s="533" t="s">
        <v>1343</v>
      </c>
      <c r="C149" s="540">
        <v>8</v>
      </c>
      <c r="D149" s="534">
        <v>2000</v>
      </c>
      <c r="E149" s="533" t="s">
        <v>1322</v>
      </c>
      <c r="F149" s="533" t="s">
        <v>1323</v>
      </c>
      <c r="G149" s="537" t="s">
        <v>1344</v>
      </c>
      <c r="H149" s="533">
        <v>2013</v>
      </c>
      <c r="I149" s="538" t="s">
        <v>1323</v>
      </c>
      <c r="J149" s="538" t="s">
        <v>1323</v>
      </c>
      <c r="K149" s="541">
        <v>12026</v>
      </c>
      <c r="L149" s="533" t="s">
        <v>1345</v>
      </c>
      <c r="M149" s="535">
        <v>16.16</v>
      </c>
    </row>
    <row r="150" spans="1:13" ht="62.5" x14ac:dyDescent="0.25">
      <c r="A150" s="532" t="s">
        <v>1346</v>
      </c>
      <c r="B150" s="533" t="s">
        <v>1347</v>
      </c>
      <c r="C150" s="540">
        <v>10</v>
      </c>
      <c r="D150" s="534">
        <v>2000</v>
      </c>
      <c r="E150" s="533" t="s">
        <v>1322</v>
      </c>
      <c r="F150" s="533" t="s">
        <v>1323</v>
      </c>
      <c r="G150" s="537"/>
      <c r="H150" s="538"/>
      <c r="I150" s="538" t="s">
        <v>1323</v>
      </c>
      <c r="J150" s="538" t="s">
        <v>1323</v>
      </c>
      <c r="K150" s="538"/>
      <c r="L150" s="533" t="s">
        <v>1348</v>
      </c>
      <c r="M150" s="535">
        <f>(4.4-2)*(4.4)+10</f>
        <v>20.560000000000002</v>
      </c>
    </row>
    <row r="151" spans="1:13" ht="100" x14ac:dyDescent="0.25">
      <c r="A151" s="532" t="s">
        <v>1349</v>
      </c>
      <c r="B151" s="533" t="s">
        <v>1350</v>
      </c>
      <c r="C151" s="536" t="s">
        <v>1351</v>
      </c>
      <c r="D151" s="534">
        <v>2000</v>
      </c>
      <c r="E151" s="533" t="s">
        <v>1322</v>
      </c>
      <c r="F151" s="533" t="s">
        <v>1323</v>
      </c>
      <c r="G151" s="537" t="s">
        <v>1352</v>
      </c>
      <c r="H151" s="538" t="s">
        <v>1325</v>
      </c>
      <c r="I151" s="533" t="s">
        <v>1353</v>
      </c>
      <c r="J151" s="533" t="s">
        <v>1354</v>
      </c>
      <c r="K151" s="541">
        <v>7000</v>
      </c>
      <c r="L151" s="533" t="s">
        <v>1355</v>
      </c>
      <c r="M151" s="535">
        <f>(4.4-2)*(4.34)+17.25</f>
        <v>27.666</v>
      </c>
    </row>
    <row r="152" spans="1:13" ht="62.5" x14ac:dyDescent="0.25">
      <c r="A152" s="532" t="s">
        <v>1356</v>
      </c>
      <c r="B152" s="533" t="s">
        <v>1357</v>
      </c>
      <c r="C152" s="536">
        <v>7.76</v>
      </c>
      <c r="D152" s="534">
        <v>1000</v>
      </c>
      <c r="E152" s="538" t="s">
        <v>1322</v>
      </c>
      <c r="F152" s="533" t="s">
        <v>1323</v>
      </c>
      <c r="G152" s="537" t="s">
        <v>1358</v>
      </c>
      <c r="H152" s="538" t="s">
        <v>1325</v>
      </c>
      <c r="I152" s="533" t="s">
        <v>1336</v>
      </c>
      <c r="J152" s="538" t="s">
        <v>1323</v>
      </c>
      <c r="K152" s="538">
        <v>200</v>
      </c>
      <c r="L152" s="533" t="s">
        <v>1359</v>
      </c>
      <c r="M152" s="535">
        <f>(4.4-1)*(5)+7.76</f>
        <v>24.759999999999998</v>
      </c>
    </row>
    <row r="153" spans="1:13" ht="37.5" x14ac:dyDescent="0.25">
      <c r="A153" s="532" t="s">
        <v>1360</v>
      </c>
      <c r="B153" s="538" t="s">
        <v>1361</v>
      </c>
      <c r="C153" s="536">
        <v>4.16</v>
      </c>
      <c r="D153" s="534">
        <v>1000</v>
      </c>
      <c r="E153" s="533" t="s">
        <v>1322</v>
      </c>
      <c r="F153" s="533" t="s">
        <v>1323</v>
      </c>
      <c r="G153" s="537" t="s">
        <v>1362</v>
      </c>
      <c r="H153" s="537" t="s">
        <v>1363</v>
      </c>
      <c r="I153" s="533" t="s">
        <v>1364</v>
      </c>
      <c r="J153" s="538" t="s">
        <v>1323</v>
      </c>
      <c r="K153" s="541">
        <v>9026</v>
      </c>
      <c r="L153" s="533" t="s">
        <v>1365</v>
      </c>
      <c r="M153" s="535">
        <f>4.16*4.4</f>
        <v>18.304000000000002</v>
      </c>
    </row>
    <row r="154" spans="1:13" ht="62.5" x14ac:dyDescent="0.25">
      <c r="A154" s="532" t="s">
        <v>1366</v>
      </c>
      <c r="B154" s="533" t="s">
        <v>1367</v>
      </c>
      <c r="C154" s="539">
        <v>7.82</v>
      </c>
      <c r="D154" s="541">
        <v>2000</v>
      </c>
      <c r="E154" s="533" t="s">
        <v>1322</v>
      </c>
      <c r="F154" s="533" t="s">
        <v>1323</v>
      </c>
      <c r="G154" s="537" t="s">
        <v>1325</v>
      </c>
      <c r="H154" s="538" t="s">
        <v>1325</v>
      </c>
      <c r="I154" s="538" t="s">
        <v>1326</v>
      </c>
      <c r="J154" s="538" t="s">
        <v>1323</v>
      </c>
      <c r="K154" s="541">
        <v>10132</v>
      </c>
      <c r="L154" s="533" t="s">
        <v>1368</v>
      </c>
      <c r="M154" s="535">
        <f>(4.4-2)*(5.58)+7.82</f>
        <v>21.212000000000003</v>
      </c>
    </row>
    <row r="155" spans="1:13" ht="62.5" x14ac:dyDescent="0.25">
      <c r="A155" s="532" t="s">
        <v>1369</v>
      </c>
      <c r="B155" s="533" t="s">
        <v>1370</v>
      </c>
      <c r="C155" s="539">
        <v>14</v>
      </c>
      <c r="D155" s="541">
        <v>2000</v>
      </c>
      <c r="E155" s="538" t="s">
        <v>1322</v>
      </c>
      <c r="F155" s="538" t="s">
        <v>1323</v>
      </c>
      <c r="G155" s="537" t="s">
        <v>1371</v>
      </c>
      <c r="H155" s="538" t="s">
        <v>1325</v>
      </c>
      <c r="I155" s="538" t="s">
        <v>1323</v>
      </c>
      <c r="J155" s="538" t="s">
        <v>1323</v>
      </c>
      <c r="K155" s="538" t="s">
        <v>1372</v>
      </c>
      <c r="L155" s="533" t="s">
        <v>1373</v>
      </c>
      <c r="M155" s="535">
        <f>(4.4-2)*(14.48)+14</f>
        <v>48.75200000000001</v>
      </c>
    </row>
    <row r="156" spans="1:13" ht="150" x14ac:dyDescent="0.25">
      <c r="A156" s="532" t="s">
        <v>1374</v>
      </c>
      <c r="B156" s="533" t="s">
        <v>1375</v>
      </c>
      <c r="C156" s="538" t="s">
        <v>1322</v>
      </c>
      <c r="D156" s="538" t="s">
        <v>1322</v>
      </c>
      <c r="E156" s="538" t="s">
        <v>1322</v>
      </c>
      <c r="F156" s="538" t="s">
        <v>1323</v>
      </c>
      <c r="G156" s="537" t="s">
        <v>1334</v>
      </c>
      <c r="H156" s="537" t="s">
        <v>1335</v>
      </c>
      <c r="I156" s="533" t="s">
        <v>1376</v>
      </c>
      <c r="J156" s="538" t="s">
        <v>1323</v>
      </c>
      <c r="K156" s="541">
        <v>10600</v>
      </c>
      <c r="L156" s="533" t="s">
        <v>1377</v>
      </c>
      <c r="M156" s="535">
        <f>(4400/748)*(3.91)</f>
        <v>23.000000000000004</v>
      </c>
    </row>
    <row r="157" spans="1:13" ht="62.5" x14ac:dyDescent="0.25">
      <c r="A157" s="532" t="s">
        <v>1378</v>
      </c>
      <c r="B157" s="533" t="s">
        <v>1379</v>
      </c>
      <c r="C157" s="539">
        <v>7.53</v>
      </c>
      <c r="D157" s="541">
        <v>1000</v>
      </c>
      <c r="E157" s="538" t="s">
        <v>1322</v>
      </c>
      <c r="F157" s="538" t="s">
        <v>1323</v>
      </c>
      <c r="G157" s="537">
        <v>2002</v>
      </c>
      <c r="H157" s="538" t="s">
        <v>1325</v>
      </c>
      <c r="I157" s="538" t="s">
        <v>1323</v>
      </c>
      <c r="J157" s="538" t="s">
        <v>1323</v>
      </c>
      <c r="K157" s="538">
        <v>4600</v>
      </c>
      <c r="L157" s="533" t="s">
        <v>1380</v>
      </c>
      <c r="M157" s="535">
        <f>(4.4-1)*(3.31)+7.53</f>
        <v>18.784000000000002</v>
      </c>
    </row>
    <row r="158" spans="1:13" ht="237.5" x14ac:dyDescent="0.25">
      <c r="A158" s="532" t="s">
        <v>1381</v>
      </c>
      <c r="B158" s="533" t="s">
        <v>1382</v>
      </c>
      <c r="C158" s="539">
        <v>9.24</v>
      </c>
      <c r="D158" s="541">
        <v>2000</v>
      </c>
      <c r="E158" s="533" t="s">
        <v>1383</v>
      </c>
      <c r="F158" s="538" t="s">
        <v>1323</v>
      </c>
      <c r="G158" s="537" t="s">
        <v>1334</v>
      </c>
      <c r="H158" s="538" t="s">
        <v>1325</v>
      </c>
      <c r="I158" s="538" t="s">
        <v>1323</v>
      </c>
      <c r="J158" s="538" t="s">
        <v>1323</v>
      </c>
      <c r="K158" s="541">
        <v>4100</v>
      </c>
      <c r="L158" s="533" t="s">
        <v>1384</v>
      </c>
      <c r="M158" s="535">
        <f>(4.4-2)*(3.82)+9.24</f>
        <v>18.408000000000001</v>
      </c>
    </row>
    <row r="160" spans="1:13" x14ac:dyDescent="0.25">
      <c r="G160" s="543" t="s">
        <v>1388</v>
      </c>
      <c r="H160" s="544" t="s">
        <v>1387</v>
      </c>
      <c r="I160" s="543" t="s">
        <v>1386</v>
      </c>
    </row>
    <row r="161" spans="2:9" x14ac:dyDescent="0.25">
      <c r="B161" s="542">
        <v>16.16</v>
      </c>
      <c r="C161" t="s">
        <v>1342</v>
      </c>
      <c r="F161">
        <v>1990</v>
      </c>
      <c r="G161" s="507">
        <v>100</v>
      </c>
      <c r="H161" s="507">
        <v>100</v>
      </c>
      <c r="I161" s="507">
        <v>100</v>
      </c>
    </row>
    <row r="162" spans="2:9" x14ac:dyDescent="0.25">
      <c r="B162" s="542">
        <v>18.304000000000002</v>
      </c>
      <c r="C162" t="s">
        <v>1360</v>
      </c>
      <c r="F162">
        <f>+F161+1</f>
        <v>1991</v>
      </c>
      <c r="G162" s="507">
        <v>100</v>
      </c>
      <c r="H162" s="507">
        <v>100</v>
      </c>
      <c r="I162" s="507">
        <v>104.20811017597551</v>
      </c>
    </row>
    <row r="163" spans="2:9" x14ac:dyDescent="0.25">
      <c r="B163" s="542">
        <v>18.408000000000001</v>
      </c>
      <c r="C163" t="s">
        <v>1381</v>
      </c>
      <c r="F163">
        <f t="shared" ref="F163:F184" si="19">+F162+1</f>
        <v>1992</v>
      </c>
      <c r="G163" s="507">
        <v>132.09459459459458</v>
      </c>
      <c r="H163" s="507">
        <v>100</v>
      </c>
      <c r="I163" s="507">
        <v>107.34506503442999</v>
      </c>
    </row>
    <row r="164" spans="2:9" x14ac:dyDescent="0.25">
      <c r="B164" s="542">
        <v>18.784000000000002</v>
      </c>
      <c r="C164" t="s">
        <v>1378</v>
      </c>
      <c r="F164">
        <f t="shared" si="19"/>
        <v>1993</v>
      </c>
      <c r="G164" s="507">
        <v>132.09459459459458</v>
      </c>
      <c r="H164" s="507">
        <v>100</v>
      </c>
      <c r="I164" s="507">
        <v>110.55853098699312</v>
      </c>
    </row>
    <row r="165" spans="2:9" x14ac:dyDescent="0.25">
      <c r="B165" s="542">
        <v>20.560000000000002</v>
      </c>
      <c r="C165" t="s">
        <v>1346</v>
      </c>
      <c r="F165">
        <f t="shared" si="19"/>
        <v>1994</v>
      </c>
      <c r="G165" s="507">
        <v>132.09459459459458</v>
      </c>
      <c r="H165" s="507">
        <v>100</v>
      </c>
      <c r="I165" s="507">
        <v>113.38944146901301</v>
      </c>
    </row>
    <row r="166" spans="2:9" x14ac:dyDescent="0.25">
      <c r="B166" s="542">
        <v>21.212000000000003</v>
      </c>
      <c r="C166" t="s">
        <v>1366</v>
      </c>
      <c r="F166">
        <f t="shared" si="19"/>
        <v>1995</v>
      </c>
      <c r="G166" s="507">
        <v>132.09459459459458</v>
      </c>
      <c r="H166" s="507">
        <v>100</v>
      </c>
      <c r="I166" s="507">
        <v>116.60290742157615</v>
      </c>
    </row>
    <row r="167" spans="2:9" x14ac:dyDescent="0.25">
      <c r="B167" s="542">
        <v>23.000000000000004</v>
      </c>
      <c r="C167" t="s">
        <v>1374</v>
      </c>
      <c r="F167">
        <f t="shared" si="19"/>
        <v>1996</v>
      </c>
      <c r="G167" s="507">
        <v>132.09459459459458</v>
      </c>
      <c r="H167" s="507">
        <v>100</v>
      </c>
      <c r="I167" s="507">
        <v>120.04590665646521</v>
      </c>
    </row>
    <row r="168" spans="2:9" x14ac:dyDescent="0.25">
      <c r="B168" s="542">
        <v>24.759999999999998</v>
      </c>
      <c r="C168" t="s">
        <v>1356</v>
      </c>
      <c r="F168">
        <f t="shared" si="19"/>
        <v>1997</v>
      </c>
      <c r="G168" s="507">
        <v>132.09459459459458</v>
      </c>
      <c r="H168" s="507">
        <v>100</v>
      </c>
      <c r="I168" s="507">
        <v>122.80030604437646</v>
      </c>
    </row>
    <row r="169" spans="2:9" x14ac:dyDescent="0.25">
      <c r="B169" s="542">
        <v>27.666</v>
      </c>
      <c r="C169" t="s">
        <v>1349</v>
      </c>
      <c r="F169">
        <f t="shared" si="19"/>
        <v>1998</v>
      </c>
      <c r="G169" s="507">
        <v>132.09459459459458</v>
      </c>
      <c r="H169" s="507">
        <v>158.35492227979276</v>
      </c>
      <c r="I169" s="507">
        <v>124.71308339709259</v>
      </c>
    </row>
    <row r="170" spans="2:9" x14ac:dyDescent="0.25">
      <c r="B170" s="542">
        <v>31.012000000000004</v>
      </c>
      <c r="C170" t="s">
        <v>1230</v>
      </c>
      <c r="F170">
        <f t="shared" si="19"/>
        <v>1999</v>
      </c>
      <c r="G170" s="507">
        <v>132.09459459459458</v>
      </c>
      <c r="H170" s="507">
        <v>163.73056994818657</v>
      </c>
      <c r="I170" s="507">
        <v>127.46748278500382</v>
      </c>
    </row>
    <row r="171" spans="2:9" x14ac:dyDescent="0.25">
      <c r="B171" s="542">
        <v>34.42</v>
      </c>
      <c r="C171" t="s">
        <v>1328</v>
      </c>
      <c r="F171">
        <f t="shared" si="19"/>
        <v>2000</v>
      </c>
      <c r="G171" s="507">
        <v>132.09459459459458</v>
      </c>
      <c r="H171" s="507">
        <v>163.73056994818657</v>
      </c>
      <c r="I171" s="507">
        <v>131.75210405508798</v>
      </c>
    </row>
    <row r="172" spans="2:9" x14ac:dyDescent="0.25">
      <c r="B172" s="542">
        <v>47.555999999999997</v>
      </c>
      <c r="C172" t="s">
        <v>1385</v>
      </c>
      <c r="F172">
        <f t="shared" si="19"/>
        <v>2001</v>
      </c>
      <c r="G172" s="507">
        <v>132.09459459459458</v>
      </c>
      <c r="H172" s="507">
        <v>168.26424870466326</v>
      </c>
      <c r="I172" s="507">
        <v>135.50114766641164</v>
      </c>
    </row>
    <row r="173" spans="2:9" x14ac:dyDescent="0.25">
      <c r="B173" s="542">
        <v>48.75200000000001</v>
      </c>
      <c r="C173" t="s">
        <v>1369</v>
      </c>
      <c r="F173">
        <f t="shared" si="19"/>
        <v>2002</v>
      </c>
      <c r="G173" s="507">
        <v>150.33783783783781</v>
      </c>
      <c r="H173" s="507">
        <v>210.29792746113995</v>
      </c>
      <c r="I173" s="507">
        <v>137.64345830145373</v>
      </c>
    </row>
    <row r="174" spans="2:9" x14ac:dyDescent="0.25">
      <c r="B174" s="542"/>
      <c r="F174">
        <f t="shared" si="19"/>
        <v>2003</v>
      </c>
      <c r="G174" s="507">
        <v>150.33783783783781</v>
      </c>
      <c r="H174" s="507">
        <v>213.47150259067362</v>
      </c>
      <c r="I174" s="507">
        <v>140.78041315990819</v>
      </c>
    </row>
    <row r="175" spans="2:9" x14ac:dyDescent="0.25">
      <c r="B175" s="542">
        <f>MEDIAN(B161:B173)</f>
        <v>23.000000000000004</v>
      </c>
      <c r="F175">
        <f t="shared" si="19"/>
        <v>2004</v>
      </c>
      <c r="G175" s="507">
        <v>150.33783783783781</v>
      </c>
      <c r="H175" s="507">
        <v>218.58808290155443</v>
      </c>
      <c r="I175" s="507">
        <v>144.52945677123185</v>
      </c>
    </row>
    <row r="176" spans="2:9" x14ac:dyDescent="0.25">
      <c r="B176" s="542">
        <f>AVERAGE(B161:B173)</f>
        <v>26.968769230769229</v>
      </c>
      <c r="F176">
        <f t="shared" si="19"/>
        <v>2005</v>
      </c>
      <c r="G176" s="507">
        <v>150.33783783783781</v>
      </c>
      <c r="H176" s="507">
        <v>218.58808290155443</v>
      </c>
      <c r="I176" s="507">
        <v>149.42616679418521</v>
      </c>
    </row>
    <row r="177" spans="6:9" x14ac:dyDescent="0.25">
      <c r="F177">
        <f t="shared" si="19"/>
        <v>2006</v>
      </c>
      <c r="G177" s="507">
        <v>150.33783783783781</v>
      </c>
      <c r="H177" s="507">
        <v>218.58808290155443</v>
      </c>
      <c r="I177" s="507">
        <v>154.2463657230299</v>
      </c>
    </row>
    <row r="178" spans="6:9" x14ac:dyDescent="0.25">
      <c r="F178">
        <f t="shared" si="19"/>
        <v>2007</v>
      </c>
      <c r="G178" s="507">
        <v>168.31081081081078</v>
      </c>
      <c r="H178" s="507">
        <v>226.87823834196894</v>
      </c>
      <c r="I178" s="507">
        <v>157.39097169089524</v>
      </c>
    </row>
    <row r="179" spans="6:9" x14ac:dyDescent="0.25">
      <c r="F179">
        <f t="shared" si="19"/>
        <v>2008</v>
      </c>
      <c r="G179" s="507">
        <v>168.31081081081078</v>
      </c>
      <c r="H179" s="507">
        <v>220.07189119170988</v>
      </c>
      <c r="I179" s="507">
        <v>163.4</v>
      </c>
    </row>
    <row r="180" spans="6:9" x14ac:dyDescent="0.25">
      <c r="F180">
        <f t="shared" si="19"/>
        <v>2009</v>
      </c>
      <c r="G180" s="507">
        <v>168.31081081081078</v>
      </c>
      <c r="H180" s="507">
        <v>220.07189119170988</v>
      </c>
      <c r="I180" s="507">
        <v>162.9</v>
      </c>
    </row>
    <row r="181" spans="6:9" x14ac:dyDescent="0.25">
      <c r="F181">
        <f t="shared" si="19"/>
        <v>2010</v>
      </c>
      <c r="G181" s="507">
        <v>168.31081081081078</v>
      </c>
      <c r="H181" s="507">
        <v>220.07189119170988</v>
      </c>
      <c r="I181" s="507">
        <v>165.5</v>
      </c>
    </row>
    <row r="182" spans="6:9" x14ac:dyDescent="0.25">
      <c r="F182">
        <f t="shared" si="19"/>
        <v>2011</v>
      </c>
      <c r="G182" s="507">
        <v>168.31081081081078</v>
      </c>
      <c r="H182" s="507">
        <v>220.07189119170988</v>
      </c>
      <c r="I182" s="507">
        <v>169.7</v>
      </c>
    </row>
    <row r="183" spans="6:9" x14ac:dyDescent="0.25">
      <c r="F183">
        <f t="shared" si="19"/>
        <v>2012</v>
      </c>
      <c r="G183" s="507">
        <v>168.31081081081078</v>
      </c>
      <c r="H183" s="507">
        <v>220.07189119170988</v>
      </c>
      <c r="I183" s="507">
        <v>173.4</v>
      </c>
    </row>
    <row r="184" spans="6:9" x14ac:dyDescent="0.25">
      <c r="F184">
        <f t="shared" si="19"/>
        <v>2013</v>
      </c>
      <c r="G184" s="507">
        <v>168.31081081081078</v>
      </c>
      <c r="H184" s="507">
        <v>244.27979922279798</v>
      </c>
      <c r="I184" s="507">
        <v>173.4</v>
      </c>
    </row>
  </sheetData>
  <sortState xmlns:xlrd2="http://schemas.microsoft.com/office/spreadsheetml/2017/richdata2" ref="B161:C173">
    <sortCondition ref="B161:B173"/>
  </sortState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51"/>
  </sheetPr>
  <dimension ref="A1:O280"/>
  <sheetViews>
    <sheetView tabSelected="1" topLeftCell="A6" zoomScaleNormal="100" workbookViewId="0">
      <selection activeCell="F129" sqref="F129"/>
    </sheetView>
  </sheetViews>
  <sheetFormatPr defaultColWidth="8.7265625" defaultRowHeight="15.5" x14ac:dyDescent="0.35"/>
  <cols>
    <col min="1" max="1" width="3.7265625" style="26" customWidth="1"/>
    <col min="2" max="3" width="8.7265625" style="26"/>
    <col min="4" max="4" width="44.26953125" style="26" customWidth="1"/>
    <col min="5" max="5" width="15" style="26" customWidth="1"/>
    <col min="6" max="6" width="16.26953125" style="26" customWidth="1"/>
    <col min="7" max="7" width="13.26953125" style="26" customWidth="1"/>
    <col min="8" max="8" width="13.54296875" style="26" customWidth="1"/>
    <col min="9" max="10" width="13.26953125" style="26" customWidth="1"/>
    <col min="11" max="11" width="10.54296875" style="26" customWidth="1"/>
    <col min="12" max="12" width="12.453125" style="26" customWidth="1"/>
    <col min="13" max="13" width="20.26953125" style="26" customWidth="1"/>
    <col min="14" max="14" width="14.7265625" style="26" customWidth="1"/>
    <col min="15" max="15" width="13" style="26" customWidth="1"/>
    <col min="16" max="16384" width="8.7265625" style="26"/>
  </cols>
  <sheetData>
    <row r="1" spans="1:10" x14ac:dyDescent="0.35">
      <c r="A1" s="25" t="s">
        <v>4</v>
      </c>
    </row>
    <row r="2" spans="1:10" x14ac:dyDescent="0.35">
      <c r="A2" s="25" t="s">
        <v>109</v>
      </c>
    </row>
    <row r="3" spans="1:10" x14ac:dyDescent="0.35">
      <c r="A3" s="25" t="s">
        <v>155</v>
      </c>
      <c r="J3" s="50" t="s">
        <v>1598</v>
      </c>
    </row>
    <row r="4" spans="1:10" x14ac:dyDescent="0.35">
      <c r="A4" s="25"/>
    </row>
    <row r="5" spans="1:10" x14ac:dyDescent="0.35">
      <c r="I5" s="113" t="s">
        <v>142</v>
      </c>
      <c r="J5" s="85"/>
    </row>
    <row r="6" spans="1:10" ht="31" x14ac:dyDescent="0.35">
      <c r="E6" s="114" t="s">
        <v>39</v>
      </c>
      <c r="F6" s="115" t="s">
        <v>140</v>
      </c>
      <c r="G6" s="114" t="s">
        <v>141</v>
      </c>
      <c r="H6" s="114" t="s">
        <v>945</v>
      </c>
      <c r="I6" s="114" t="s">
        <v>145</v>
      </c>
      <c r="J6" s="114" t="s">
        <v>143</v>
      </c>
    </row>
    <row r="7" spans="1:10" x14ac:dyDescent="0.35">
      <c r="E7" s="116"/>
      <c r="F7" s="116"/>
    </row>
    <row r="8" spans="1:10" x14ac:dyDescent="0.35">
      <c r="A8" s="25" t="s">
        <v>6</v>
      </c>
    </row>
    <row r="9" spans="1:10" x14ac:dyDescent="0.35">
      <c r="A9" s="26" t="s">
        <v>7</v>
      </c>
      <c r="F9" s="33">
        <f>'Test Year Detail'!F9</f>
        <v>91059.02</v>
      </c>
      <c r="G9" s="128">
        <f>$F$9*G143</f>
        <v>10244.13975</v>
      </c>
      <c r="H9" s="128">
        <f>$F$9*H143</f>
        <v>6146.4838500000005</v>
      </c>
      <c r="I9" s="128">
        <f>$F$9*I143</f>
        <v>0</v>
      </c>
      <c r="J9" s="128">
        <f>$F$9*J143</f>
        <v>74668.396399999998</v>
      </c>
    </row>
    <row r="10" spans="1:10" x14ac:dyDescent="0.35">
      <c r="A10" s="26" t="s">
        <v>30</v>
      </c>
      <c r="F10" s="34">
        <f>'Test Year Detail'!F10</f>
        <v>0</v>
      </c>
      <c r="G10" s="34">
        <f>$F$10*G144</f>
        <v>0</v>
      </c>
      <c r="H10" s="34">
        <f>$F$10*H144</f>
        <v>0</v>
      </c>
      <c r="I10" s="34">
        <f>$F$10*I144</f>
        <v>0</v>
      </c>
      <c r="J10" s="34">
        <f>$F$10*J144</f>
        <v>0</v>
      </c>
    </row>
    <row r="11" spans="1:10" x14ac:dyDescent="0.35">
      <c r="A11" s="26" t="s">
        <v>8</v>
      </c>
      <c r="F11" s="34">
        <f>'Test Year Detail'!F11</f>
        <v>151356.14000000001</v>
      </c>
      <c r="G11" s="34">
        <f>$F$11*G145</f>
        <v>0</v>
      </c>
      <c r="H11" s="34">
        <f>$F$11*H145</f>
        <v>0</v>
      </c>
      <c r="I11" s="34">
        <f>$F$11*I145</f>
        <v>139247.64880000002</v>
      </c>
      <c r="J11" s="34">
        <f>$F$11*J145</f>
        <v>12108.491200000002</v>
      </c>
    </row>
    <row r="12" spans="1:10" x14ac:dyDescent="0.35">
      <c r="A12" s="26" t="s">
        <v>9</v>
      </c>
      <c r="F12" s="34">
        <f>'Test Year Detail'!F12</f>
        <v>102927.12</v>
      </c>
      <c r="G12" s="34">
        <f>$F$12*G146</f>
        <v>64329.45</v>
      </c>
      <c r="H12" s="34">
        <f>$F$12*H146</f>
        <v>38597.67</v>
      </c>
      <c r="I12" s="34">
        <f>$F$12*I146</f>
        <v>0</v>
      </c>
      <c r="J12" s="34">
        <f>$F$12*J146</f>
        <v>0</v>
      </c>
    </row>
    <row r="13" spans="1:10" x14ac:dyDescent="0.35">
      <c r="A13" s="26" t="s">
        <v>1034</v>
      </c>
      <c r="F13" s="34">
        <f>'Test Year Detail'!F13</f>
        <v>0</v>
      </c>
      <c r="G13" s="34">
        <f>$F$13*G147</f>
        <v>0</v>
      </c>
      <c r="H13" s="34">
        <f>$F$13*H147</f>
        <v>0</v>
      </c>
      <c r="I13" s="34">
        <f>$F$13*I147</f>
        <v>0</v>
      </c>
      <c r="J13" s="34">
        <f>$F$13*J147</f>
        <v>0</v>
      </c>
    </row>
    <row r="14" spans="1:10" x14ac:dyDescent="0.35">
      <c r="A14" s="26" t="s">
        <v>10</v>
      </c>
      <c r="F14" s="34">
        <f>'Test Year Detail'!F14</f>
        <v>7370.2</v>
      </c>
      <c r="G14" s="34">
        <f>$F$14*G148</f>
        <v>4606.375</v>
      </c>
      <c r="H14" s="34">
        <f>$F$14*H148</f>
        <v>2763.8249999999998</v>
      </c>
      <c r="I14" s="34">
        <f>$F$14*I148</f>
        <v>0</v>
      </c>
      <c r="J14" s="34">
        <f>$F$14*J148</f>
        <v>0</v>
      </c>
    </row>
    <row r="15" spans="1:10" x14ac:dyDescent="0.35">
      <c r="A15" s="26" t="s">
        <v>11</v>
      </c>
      <c r="F15" s="34">
        <f>'Test Year Detail'!F15</f>
        <v>4558.8999999999996</v>
      </c>
      <c r="G15" s="34">
        <f>$F$15*G149</f>
        <v>2849.3125</v>
      </c>
      <c r="H15" s="34">
        <f>$F$15*H149</f>
        <v>1709.5874999999999</v>
      </c>
      <c r="I15" s="34">
        <f>$F$15*I149</f>
        <v>0</v>
      </c>
      <c r="J15" s="34">
        <f>$F$15*J149</f>
        <v>0</v>
      </c>
    </row>
    <row r="16" spans="1:10" x14ac:dyDescent="0.35">
      <c r="A16" s="26" t="s">
        <v>12</v>
      </c>
      <c r="F16" s="34">
        <f>'Test Year Detail'!F16</f>
        <v>14596.2</v>
      </c>
      <c r="G16" s="34">
        <f>$F$16*G150</f>
        <v>9122.625</v>
      </c>
      <c r="H16" s="34">
        <f>$F$16*H150</f>
        <v>5473.5750000000007</v>
      </c>
      <c r="I16" s="34">
        <f>$F$16*I150</f>
        <v>0</v>
      </c>
      <c r="J16" s="34">
        <f>$F$16*J150</f>
        <v>0</v>
      </c>
    </row>
    <row r="17" spans="1:10" x14ac:dyDescent="0.35">
      <c r="A17" s="26" t="s">
        <v>13</v>
      </c>
      <c r="B17" s="40"/>
      <c r="F17" s="34">
        <f>'Test Year Detail'!F17</f>
        <v>1707.8</v>
      </c>
      <c r="G17" s="34">
        <f>$F$17*G151</f>
        <v>1067.375</v>
      </c>
      <c r="H17" s="34">
        <f>$F$17*H151</f>
        <v>640.42499999999995</v>
      </c>
      <c r="I17" s="34">
        <f>$F$17*I151</f>
        <v>0</v>
      </c>
      <c r="J17" s="34">
        <f>$F$17*J151</f>
        <v>0</v>
      </c>
    </row>
    <row r="18" spans="1:10" x14ac:dyDescent="0.35">
      <c r="A18" s="26" t="s">
        <v>1467</v>
      </c>
      <c r="B18" s="40"/>
      <c r="F18" s="34">
        <f>'Test Year Detail'!F18</f>
        <v>2700.9</v>
      </c>
      <c r="G18" s="34">
        <f>$F$18*G152</f>
        <v>1688.0625</v>
      </c>
      <c r="H18" s="34">
        <f t="shared" ref="H18:J18" si="0">$F$18*H152</f>
        <v>1012.8375000000001</v>
      </c>
      <c r="I18" s="34">
        <f t="shared" si="0"/>
        <v>0</v>
      </c>
      <c r="J18" s="34">
        <f t="shared" si="0"/>
        <v>0</v>
      </c>
    </row>
    <row r="19" spans="1:10" x14ac:dyDescent="0.35">
      <c r="A19" s="26" t="s">
        <v>14</v>
      </c>
      <c r="F19" s="34">
        <f>'Test Year Detail'!F19</f>
        <v>1750.77</v>
      </c>
      <c r="G19" s="34">
        <f>$F$19*G153</f>
        <v>1094.23125</v>
      </c>
      <c r="H19" s="34">
        <f>$F$19*H153</f>
        <v>656.53874999999994</v>
      </c>
      <c r="I19" s="34">
        <f>$F$19*I153</f>
        <v>0</v>
      </c>
      <c r="J19" s="34">
        <f>$F$19*J153</f>
        <v>0</v>
      </c>
    </row>
    <row r="20" spans="1:10" x14ac:dyDescent="0.35">
      <c r="A20" s="26" t="s">
        <v>15</v>
      </c>
      <c r="F20" s="34">
        <f>'Test Year Detail'!F20</f>
        <v>41597.279999999999</v>
      </c>
      <c r="G20" s="34">
        <f>$F$20*G154</f>
        <v>25998.3</v>
      </c>
      <c r="H20" s="34">
        <f>$F$20*H154</f>
        <v>15598.98</v>
      </c>
      <c r="I20" s="34">
        <f>$F$20*I154</f>
        <v>0</v>
      </c>
      <c r="J20" s="34">
        <f>$F$20*J154</f>
        <v>0</v>
      </c>
    </row>
    <row r="21" spans="1:10" x14ac:dyDescent="0.35">
      <c r="A21" s="26" t="s">
        <v>16</v>
      </c>
      <c r="F21" s="34">
        <f>'Test Year Detail'!F21</f>
        <v>2968.17</v>
      </c>
      <c r="G21" s="34">
        <f>$F$21*G155</f>
        <v>1855.10625</v>
      </c>
      <c r="H21" s="34">
        <f>$F$21*H155</f>
        <v>1113.06375</v>
      </c>
      <c r="I21" s="34">
        <f>$F$21*I155</f>
        <v>0</v>
      </c>
      <c r="J21" s="34">
        <f>$F$21*J155</f>
        <v>0</v>
      </c>
    </row>
    <row r="22" spans="1:10" x14ac:dyDescent="0.35">
      <c r="A22" s="26" t="s">
        <v>17</v>
      </c>
      <c r="F22" s="34">
        <f>'Test Year Detail'!F22</f>
        <v>811.89</v>
      </c>
      <c r="G22" s="34">
        <f>$F$22*G156</f>
        <v>0</v>
      </c>
      <c r="H22" s="34">
        <f>$F$22*H156</f>
        <v>0</v>
      </c>
      <c r="I22" s="34">
        <f>$F$22*I156</f>
        <v>811.89</v>
      </c>
      <c r="J22" s="34">
        <f>$F$22*J156</f>
        <v>0</v>
      </c>
    </row>
    <row r="23" spans="1:10" x14ac:dyDescent="0.35">
      <c r="A23" s="26" t="s">
        <v>1466</v>
      </c>
      <c r="F23" s="34">
        <f>'Test Year Detail'!F23</f>
        <v>2102540.0299999998</v>
      </c>
      <c r="G23" s="34">
        <f>$F$23*G157</f>
        <v>1314087.5187499998</v>
      </c>
      <c r="H23" s="34">
        <f>$F$23*H157</f>
        <v>788452.51124999998</v>
      </c>
      <c r="I23" s="34">
        <f>$F$23*I157</f>
        <v>0</v>
      </c>
      <c r="J23" s="34">
        <f>$F$23*J157</f>
        <v>0</v>
      </c>
    </row>
    <row r="24" spans="1:10" x14ac:dyDescent="0.35">
      <c r="A24" s="26" t="s">
        <v>18</v>
      </c>
      <c r="F24" s="34">
        <f>'Test Year Detail'!F24</f>
        <v>94932.81</v>
      </c>
      <c r="G24" s="34">
        <f>$F$24*G158</f>
        <v>59333.006249999999</v>
      </c>
      <c r="H24" s="34">
        <f t="shared" ref="H24:J24" si="1">$F$24*H158</f>
        <v>35599.803749999999</v>
      </c>
      <c r="I24" s="34">
        <f t="shared" si="1"/>
        <v>0</v>
      </c>
      <c r="J24" s="34">
        <f t="shared" si="1"/>
        <v>0</v>
      </c>
    </row>
    <row r="25" spans="1:10" x14ac:dyDescent="0.35">
      <c r="A25" s="26" t="s">
        <v>34</v>
      </c>
      <c r="F25" s="34">
        <f>'Test Year Detail'!F25</f>
        <v>0</v>
      </c>
      <c r="G25" s="34">
        <f>$F$25*G159</f>
        <v>0</v>
      </c>
      <c r="H25" s="34">
        <f>$F$25*H159</f>
        <v>0</v>
      </c>
      <c r="I25" s="34">
        <f>$F$25*I159</f>
        <v>0</v>
      </c>
      <c r="J25" s="34">
        <f>$F$25*J159</f>
        <v>0</v>
      </c>
    </row>
    <row r="26" spans="1:10" x14ac:dyDescent="0.35">
      <c r="A26" s="26" t="s">
        <v>19</v>
      </c>
      <c r="F26" s="34">
        <f>'Test Year Detail'!F26</f>
        <v>0</v>
      </c>
      <c r="G26" s="34">
        <f>$F$26*G160</f>
        <v>0</v>
      </c>
      <c r="H26" s="34">
        <f>$F$26*H160</f>
        <v>0</v>
      </c>
      <c r="I26" s="34">
        <f>$F$26*I160</f>
        <v>0</v>
      </c>
      <c r="J26" s="34">
        <f>$F$26*J160</f>
        <v>0</v>
      </c>
    </row>
    <row r="27" spans="1:10" x14ac:dyDescent="0.35">
      <c r="A27" s="26" t="s">
        <v>20</v>
      </c>
      <c r="F27" s="34">
        <f>'Test Year Detail'!F27</f>
        <v>7938.15</v>
      </c>
      <c r="G27" s="34">
        <f>$F$27*G161</f>
        <v>4961.34375</v>
      </c>
      <c r="H27" s="34">
        <f>$F$27*H161</f>
        <v>2976.8062499999996</v>
      </c>
      <c r="I27" s="34">
        <f>$F$27*I161</f>
        <v>0</v>
      </c>
      <c r="J27" s="34">
        <f>$F$27*J161</f>
        <v>0</v>
      </c>
    </row>
    <row r="28" spans="1:10" x14ac:dyDescent="0.35">
      <c r="A28" s="26" t="s">
        <v>21</v>
      </c>
      <c r="F28" s="34">
        <f>'Test Year Detail'!F28</f>
        <v>1727.49</v>
      </c>
      <c r="G28" s="34">
        <f>$F$28*G162</f>
        <v>1079.6812500000001</v>
      </c>
      <c r="H28" s="34">
        <f>$F$28*H162</f>
        <v>647.80875000000003</v>
      </c>
      <c r="I28" s="34">
        <f>$F$28*I162</f>
        <v>0</v>
      </c>
      <c r="J28" s="34">
        <f>$F$28*J162</f>
        <v>0</v>
      </c>
    </row>
    <row r="29" spans="1:10" x14ac:dyDescent="0.35">
      <c r="A29" s="26" t="s">
        <v>105</v>
      </c>
      <c r="F29" s="34">
        <f>'Test Year Detail'!F29</f>
        <v>0</v>
      </c>
      <c r="G29" s="34">
        <f>$F$29*G163</f>
        <v>0</v>
      </c>
      <c r="H29" s="34">
        <f>$F$29*H163</f>
        <v>0</v>
      </c>
      <c r="I29" s="34">
        <f>$F$29*I163</f>
        <v>0</v>
      </c>
      <c r="J29" s="34">
        <f>$F$29*J163</f>
        <v>0</v>
      </c>
    </row>
    <row r="30" spans="1:10" x14ac:dyDescent="0.35">
      <c r="A30" s="26" t="s">
        <v>22</v>
      </c>
      <c r="F30" s="34">
        <f>'Test Year Detail'!F30</f>
        <v>29230.95</v>
      </c>
      <c r="G30" s="34">
        <f>$F$30*G164</f>
        <v>10778.912812499999</v>
      </c>
      <c r="H30" s="34">
        <f>$F$30*H164</f>
        <v>6467.3476875000006</v>
      </c>
      <c r="I30" s="34">
        <f>$F$30*I164</f>
        <v>0</v>
      </c>
      <c r="J30" s="34">
        <f>$F$30*J164</f>
        <v>11984.6895</v>
      </c>
    </row>
    <row r="31" spans="1:10" x14ac:dyDescent="0.35">
      <c r="A31" s="26" t="s">
        <v>23</v>
      </c>
      <c r="F31" s="34">
        <f>'Test Year Detail'!F31</f>
        <v>1949.19</v>
      </c>
      <c r="G31" s="34">
        <f>$F$31*G165</f>
        <v>657.85162500000001</v>
      </c>
      <c r="H31" s="34">
        <f>$F$31*H165</f>
        <v>394.71097500000002</v>
      </c>
      <c r="I31" s="34">
        <f>$F$31*I165</f>
        <v>0</v>
      </c>
      <c r="J31" s="34">
        <f>$F$31*J165</f>
        <v>896.62740000000008</v>
      </c>
    </row>
    <row r="32" spans="1:10" x14ac:dyDescent="0.35">
      <c r="A32" s="26" t="s">
        <v>24</v>
      </c>
      <c r="F32" s="34">
        <f>'Test Year Detail'!F32</f>
        <v>0</v>
      </c>
      <c r="G32" s="34">
        <f>$F$32*G166</f>
        <v>0</v>
      </c>
      <c r="H32" s="34">
        <f>$F$32*H166</f>
        <v>0</v>
      </c>
      <c r="I32" s="34">
        <f>$F$32*I166</f>
        <v>0</v>
      </c>
      <c r="J32" s="34">
        <f>$F$32*J166</f>
        <v>0</v>
      </c>
    </row>
    <row r="33" spans="1:13" x14ac:dyDescent="0.35">
      <c r="A33" s="26" t="s">
        <v>25</v>
      </c>
      <c r="F33" s="34">
        <f>'Test Year Detail'!F33</f>
        <v>42.23</v>
      </c>
      <c r="G33" s="34">
        <f>$F$33*G167</f>
        <v>26.393749999999997</v>
      </c>
      <c r="H33" s="34">
        <f>$F$33*H167</f>
        <v>15.83625</v>
      </c>
      <c r="I33" s="34">
        <f>$F$33*I167</f>
        <v>0</v>
      </c>
      <c r="J33" s="34">
        <f>$F$33*J167</f>
        <v>0</v>
      </c>
    </row>
    <row r="34" spans="1:13" x14ac:dyDescent="0.35">
      <c r="A34" s="26" t="s">
        <v>26</v>
      </c>
      <c r="F34" s="34">
        <f>'Test Year Detail'!F34</f>
        <v>5812.31</v>
      </c>
      <c r="G34" s="34">
        <f>$F$34*G168</f>
        <v>3632.6937500000004</v>
      </c>
      <c r="H34" s="34">
        <f>$F$34*H168</f>
        <v>2179.61625</v>
      </c>
      <c r="I34" s="34">
        <f>$F$34*I168</f>
        <v>0</v>
      </c>
      <c r="J34" s="34">
        <f>$F$34*J168</f>
        <v>0</v>
      </c>
    </row>
    <row r="35" spans="1:13" x14ac:dyDescent="0.35">
      <c r="A35" s="26" t="s">
        <v>27</v>
      </c>
      <c r="F35" s="34">
        <f>'Test Year Detail'!F35</f>
        <v>2250</v>
      </c>
      <c r="G35" s="34">
        <f>$F$35*G169</f>
        <v>1406.25</v>
      </c>
      <c r="H35" s="34">
        <f>$F$35*H169</f>
        <v>843.75</v>
      </c>
      <c r="I35" s="34">
        <f>$F$35*I169</f>
        <v>0</v>
      </c>
      <c r="J35" s="34">
        <f>$F$35*J169</f>
        <v>0</v>
      </c>
    </row>
    <row r="36" spans="1:13" x14ac:dyDescent="0.35">
      <c r="A36" s="26" t="s">
        <v>28</v>
      </c>
      <c r="F36" s="34">
        <f>'Test Year Detail'!F36</f>
        <v>8132.6200000000008</v>
      </c>
      <c r="G36" s="34">
        <f>$F$36*G170</f>
        <v>5082.8875000000007</v>
      </c>
      <c r="H36" s="34">
        <f>$F$36*H170</f>
        <v>3049.7325000000001</v>
      </c>
      <c r="I36" s="34">
        <f>$F$36*I170</f>
        <v>0</v>
      </c>
      <c r="J36" s="34">
        <f>$F$36*J170</f>
        <v>0</v>
      </c>
    </row>
    <row r="37" spans="1:13" x14ac:dyDescent="0.35">
      <c r="A37" s="26" t="s">
        <v>29</v>
      </c>
      <c r="F37" s="34">
        <f>'Test Year Detail'!F37</f>
        <v>11400.24</v>
      </c>
      <c r="G37" s="34">
        <f>$F$37*G171</f>
        <v>7125.15</v>
      </c>
      <c r="H37" s="34">
        <f>$F$37*H171</f>
        <v>4275.09</v>
      </c>
      <c r="I37" s="34">
        <f>$F$37*I171</f>
        <v>0</v>
      </c>
      <c r="J37" s="34">
        <f>$F$37*J171</f>
        <v>0</v>
      </c>
    </row>
    <row r="38" spans="1:13" x14ac:dyDescent="0.35">
      <c r="A38" s="26" t="s">
        <v>1468</v>
      </c>
      <c r="F38" s="35">
        <f>'Test Year Detail'!F38</f>
        <v>-88328.9</v>
      </c>
      <c r="G38" s="35">
        <f>$F$38*G172</f>
        <v>-55205.5625</v>
      </c>
      <c r="H38" s="35">
        <f t="shared" ref="H38:J38" si="2">$F$38*H172</f>
        <v>-33123.337499999994</v>
      </c>
      <c r="I38" s="35">
        <f t="shared" si="2"/>
        <v>0</v>
      </c>
      <c r="J38" s="35">
        <f t="shared" si="2"/>
        <v>0</v>
      </c>
    </row>
    <row r="40" spans="1:13" ht="16" thickBot="1" x14ac:dyDescent="0.4">
      <c r="A40" s="25" t="s">
        <v>31</v>
      </c>
      <c r="B40" s="25"/>
      <c r="C40" s="25"/>
      <c r="D40" s="25"/>
      <c r="E40" s="25"/>
      <c r="F40" s="118">
        <f>SUM(F9:F39)</f>
        <v>2601031.5100000007</v>
      </c>
      <c r="G40" s="118">
        <f>SUM(G9:G39)</f>
        <v>1475821.1041874997</v>
      </c>
      <c r="H40" s="118">
        <f>SUM(H9:H39)</f>
        <v>885492.66251249996</v>
      </c>
      <c r="I40" s="118">
        <f>SUM(I9:I39)</f>
        <v>140059.53880000004</v>
      </c>
      <c r="J40" s="118">
        <f>SUM(J9:J39)</f>
        <v>99658.204499999993</v>
      </c>
      <c r="L40" s="129">
        <f>SUM(G40:J40)-F40</f>
        <v>0</v>
      </c>
      <c r="M40" s="44" t="s">
        <v>158</v>
      </c>
    </row>
    <row r="41" spans="1:13" ht="16" thickTop="1" x14ac:dyDescent="0.35">
      <c r="L41" s="44"/>
      <c r="M41" s="44"/>
    </row>
    <row r="42" spans="1:13" x14ac:dyDescent="0.35">
      <c r="A42" s="25" t="s">
        <v>149</v>
      </c>
      <c r="L42" s="44"/>
      <c r="M42" s="44"/>
    </row>
    <row r="43" spans="1:13" x14ac:dyDescent="0.35">
      <c r="A43" s="26" t="s">
        <v>106</v>
      </c>
      <c r="F43" s="119">
        <f>'Test Year Detail'!F44</f>
        <v>981121.38</v>
      </c>
      <c r="G43" s="120">
        <f>$F$43*G175</f>
        <v>613200.86250000005</v>
      </c>
      <c r="H43" s="120">
        <f>$F$43*H175</f>
        <v>367920.51750000002</v>
      </c>
      <c r="I43" s="121">
        <f>$F$43*I175</f>
        <v>0</v>
      </c>
      <c r="J43" s="121">
        <f>$F$43*J175</f>
        <v>0</v>
      </c>
      <c r="L43" s="44"/>
      <c r="M43" s="44"/>
    </row>
    <row r="44" spans="1:13" x14ac:dyDescent="0.35">
      <c r="L44" s="44"/>
      <c r="M44" s="44"/>
    </row>
    <row r="45" spans="1:13" ht="16" thickBot="1" x14ac:dyDescent="0.4">
      <c r="A45" s="26" t="s">
        <v>411</v>
      </c>
      <c r="F45" s="118">
        <f>SUM(F43:F44)</f>
        <v>981121.38</v>
      </c>
      <c r="G45" s="118">
        <f>SUM(G43:G44)</f>
        <v>613200.86250000005</v>
      </c>
      <c r="H45" s="118">
        <f>SUM(H43:H44)</f>
        <v>367920.51750000002</v>
      </c>
      <c r="I45" s="118">
        <f>SUM(I43:I44)</f>
        <v>0</v>
      </c>
      <c r="J45" s="118">
        <f>SUM(J43:J44)</f>
        <v>0</v>
      </c>
      <c r="L45" s="129">
        <f>SUM(G45:J45)-F45</f>
        <v>0</v>
      </c>
      <c r="M45" s="44" t="s">
        <v>158</v>
      </c>
    </row>
    <row r="46" spans="1:13" ht="16" thickTop="1" x14ac:dyDescent="0.35">
      <c r="L46" s="44"/>
      <c r="M46" s="44"/>
    </row>
    <row r="47" spans="1:13" ht="16" thickBot="1" x14ac:dyDescent="0.4">
      <c r="A47" s="25" t="s">
        <v>150</v>
      </c>
      <c r="F47" s="100">
        <f>F40+F45</f>
        <v>3582152.8900000006</v>
      </c>
      <c r="G47" s="100">
        <f>G40+G45</f>
        <v>2089021.9666874998</v>
      </c>
      <c r="H47" s="100">
        <f>H40+H45</f>
        <v>1253413.1800124999</v>
      </c>
      <c r="I47" s="100">
        <f>I40+I45</f>
        <v>140059.53880000004</v>
      </c>
      <c r="J47" s="100">
        <f>J40+J45</f>
        <v>99658.204499999993</v>
      </c>
      <c r="L47" s="129">
        <f>SUM(G47:J47)-F47</f>
        <v>0</v>
      </c>
      <c r="M47" s="44" t="s">
        <v>158</v>
      </c>
    </row>
    <row r="48" spans="1:13" ht="16" thickTop="1" x14ac:dyDescent="0.35">
      <c r="L48" s="44"/>
      <c r="M48" s="44"/>
    </row>
    <row r="49" spans="1:13" x14ac:dyDescent="0.35">
      <c r="A49" s="25" t="s">
        <v>152</v>
      </c>
      <c r="L49" s="44"/>
      <c r="M49" s="44"/>
    </row>
    <row r="50" spans="1:13" x14ac:dyDescent="0.35">
      <c r="A50" s="26" t="s">
        <v>35</v>
      </c>
      <c r="F50" s="33">
        <f>'Test Year Detail'!F49</f>
        <v>-86790.68</v>
      </c>
      <c r="G50" s="128">
        <f>$F$50*G178</f>
        <v>-54244.174999999996</v>
      </c>
      <c r="H50" s="128">
        <f>$F$50*H178</f>
        <v>-32546.504999999997</v>
      </c>
      <c r="I50" s="128">
        <f>$F$50*I178</f>
        <v>0</v>
      </c>
      <c r="J50" s="128">
        <f>$F$50*J178</f>
        <v>0</v>
      </c>
      <c r="L50" s="44"/>
      <c r="M50" s="44"/>
    </row>
    <row r="51" spans="1:13" x14ac:dyDescent="0.35">
      <c r="A51" s="26" t="s">
        <v>121</v>
      </c>
      <c r="F51" s="34">
        <f>'Revenue Offsets'!F9</f>
        <v>184254.91</v>
      </c>
      <c r="G51" s="34">
        <f>$F$51*G179</f>
        <v>115159.31875000001</v>
      </c>
      <c r="H51" s="34">
        <f>$F$51*H179</f>
        <v>69095.591249999998</v>
      </c>
      <c r="I51" s="34">
        <f>$F$51*I179</f>
        <v>0</v>
      </c>
      <c r="J51" s="34">
        <f>$F$51*J179</f>
        <v>0</v>
      </c>
      <c r="L51" s="44"/>
      <c r="M51" s="44"/>
    </row>
    <row r="52" spans="1:13" x14ac:dyDescent="0.35">
      <c r="A52" s="26" t="s">
        <v>148</v>
      </c>
      <c r="F52" s="34">
        <f>'Revenue Offsets'!F11</f>
        <v>24123.38</v>
      </c>
      <c r="G52" s="34">
        <f>$F$52*G180</f>
        <v>15077.112500000001</v>
      </c>
      <c r="H52" s="34">
        <f>$F$52*H180</f>
        <v>9046.2674999999999</v>
      </c>
      <c r="I52" s="34">
        <f>$F$52*I180</f>
        <v>0</v>
      </c>
      <c r="J52" s="34">
        <f>$F$52*J180</f>
        <v>0</v>
      </c>
      <c r="L52" s="44"/>
      <c r="M52" s="44"/>
    </row>
    <row r="53" spans="1:13" x14ac:dyDescent="0.35">
      <c r="A53" s="26" t="s">
        <v>132</v>
      </c>
      <c r="F53" s="35">
        <f>'Revenue Offsets'!F10</f>
        <v>-99902.69</v>
      </c>
      <c r="G53" s="35">
        <f>$F$53*G181</f>
        <v>-62439.181250000001</v>
      </c>
      <c r="H53" s="35">
        <f>$F$53*H181</f>
        <v>-37463.508750000001</v>
      </c>
      <c r="I53" s="35">
        <f>$F$53*I181</f>
        <v>0</v>
      </c>
      <c r="J53" s="35">
        <f>$F$53*J181</f>
        <v>0</v>
      </c>
      <c r="L53" s="44"/>
      <c r="M53" s="44"/>
    </row>
    <row r="54" spans="1:13" x14ac:dyDescent="0.35">
      <c r="L54" s="44"/>
      <c r="M54" s="44"/>
    </row>
    <row r="55" spans="1:13" ht="16" thickBot="1" x14ac:dyDescent="0.4">
      <c r="A55" s="25" t="s">
        <v>151</v>
      </c>
      <c r="B55" s="25"/>
      <c r="C55" s="25"/>
      <c r="D55" s="25"/>
      <c r="E55" s="25"/>
      <c r="F55" s="118">
        <f>SUM(F50:F54)</f>
        <v>21684.920000000013</v>
      </c>
      <c r="G55" s="118">
        <f>SUM(G50:G54)</f>
        <v>13553.075000000004</v>
      </c>
      <c r="H55" s="118">
        <f>SUM(H50:H54)</f>
        <v>8131.8450000000012</v>
      </c>
      <c r="I55" s="118">
        <f>SUM(I50:I54)</f>
        <v>0</v>
      </c>
      <c r="J55" s="118">
        <f>SUM(J50:J54)</f>
        <v>0</v>
      </c>
      <c r="L55" s="129">
        <f>SUM(G55:J55)-F55</f>
        <v>0</v>
      </c>
      <c r="M55" s="44" t="s">
        <v>158</v>
      </c>
    </row>
    <row r="56" spans="1:13" ht="16" thickTop="1" x14ac:dyDescent="0.35">
      <c r="L56" s="44"/>
      <c r="M56" s="44"/>
    </row>
    <row r="57" spans="1:13" x14ac:dyDescent="0.35">
      <c r="A57" s="25" t="s">
        <v>350</v>
      </c>
      <c r="L57" s="44"/>
      <c r="M57" s="44"/>
    </row>
    <row r="58" spans="1:13" x14ac:dyDescent="0.35">
      <c r="A58" s="26" t="s">
        <v>123</v>
      </c>
      <c r="F58" s="119">
        <f>'Revenue Offsets'!F12</f>
        <v>3000</v>
      </c>
      <c r="G58" s="119">
        <f>$F$58*G185</f>
        <v>1875</v>
      </c>
      <c r="H58" s="119">
        <f>$F$58*H185</f>
        <v>1125</v>
      </c>
      <c r="I58" s="119">
        <f>$F$58*I185</f>
        <v>0</v>
      </c>
      <c r="J58" s="119">
        <f>$F$58*J185</f>
        <v>0</v>
      </c>
      <c r="L58" s="44"/>
      <c r="M58" s="44"/>
    </row>
    <row r="59" spans="1:13" x14ac:dyDescent="0.35">
      <c r="L59" s="44"/>
      <c r="M59" s="44"/>
    </row>
    <row r="60" spans="1:13" ht="16" thickBot="1" x14ac:dyDescent="0.4">
      <c r="A60" s="25" t="s">
        <v>153</v>
      </c>
      <c r="B60" s="25"/>
      <c r="C60" s="25"/>
      <c r="D60" s="25"/>
      <c r="E60" s="25"/>
      <c r="F60" s="118">
        <f>SUM(F58:F59)</f>
        <v>3000</v>
      </c>
      <c r="G60" s="118">
        <f>SUM(G58:G59)</f>
        <v>1875</v>
      </c>
      <c r="H60" s="118">
        <f>SUM(H58:H59)</f>
        <v>1125</v>
      </c>
      <c r="I60" s="118">
        <f>SUM(I58:I59)</f>
        <v>0</v>
      </c>
      <c r="J60" s="118">
        <f>SUM(J58:J59)</f>
        <v>0</v>
      </c>
      <c r="L60" s="129">
        <f>SUM(G60:J60)-F60</f>
        <v>0</v>
      </c>
      <c r="M60" s="44" t="s">
        <v>158</v>
      </c>
    </row>
    <row r="61" spans="1:13" ht="16" thickTop="1" x14ac:dyDescent="0.35"/>
    <row r="63" spans="1:13" x14ac:dyDescent="0.35">
      <c r="J63" s="50" t="s">
        <v>1653</v>
      </c>
    </row>
    <row r="65" spans="1:10" x14ac:dyDescent="0.35">
      <c r="I65" s="113" t="s">
        <v>142</v>
      </c>
      <c r="J65" s="85"/>
    </row>
    <row r="66" spans="1:10" ht="31" x14ac:dyDescent="0.35">
      <c r="E66" s="114" t="s">
        <v>39</v>
      </c>
      <c r="F66" s="115" t="s">
        <v>140</v>
      </c>
      <c r="G66" s="114" t="s">
        <v>141</v>
      </c>
      <c r="H66" s="114" t="s">
        <v>945</v>
      </c>
      <c r="I66" s="114" t="s">
        <v>145</v>
      </c>
      <c r="J66" s="114" t="s">
        <v>143</v>
      </c>
    </row>
    <row r="68" spans="1:10" x14ac:dyDescent="0.35">
      <c r="A68" s="25" t="s">
        <v>156</v>
      </c>
    </row>
    <row r="69" spans="1:10" x14ac:dyDescent="0.35">
      <c r="A69" s="26" t="s">
        <v>478</v>
      </c>
      <c r="F69" s="33">
        <f>Insurance!G8</f>
        <v>-3617.0699999999997</v>
      </c>
      <c r="G69" s="33">
        <f>$F$69*G195</f>
        <v>-2260.6687499999998</v>
      </c>
      <c r="H69" s="33">
        <f>$F$69*H195</f>
        <v>-1356.4012499999999</v>
      </c>
      <c r="I69" s="33">
        <f>$F$69*I195</f>
        <v>0</v>
      </c>
      <c r="J69" s="33">
        <f>$F$69*J195</f>
        <v>0</v>
      </c>
    </row>
    <row r="70" spans="1:10" x14ac:dyDescent="0.35">
      <c r="A70" s="26" t="s">
        <v>1571</v>
      </c>
      <c r="F70" s="34">
        <f>Personnel!G395+Personnel!G445</f>
        <v>3144.8885116708757</v>
      </c>
      <c r="G70" s="34">
        <f>$F$70*G196</f>
        <v>353.79995756297347</v>
      </c>
      <c r="H70" s="34">
        <f>$F$70*H196</f>
        <v>212.27997453778411</v>
      </c>
      <c r="I70" s="34">
        <f>$F$70*I196</f>
        <v>0</v>
      </c>
      <c r="J70" s="34">
        <f>$F$70*J196</f>
        <v>2578.8085795701181</v>
      </c>
    </row>
    <row r="71" spans="1:10" x14ac:dyDescent="0.35">
      <c r="A71" s="26" t="s">
        <v>1572</v>
      </c>
      <c r="F71" s="34">
        <f>Personnel!G264</f>
        <v>4014.403084761675</v>
      </c>
      <c r="G71" s="34">
        <f>$F$71*G197</f>
        <v>0</v>
      </c>
      <c r="H71" s="34">
        <f>$F$71*H197</f>
        <v>0</v>
      </c>
      <c r="I71" s="34">
        <f>$F$71*I197</f>
        <v>4014.403084761675</v>
      </c>
      <c r="J71" s="34">
        <f>$F$71*J197</f>
        <v>0</v>
      </c>
    </row>
    <row r="72" spans="1:10" x14ac:dyDescent="0.35">
      <c r="A72" s="26" t="s">
        <v>1573</v>
      </c>
      <c r="F72" s="34">
        <f>Personnel!G113+Personnel!G181</f>
        <v>12227.30608615364</v>
      </c>
      <c r="G72" s="34">
        <f>$F$72*G198</f>
        <v>7642.0663038460243</v>
      </c>
      <c r="H72" s="34">
        <f>$F$72*H198</f>
        <v>4585.2397823076153</v>
      </c>
      <c r="I72" s="34">
        <f>$F$72*I198</f>
        <v>0</v>
      </c>
      <c r="J72" s="34">
        <f>$F$72*J198</f>
        <v>0</v>
      </c>
    </row>
    <row r="73" spans="1:10" x14ac:dyDescent="0.35">
      <c r="A73" s="26" t="s">
        <v>654</v>
      </c>
      <c r="F73" s="353">
        <v>0</v>
      </c>
      <c r="G73" s="34">
        <f>$F$73*G199</f>
        <v>0</v>
      </c>
      <c r="H73" s="34">
        <f>$F$73*H199</f>
        <v>0</v>
      </c>
      <c r="I73" s="34">
        <f>$F$73*I199</f>
        <v>0</v>
      </c>
      <c r="J73" s="34">
        <f>$F$73*J199</f>
        <v>0</v>
      </c>
    </row>
    <row r="74" spans="1:10" x14ac:dyDescent="0.35">
      <c r="A74" s="26" t="s">
        <v>655</v>
      </c>
      <c r="F74" s="353">
        <v>0</v>
      </c>
      <c r="G74" s="34">
        <f>$F$74*G200</f>
        <v>0</v>
      </c>
      <c r="H74" s="34">
        <f>$F$74*H200</f>
        <v>0</v>
      </c>
      <c r="I74" s="34">
        <f>$F$74*I200</f>
        <v>0</v>
      </c>
      <c r="J74" s="34">
        <f>$F$74*J200</f>
        <v>0</v>
      </c>
    </row>
    <row r="75" spans="1:10" x14ac:dyDescent="0.35">
      <c r="A75" s="200" t="s">
        <v>1574</v>
      </c>
      <c r="B75" s="200"/>
      <c r="C75" s="200"/>
      <c r="D75" s="200"/>
      <c r="F75" s="42">
        <v>0</v>
      </c>
      <c r="G75" s="34">
        <f>$F$75*G201</f>
        <v>0</v>
      </c>
      <c r="H75" s="34">
        <f>$F$75*H201</f>
        <v>0</v>
      </c>
      <c r="I75" s="34">
        <f>$F$75*I201</f>
        <v>0</v>
      </c>
      <c r="J75" s="34">
        <f>$F$75*J201</f>
        <v>0</v>
      </c>
    </row>
    <row r="76" spans="1:10" x14ac:dyDescent="0.35">
      <c r="A76" s="26" t="s">
        <v>717</v>
      </c>
      <c r="F76" s="34">
        <f>'Allocated Expenses'!F45</f>
        <v>0</v>
      </c>
      <c r="G76" s="34">
        <f>$F$76*G202</f>
        <v>0</v>
      </c>
      <c r="H76" s="34">
        <f>$F$76*H202</f>
        <v>0</v>
      </c>
      <c r="I76" s="34">
        <f>$F$76*I202</f>
        <v>0</v>
      </c>
      <c r="J76" s="34">
        <f>$F$76*J202</f>
        <v>0</v>
      </c>
    </row>
    <row r="77" spans="1:10" x14ac:dyDescent="0.35">
      <c r="A77" s="26" t="s">
        <v>660</v>
      </c>
      <c r="F77" s="34">
        <f>-Reserves!G20</f>
        <v>0</v>
      </c>
      <c r="G77" s="34">
        <f>$F$77*G203</f>
        <v>0</v>
      </c>
      <c r="H77" s="34">
        <f>$F$77*H203</f>
        <v>0</v>
      </c>
      <c r="I77" s="34">
        <f>$F$77*I203</f>
        <v>0</v>
      </c>
      <c r="J77" s="34">
        <f>$F$77*J203</f>
        <v>0</v>
      </c>
    </row>
    <row r="78" spans="1:10" x14ac:dyDescent="0.35">
      <c r="A78" s="26" t="s">
        <v>1575</v>
      </c>
      <c r="F78" s="34">
        <f>'Contract Operations'!G8</f>
        <v>79390.870000000112</v>
      </c>
      <c r="G78" s="34">
        <f>$F$78*G204</f>
        <v>49619.29375000007</v>
      </c>
      <c r="H78" s="34">
        <f>$F$78*H204</f>
        <v>29771.576250000042</v>
      </c>
      <c r="I78" s="34">
        <f>$F$78*I204</f>
        <v>0</v>
      </c>
      <c r="J78" s="34">
        <f>$F$78*J204</f>
        <v>0</v>
      </c>
    </row>
    <row r="79" spans="1:10" x14ac:dyDescent="0.35">
      <c r="A79" s="26" t="s">
        <v>371</v>
      </c>
      <c r="F79" s="34">
        <f>'Test Year Detail'!F49+Summary!G8</f>
        <v>-86790.68</v>
      </c>
      <c r="G79" s="34">
        <f>$F$79*G205</f>
        <v>-54244.174999999996</v>
      </c>
      <c r="H79" s="34">
        <f>$F$79*H205</f>
        <v>-32546.504999999997</v>
      </c>
      <c r="I79" s="34">
        <f>$F$79*I205</f>
        <v>0</v>
      </c>
      <c r="J79" s="34">
        <f>$F$79*J205</f>
        <v>0</v>
      </c>
    </row>
    <row r="80" spans="1:10" x14ac:dyDescent="0.35">
      <c r="A80" s="26" t="s">
        <v>218</v>
      </c>
      <c r="F80" s="34">
        <f>'Debt Service'!E52</f>
        <v>348954.96666666667</v>
      </c>
      <c r="G80" s="34">
        <f>$F$80*G206</f>
        <v>218096.85416666669</v>
      </c>
      <c r="H80" s="34">
        <f>$F$80*H206</f>
        <v>130858.1125</v>
      </c>
      <c r="I80" s="34">
        <f>$F$80*I206</f>
        <v>0</v>
      </c>
      <c r="J80" s="34">
        <f>$F$80*J206</f>
        <v>0</v>
      </c>
    </row>
    <row r="81" spans="1:11" x14ac:dyDescent="0.35">
      <c r="A81" s="26" t="s">
        <v>1319</v>
      </c>
      <c r="F81" s="34">
        <f>-'Revenue Offsets'!G11</f>
        <v>0</v>
      </c>
      <c r="G81" s="34">
        <f>$F$81*G207</f>
        <v>0</v>
      </c>
      <c r="H81" s="34">
        <f>$F$81*H207</f>
        <v>0</v>
      </c>
      <c r="I81" s="34">
        <f>$F$81*I207</f>
        <v>0</v>
      </c>
      <c r="J81" s="34">
        <f>$F$81*J207</f>
        <v>0</v>
      </c>
      <c r="K81" s="34"/>
    </row>
    <row r="82" spans="1:11" x14ac:dyDescent="0.35">
      <c r="A82" s="26" t="s">
        <v>1080</v>
      </c>
      <c r="F82" s="34">
        <f>Electricity!G8</f>
        <v>0</v>
      </c>
      <c r="G82" s="34">
        <f>$F$82*G208</f>
        <v>0</v>
      </c>
      <c r="H82" s="34">
        <f>$F$82*H208</f>
        <v>0</v>
      </c>
      <c r="I82" s="34">
        <f>$F$82*I208</f>
        <v>0</v>
      </c>
      <c r="J82" s="34">
        <f>$F$82*J208</f>
        <v>0</v>
      </c>
      <c r="K82" s="34"/>
    </row>
    <row r="83" spans="1:11" x14ac:dyDescent="0.35">
      <c r="A83" s="26" t="s">
        <v>928</v>
      </c>
      <c r="F83" s="34">
        <f>IF('NR Charges'!M15=1,-SUM('NR Charges'!G8:G12),-'NR Charges'!F22)</f>
        <v>0</v>
      </c>
      <c r="G83" s="34">
        <f>$F$83*G209</f>
        <v>0</v>
      </c>
      <c r="H83" s="34">
        <f>$F$83*H209</f>
        <v>0</v>
      </c>
      <c r="I83" s="34">
        <f>$F$83*I209</f>
        <v>0</v>
      </c>
      <c r="J83" s="34">
        <f>$F$83*J209</f>
        <v>0</v>
      </c>
    </row>
    <row r="84" spans="1:11" x14ac:dyDescent="0.35">
      <c r="A84" s="26" t="s">
        <v>1576</v>
      </c>
      <c r="F84" s="34">
        <f>'FK Water'!G8</f>
        <v>33662.899999999994</v>
      </c>
      <c r="G84" s="34">
        <f>$F$84*G210</f>
        <v>21039.312499999996</v>
      </c>
      <c r="H84" s="34">
        <f>$F$84*H210</f>
        <v>12623.587499999998</v>
      </c>
      <c r="I84" s="34">
        <f>$F$84*I210</f>
        <v>0</v>
      </c>
      <c r="J84" s="34">
        <f>$F$84*J210</f>
        <v>0</v>
      </c>
    </row>
    <row r="85" spans="1:11" x14ac:dyDescent="0.35">
      <c r="A85" s="26" t="s">
        <v>1582</v>
      </c>
      <c r="F85" s="34">
        <f>'Test Year Detail'!F53</f>
        <v>-99902.69</v>
      </c>
      <c r="G85" s="34">
        <f>$F$85*G211</f>
        <v>-62439.181250000001</v>
      </c>
      <c r="H85" s="34">
        <f t="shared" ref="H85:J85" si="3">$F$85*H211</f>
        <v>-37463.508750000001</v>
      </c>
      <c r="I85" s="34">
        <f t="shared" si="3"/>
        <v>0</v>
      </c>
      <c r="J85" s="34">
        <f t="shared" si="3"/>
        <v>0</v>
      </c>
    </row>
    <row r="86" spans="1:11" x14ac:dyDescent="0.35">
      <c r="A86" s="26" t="s">
        <v>216</v>
      </c>
      <c r="F86" s="34">
        <f>Dep_Amor!H54</f>
        <v>20000</v>
      </c>
      <c r="G86" s="34">
        <f>$F$86*G212</f>
        <v>12500</v>
      </c>
      <c r="H86" s="34">
        <f>$F$86*H212</f>
        <v>7500</v>
      </c>
      <c r="I86" s="34">
        <f>$F$86*I212</f>
        <v>0</v>
      </c>
      <c r="J86" s="34">
        <f>$F$86*J212</f>
        <v>0</v>
      </c>
    </row>
    <row r="87" spans="1:11" x14ac:dyDescent="0.35">
      <c r="A87" s="26" t="s">
        <v>226</v>
      </c>
      <c r="F87" s="34">
        <f>SUM('Fixed Assets'!L11:L288)</f>
        <v>-8184.55</v>
      </c>
      <c r="G87" s="34">
        <f>$F$87*G213</f>
        <v>-5115.34375</v>
      </c>
      <c r="H87" s="34">
        <f>$F$87*H213</f>
        <v>-3069.2062500000002</v>
      </c>
      <c r="I87" s="34">
        <f>$F$87*I213</f>
        <v>0</v>
      </c>
      <c r="J87" s="34">
        <f>$F$87*J213</f>
        <v>0</v>
      </c>
    </row>
    <row r="88" spans="1:11" x14ac:dyDescent="0.35">
      <c r="A88" s="26" t="s">
        <v>227</v>
      </c>
      <c r="F88" s="34"/>
      <c r="G88" s="34"/>
      <c r="H88" s="34"/>
      <c r="I88" s="34"/>
      <c r="J88" s="34"/>
    </row>
    <row r="89" spans="1:11" x14ac:dyDescent="0.35">
      <c r="B89" s="26" t="str">
        <f>Dep_Amor!B7</f>
        <v>Lincoln Trail I/I Reduction Project</v>
      </c>
      <c r="F89" s="34">
        <f>Dep_Amor!H7</f>
        <v>7728.5043999999998</v>
      </c>
      <c r="G89" s="34">
        <f>$F$89*G215</f>
        <v>4830.3152499999997</v>
      </c>
      <c r="H89" s="34">
        <f t="shared" ref="H89:J89" si="4">$F$89*H215</f>
        <v>2898.1891500000002</v>
      </c>
      <c r="I89" s="34">
        <f t="shared" si="4"/>
        <v>0</v>
      </c>
      <c r="J89" s="34">
        <f t="shared" si="4"/>
        <v>0</v>
      </c>
    </row>
    <row r="90" spans="1:11" x14ac:dyDescent="0.35">
      <c r="B90" s="26" t="str">
        <f>Dep_Amor!B8</f>
        <v>Quiggins Gravity System Project</v>
      </c>
      <c r="F90" s="34">
        <f>Dep_Amor!H8</f>
        <v>9318.0882000000001</v>
      </c>
      <c r="G90" s="34">
        <f>$F$90*G216</f>
        <v>5823.8051249999999</v>
      </c>
      <c r="H90" s="34">
        <f t="shared" ref="H90:J90" si="5">$F$90*H216</f>
        <v>3494.2830750000003</v>
      </c>
      <c r="I90" s="34">
        <f t="shared" si="5"/>
        <v>0</v>
      </c>
      <c r="J90" s="34">
        <f t="shared" si="5"/>
        <v>0</v>
      </c>
    </row>
    <row r="91" spans="1:11" x14ac:dyDescent="0.35">
      <c r="B91" s="26" t="str">
        <f>Dep_Amor!B9</f>
        <v>Boone Trace and Lincoln Trail Lift Station Improvements</v>
      </c>
      <c r="F91" s="34">
        <f>Dep_Amor!H9</f>
        <v>8573.4147499999999</v>
      </c>
      <c r="G91" s="34">
        <f>$F$91*G217</f>
        <v>5358.3842187499995</v>
      </c>
      <c r="H91" s="34">
        <f t="shared" ref="H91:J91" si="6">$F$91*H217</f>
        <v>3215.03053125</v>
      </c>
      <c r="I91" s="34">
        <f t="shared" si="6"/>
        <v>0</v>
      </c>
      <c r="J91" s="34">
        <f t="shared" si="6"/>
        <v>0</v>
      </c>
    </row>
    <row r="92" spans="1:11" x14ac:dyDescent="0.35">
      <c r="B92" s="26" t="str">
        <f>Dep_Amor!B10</f>
        <v>WWTP Primary Treatment Building</v>
      </c>
      <c r="F92" s="34">
        <f>Dep_Amor!H10</f>
        <v>15213.740000000002</v>
      </c>
      <c r="G92" s="34">
        <f>$F$92*G218</f>
        <v>9508.5875000000015</v>
      </c>
      <c r="H92" s="34">
        <f t="shared" ref="H92:J92" si="7">$F$92*H218</f>
        <v>5705.1525000000001</v>
      </c>
      <c r="I92" s="34">
        <f t="shared" si="7"/>
        <v>0</v>
      </c>
      <c r="J92" s="34">
        <f t="shared" si="7"/>
        <v>0</v>
      </c>
    </row>
    <row r="93" spans="1:11" x14ac:dyDescent="0.35">
      <c r="B93" s="26" t="str">
        <f>Dep_Amor!B11</f>
        <v>Watkins LS Project</v>
      </c>
      <c r="F93" s="34">
        <f>Dep_Amor!H11</f>
        <v>1200.4392499999999</v>
      </c>
      <c r="G93" s="34">
        <f>$F$93*G219</f>
        <v>750.27453124999988</v>
      </c>
      <c r="H93" s="34">
        <f t="shared" ref="H93:J93" si="8">$F$93*H219</f>
        <v>450.16471874999996</v>
      </c>
      <c r="I93" s="34">
        <f t="shared" si="8"/>
        <v>0</v>
      </c>
      <c r="J93" s="34">
        <f t="shared" si="8"/>
        <v>0</v>
      </c>
    </row>
    <row r="94" spans="1:11" x14ac:dyDescent="0.35">
      <c r="B94" s="26" t="str">
        <f>Dep_Amor!B12</f>
        <v>Drug Store Lift Station Replacement</v>
      </c>
      <c r="F94" s="34">
        <f>Dep_Amor!H12</f>
        <v>9024.9027499999993</v>
      </c>
      <c r="G94" s="34">
        <f>$F$94*G220</f>
        <v>5640.5642187499998</v>
      </c>
      <c r="H94" s="34">
        <f t="shared" ref="H94:J94" si="9">$F$94*H220</f>
        <v>3384.3385312499995</v>
      </c>
      <c r="I94" s="34">
        <f t="shared" si="9"/>
        <v>0</v>
      </c>
      <c r="J94" s="34">
        <f t="shared" si="9"/>
        <v>0</v>
      </c>
    </row>
    <row r="95" spans="1:11" x14ac:dyDescent="0.35">
      <c r="B95" s="26" t="str">
        <f>Dep_Amor!B13</f>
        <v>WWTP Plant Clarifier, Oxidaton Ditch, and Lower Half of WWTP</v>
      </c>
      <c r="F95" s="34">
        <f>Dep_Amor!H13</f>
        <v>4600</v>
      </c>
      <c r="G95" s="34">
        <f>$F$95*G221</f>
        <v>2875</v>
      </c>
      <c r="H95" s="34">
        <f t="shared" ref="H95:J95" si="10">$F$95*H221</f>
        <v>1725</v>
      </c>
      <c r="I95" s="34">
        <f t="shared" si="10"/>
        <v>0</v>
      </c>
      <c r="J95" s="34">
        <f t="shared" si="10"/>
        <v>0</v>
      </c>
    </row>
    <row r="96" spans="1:11" x14ac:dyDescent="0.35">
      <c r="B96" s="26" t="str">
        <f>Dep_Amor!B14</f>
        <v>Greenview and Cement LS Improvements</v>
      </c>
      <c r="F96" s="34">
        <f>Dep_Amor!H14</f>
        <v>1095.566</v>
      </c>
      <c r="G96" s="34">
        <f>$F$96*G222</f>
        <v>684.72874999999999</v>
      </c>
      <c r="H96" s="34">
        <f t="shared" ref="H96:J96" si="11">$F$96*H222</f>
        <v>410.83725000000004</v>
      </c>
      <c r="I96" s="34">
        <f t="shared" si="11"/>
        <v>0</v>
      </c>
      <c r="J96" s="34">
        <f t="shared" si="11"/>
        <v>0</v>
      </c>
    </row>
    <row r="97" spans="2:10" x14ac:dyDescent="0.35">
      <c r="B97" s="26" t="str">
        <f>Dep_Amor!B15</f>
        <v>Greenview and Cement Gravity System Improvements</v>
      </c>
      <c r="F97" s="34">
        <f>Dep_Amor!H15</f>
        <v>1874.2682</v>
      </c>
      <c r="G97" s="34">
        <f>$F$97*G223</f>
        <v>1171.417625</v>
      </c>
      <c r="H97" s="34">
        <f t="shared" ref="H97:J97" si="12">$F$97*H223</f>
        <v>702.85057499999994</v>
      </c>
      <c r="I97" s="34">
        <f t="shared" si="12"/>
        <v>0</v>
      </c>
      <c r="J97" s="34">
        <f t="shared" si="12"/>
        <v>0</v>
      </c>
    </row>
    <row r="98" spans="2:10" x14ac:dyDescent="0.35">
      <c r="B98" s="26" t="str">
        <f>Dep_Amor!B16</f>
        <v>North Logsdon Parkway Gravity System Improvements</v>
      </c>
      <c r="F98" s="34">
        <f>Dep_Amor!H16</f>
        <v>5303.64</v>
      </c>
      <c r="G98" s="34">
        <f>$F$98*G224</f>
        <v>3314.7750000000001</v>
      </c>
      <c r="H98" s="34">
        <f t="shared" ref="H98:J98" si="13">$F$98*H224</f>
        <v>1988.8650000000002</v>
      </c>
      <c r="I98" s="34">
        <f t="shared" si="13"/>
        <v>0</v>
      </c>
      <c r="J98" s="34">
        <f t="shared" si="13"/>
        <v>0</v>
      </c>
    </row>
    <row r="99" spans="2:10" x14ac:dyDescent="0.35">
      <c r="B99" s="26" t="str">
        <f>Dep_Amor!B17</f>
        <v>Stovall LS/FM Improvements</v>
      </c>
      <c r="F99" s="34">
        <f>Dep_Amor!H17</f>
        <v>2964.2750000000001</v>
      </c>
      <c r="G99" s="34">
        <f>$F$99*G225</f>
        <v>1852.671875</v>
      </c>
      <c r="H99" s="34">
        <f t="shared" ref="H99:J99" si="14">$F$99*H225</f>
        <v>1111.6031250000001</v>
      </c>
      <c r="I99" s="34">
        <f t="shared" si="14"/>
        <v>0</v>
      </c>
      <c r="J99" s="34">
        <f t="shared" si="14"/>
        <v>0</v>
      </c>
    </row>
    <row r="100" spans="2:10" x14ac:dyDescent="0.35">
      <c r="B100" s="26" t="str">
        <f>Dep_Amor!B18</f>
        <v>North Woodland Gravity System Improvements</v>
      </c>
      <c r="F100" s="34">
        <f>Dep_Amor!H18</f>
        <v>2738.6334000000002</v>
      </c>
      <c r="G100" s="34">
        <f>$F$100*G226</f>
        <v>1711.6458750000002</v>
      </c>
      <c r="H100" s="34">
        <f t="shared" ref="H100:J100" si="15">$F$100*H226</f>
        <v>1026.987525</v>
      </c>
      <c r="I100" s="34">
        <f t="shared" si="15"/>
        <v>0</v>
      </c>
      <c r="J100" s="34">
        <f t="shared" si="15"/>
        <v>0</v>
      </c>
    </row>
    <row r="101" spans="2:10" x14ac:dyDescent="0.35">
      <c r="B101" s="26" t="str">
        <f>Dep_Amor!B19</f>
        <v>John Hardin Force Main Improvements</v>
      </c>
      <c r="F101" s="34">
        <f>Dep_Amor!H19</f>
        <v>241.06560000000002</v>
      </c>
      <c r="G101" s="34">
        <f>$F$101*G227</f>
        <v>150.666</v>
      </c>
      <c r="H101" s="34">
        <f t="shared" ref="H101:J101" si="16">$F$101*H227</f>
        <v>90.399600000000007</v>
      </c>
      <c r="I101" s="34">
        <f t="shared" si="16"/>
        <v>0</v>
      </c>
      <c r="J101" s="34">
        <f t="shared" si="16"/>
        <v>0</v>
      </c>
    </row>
    <row r="102" spans="2:10" x14ac:dyDescent="0.35">
      <c r="B102" s="26" t="str">
        <f>Dep_Amor!B20</f>
        <v>WWTP RAS/WAS Improvements</v>
      </c>
      <c r="F102" s="34">
        <f>Dep_Amor!H20</f>
        <v>2972.4279999999999</v>
      </c>
      <c r="G102" s="34">
        <f>$F$102*G228</f>
        <v>1857.7674999999999</v>
      </c>
      <c r="H102" s="34">
        <f t="shared" ref="H102:J102" si="17">$F$102*H228</f>
        <v>1114.6605</v>
      </c>
      <c r="I102" s="34">
        <f t="shared" si="17"/>
        <v>0</v>
      </c>
      <c r="J102" s="34">
        <f t="shared" si="17"/>
        <v>0</v>
      </c>
    </row>
    <row r="103" spans="2:10" x14ac:dyDescent="0.35">
      <c r="B103" s="26" t="str">
        <f>Dep_Amor!B21</f>
        <v>LS Bypass Improvements</v>
      </c>
      <c r="F103" s="34">
        <f>Dep_Amor!H21</f>
        <v>268.83</v>
      </c>
      <c r="G103" s="34">
        <f>$F$103*G229</f>
        <v>168.01874999999998</v>
      </c>
      <c r="H103" s="34">
        <f t="shared" ref="H103:J103" si="18">$F$103*H229</f>
        <v>100.81125</v>
      </c>
      <c r="I103" s="34">
        <f t="shared" si="18"/>
        <v>0</v>
      </c>
      <c r="J103" s="34">
        <f t="shared" si="18"/>
        <v>0</v>
      </c>
    </row>
    <row r="104" spans="2:10" x14ac:dyDescent="0.35">
      <c r="B104" s="26" t="str">
        <f>Dep_Amor!B22</f>
        <v>North Logsdon LS Improvements Project</v>
      </c>
      <c r="F104" s="34">
        <f>Dep_Amor!H22</f>
        <v>15640.820000000003</v>
      </c>
      <c r="G104" s="34">
        <f>$F$104*G230</f>
        <v>9775.5125000000025</v>
      </c>
      <c r="H104" s="34">
        <f t="shared" ref="H104:J104" si="19">$F$104*H230</f>
        <v>5865.3075000000008</v>
      </c>
      <c r="I104" s="34">
        <f t="shared" si="19"/>
        <v>0</v>
      </c>
      <c r="J104" s="34">
        <f t="shared" si="19"/>
        <v>0</v>
      </c>
    </row>
    <row r="105" spans="2:10" x14ac:dyDescent="0.35">
      <c r="B105" s="26" t="str">
        <f>Dep_Amor!B23</f>
        <v>Quiggins and Boone Trace I/I Reduction Project</v>
      </c>
      <c r="F105" s="34">
        <f>Dep_Amor!H23</f>
        <v>20000</v>
      </c>
      <c r="G105" s="34">
        <f>$F$105*G231</f>
        <v>12500</v>
      </c>
      <c r="H105" s="34">
        <f t="shared" ref="H105:J105" si="20">$F$105*H231</f>
        <v>7500</v>
      </c>
      <c r="I105" s="34">
        <f t="shared" si="20"/>
        <v>0</v>
      </c>
      <c r="J105" s="34">
        <f t="shared" si="20"/>
        <v>0</v>
      </c>
    </row>
    <row r="106" spans="2:10" x14ac:dyDescent="0.35">
      <c r="B106" s="26" t="str">
        <f>Dep_Amor!B24</f>
        <v>Seminole I/I Reduction Project</v>
      </c>
      <c r="F106" s="34">
        <f>Dep_Amor!H24</f>
        <v>6000</v>
      </c>
      <c r="G106" s="34">
        <f>$F$106*G232</f>
        <v>3750</v>
      </c>
      <c r="H106" s="34">
        <f t="shared" ref="H106:J106" si="21">$F$106*H232</f>
        <v>2250</v>
      </c>
      <c r="I106" s="34">
        <f t="shared" si="21"/>
        <v>0</v>
      </c>
      <c r="J106" s="34">
        <f t="shared" si="21"/>
        <v>0</v>
      </c>
    </row>
    <row r="107" spans="2:10" x14ac:dyDescent="0.35">
      <c r="B107" s="26" t="str">
        <f>Dep_Amor!B25</f>
        <v>WWTP Oxidation Ditch Improvements</v>
      </c>
      <c r="F107" s="34">
        <f>Dep_Amor!H25</f>
        <v>8000</v>
      </c>
      <c r="G107" s="34">
        <f>$F$107*G233</f>
        <v>5000</v>
      </c>
      <c r="H107" s="34">
        <f t="shared" ref="H107:J107" si="22">$F$107*H233</f>
        <v>3000</v>
      </c>
      <c r="I107" s="34">
        <f t="shared" si="22"/>
        <v>0</v>
      </c>
      <c r="J107" s="34">
        <f t="shared" si="22"/>
        <v>0</v>
      </c>
    </row>
    <row r="108" spans="2:10" x14ac:dyDescent="0.35">
      <c r="B108" s="26" t="str">
        <f>Dep_Amor!B28</f>
        <v>Replace 5 Laptops/Workstations</v>
      </c>
      <c r="F108" s="34">
        <f>Dep_Amor!H28</f>
        <v>1747.6799999999998</v>
      </c>
      <c r="G108" s="34">
        <f>$F$108*G234</f>
        <v>1092.3</v>
      </c>
      <c r="H108" s="34">
        <f t="shared" ref="H108:J108" si="23">$F$108*H234</f>
        <v>655.37999999999988</v>
      </c>
      <c r="I108" s="34">
        <f t="shared" si="23"/>
        <v>0</v>
      </c>
      <c r="J108" s="34">
        <f t="shared" si="23"/>
        <v>0</v>
      </c>
    </row>
    <row r="109" spans="2:10" x14ac:dyDescent="0.35">
      <c r="B109" s="26" t="str">
        <f>Dep_Amor!B29</f>
        <v>Easement Jetter Machine</v>
      </c>
      <c r="F109" s="34">
        <f>Dep_Amor!H29</f>
        <v>1780</v>
      </c>
      <c r="G109" s="34">
        <f>$F$109*G235</f>
        <v>1112.5</v>
      </c>
      <c r="H109" s="34">
        <f t="shared" ref="H109:J109" si="24">$F$109*H235</f>
        <v>667.5</v>
      </c>
      <c r="I109" s="34">
        <f t="shared" si="24"/>
        <v>0</v>
      </c>
      <c r="J109" s="34">
        <f t="shared" si="24"/>
        <v>0</v>
      </c>
    </row>
    <row r="110" spans="2:10" x14ac:dyDescent="0.35">
      <c r="B110" s="26" t="str">
        <f>Dep_Amor!B30</f>
        <v>Trimble GeoXH 6000 GPS Receiver</v>
      </c>
      <c r="F110" s="34">
        <f>Dep_Amor!H30</f>
        <v>352.5</v>
      </c>
      <c r="G110" s="34">
        <f>$F$110*G236</f>
        <v>220.3125</v>
      </c>
      <c r="H110" s="34">
        <f t="shared" ref="H110:J110" si="25">$F$110*H236</f>
        <v>132.1875</v>
      </c>
      <c r="I110" s="34">
        <f t="shared" si="25"/>
        <v>0</v>
      </c>
      <c r="J110" s="34">
        <f t="shared" si="25"/>
        <v>0</v>
      </c>
    </row>
    <row r="111" spans="2:10" x14ac:dyDescent="0.35">
      <c r="B111" s="26" t="str">
        <f>Dep_Amor!B31</f>
        <v>Replace Sludge Belt Press</v>
      </c>
      <c r="F111" s="34">
        <f>Dep_Amor!H31</f>
        <v>330</v>
      </c>
      <c r="G111" s="34">
        <f>$F$111*G237</f>
        <v>206.25</v>
      </c>
      <c r="H111" s="34">
        <f t="shared" ref="H111:J111" si="26">$F$111*H237</f>
        <v>123.75</v>
      </c>
      <c r="I111" s="34">
        <f t="shared" si="26"/>
        <v>0</v>
      </c>
      <c r="J111" s="34">
        <f t="shared" si="26"/>
        <v>0</v>
      </c>
    </row>
    <row r="112" spans="2:10" x14ac:dyDescent="0.35">
      <c r="B112" s="26" t="str">
        <f>Dep_Amor!B32</f>
        <v>Service Center Roof Painting &amp; Equip. Bldg. Door Coating</v>
      </c>
      <c r="F112" s="34">
        <f>Dep_Amor!H32</f>
        <v>198</v>
      </c>
      <c r="G112" s="34">
        <f>$F$112*G238</f>
        <v>123.75</v>
      </c>
      <c r="H112" s="34">
        <f t="shared" ref="H112:J112" si="27">$F$112*H238</f>
        <v>74.25</v>
      </c>
      <c r="I112" s="34">
        <f t="shared" si="27"/>
        <v>0</v>
      </c>
      <c r="J112" s="34">
        <f t="shared" si="27"/>
        <v>0</v>
      </c>
    </row>
    <row r="113" spans="2:10" x14ac:dyDescent="0.35">
      <c r="B113" s="26" t="str">
        <f>Dep_Amor!B33</f>
        <v>Vertical Edge 700 Phone System</v>
      </c>
      <c r="F113" s="34">
        <f>Dep_Amor!H33</f>
        <v>819.21</v>
      </c>
      <c r="G113" s="34">
        <f>$F$113*G239</f>
        <v>512.00625000000002</v>
      </c>
      <c r="H113" s="34">
        <f t="shared" ref="H113:J113" si="28">$F$113*H239</f>
        <v>307.20375000000001</v>
      </c>
      <c r="I113" s="34">
        <f t="shared" si="28"/>
        <v>0</v>
      </c>
      <c r="J113" s="34">
        <f t="shared" si="28"/>
        <v>0</v>
      </c>
    </row>
    <row r="114" spans="2:10" x14ac:dyDescent="0.35">
      <c r="B114" s="26" t="str">
        <f>Dep_Amor!B34</f>
        <v>Replace Influent &amp; Effluent Refridgerated Samplers</v>
      </c>
      <c r="F114" s="34">
        <f>Dep_Amor!H34</f>
        <v>1140</v>
      </c>
      <c r="G114" s="34">
        <f>$F$114*G240</f>
        <v>712.5</v>
      </c>
      <c r="H114" s="34">
        <f t="shared" ref="H114:J114" si="29">$F$114*H240</f>
        <v>427.5</v>
      </c>
      <c r="I114" s="34">
        <f t="shared" si="29"/>
        <v>0</v>
      </c>
      <c r="J114" s="34">
        <f t="shared" si="29"/>
        <v>0</v>
      </c>
    </row>
    <row r="115" spans="2:10" x14ac:dyDescent="0.35">
      <c r="B115" s="26" t="str">
        <f>Dep_Amor!B35</f>
        <v>Upgrade Utility Billing System</v>
      </c>
      <c r="F115" s="34">
        <f>Dep_Amor!H35</f>
        <v>303.14999999999998</v>
      </c>
      <c r="G115" s="34">
        <f>$F$115*G241</f>
        <v>189.46875</v>
      </c>
      <c r="H115" s="34">
        <f t="shared" ref="H115:J115" si="30">$F$115*H241</f>
        <v>113.68124999999999</v>
      </c>
      <c r="I115" s="34">
        <f t="shared" si="30"/>
        <v>0</v>
      </c>
      <c r="J115" s="34">
        <f t="shared" si="30"/>
        <v>0</v>
      </c>
    </row>
    <row r="116" spans="2:10" x14ac:dyDescent="0.35">
      <c r="B116" s="26" t="str">
        <f>Dep_Amor!B36</f>
        <v>Chain Cutter Head</v>
      </c>
      <c r="F116" s="34">
        <f>Dep_Amor!H36</f>
        <v>350</v>
      </c>
      <c r="G116" s="34">
        <f>$F$116*G242</f>
        <v>218.75</v>
      </c>
      <c r="H116" s="34">
        <f t="shared" ref="H116:J116" si="31">$F$116*H242</f>
        <v>131.25</v>
      </c>
      <c r="I116" s="34">
        <f t="shared" si="31"/>
        <v>0</v>
      </c>
      <c r="J116" s="34">
        <f t="shared" si="31"/>
        <v>0</v>
      </c>
    </row>
    <row r="117" spans="2:10" x14ac:dyDescent="0.35">
      <c r="B117" s="26" t="str">
        <f>Dep_Amor!B37</f>
        <v>Internal Crane for CCTV Van</v>
      </c>
      <c r="F117" s="34">
        <f>Dep_Amor!H37</f>
        <v>528.57142857142867</v>
      </c>
      <c r="G117" s="34">
        <f>$F$117*G243</f>
        <v>330.35714285714289</v>
      </c>
      <c r="H117" s="34">
        <f t="shared" ref="H117:J117" si="32">$F$117*H243</f>
        <v>198.21428571428575</v>
      </c>
      <c r="I117" s="34">
        <f t="shared" si="32"/>
        <v>0</v>
      </c>
      <c r="J117" s="34">
        <f t="shared" si="32"/>
        <v>0</v>
      </c>
    </row>
    <row r="118" spans="2:10" x14ac:dyDescent="0.35">
      <c r="B118" s="26" t="str">
        <f>Dep_Amor!B38</f>
        <v>Ladder/Pipe Racks for Trucks</v>
      </c>
      <c r="F118" s="34">
        <f>Dep_Amor!H38</f>
        <v>257.14285714285711</v>
      </c>
      <c r="G118" s="34">
        <f>$F$118*G244</f>
        <v>160.71428571428569</v>
      </c>
      <c r="H118" s="34">
        <f t="shared" ref="H118:J118" si="33">$F$118*H244</f>
        <v>96.428571428571416</v>
      </c>
      <c r="I118" s="34">
        <f t="shared" si="33"/>
        <v>0</v>
      </c>
      <c r="J118" s="34">
        <f t="shared" si="33"/>
        <v>0</v>
      </c>
    </row>
    <row r="119" spans="2:10" x14ac:dyDescent="0.35">
      <c r="B119" s="26" t="str">
        <f>Dep_Amor!B39</f>
        <v>AutoDesk Infrastructure Design Premium</v>
      </c>
      <c r="F119" s="34">
        <f>Dep_Amor!H39</f>
        <v>220.35000000000002</v>
      </c>
      <c r="G119" s="34">
        <f>$F$119*G245</f>
        <v>137.71875</v>
      </c>
      <c r="H119" s="34">
        <f t="shared" ref="H119:J119" si="34">$F$119*H245</f>
        <v>82.631250000000009</v>
      </c>
      <c r="I119" s="34">
        <f t="shared" si="34"/>
        <v>0</v>
      </c>
      <c r="J119" s="34">
        <f t="shared" si="34"/>
        <v>0</v>
      </c>
    </row>
    <row r="120" spans="2:10" x14ac:dyDescent="0.35">
      <c r="B120" s="26" t="str">
        <f>Dep_Amor!B40</f>
        <v>Aims 8000 Walt Power Invertors for Trucks</v>
      </c>
      <c r="F120" s="34">
        <f>Dep_Amor!H40</f>
        <v>342.85714285714289</v>
      </c>
      <c r="G120" s="34">
        <f>$F$120*G246</f>
        <v>214.28571428571431</v>
      </c>
      <c r="H120" s="34">
        <f t="shared" ref="H120:J120" si="35">$F$120*H246</f>
        <v>128.57142857142858</v>
      </c>
      <c r="I120" s="34">
        <f t="shared" si="35"/>
        <v>0</v>
      </c>
      <c r="J120" s="34">
        <f t="shared" si="35"/>
        <v>0</v>
      </c>
    </row>
    <row r="121" spans="2:10" x14ac:dyDescent="0.35">
      <c r="B121" s="26" t="str">
        <f>Dep_Amor!B41</f>
        <v>Aries Wireless Pole Camera</v>
      </c>
      <c r="F121" s="34">
        <f>Dep_Amor!H41</f>
        <v>355</v>
      </c>
      <c r="G121" s="34">
        <f>$F$121*G247</f>
        <v>221.875</v>
      </c>
      <c r="H121" s="34">
        <f t="shared" ref="H121:J121" si="36">$F$121*H247</f>
        <v>133.125</v>
      </c>
      <c r="I121" s="34">
        <f t="shared" si="36"/>
        <v>0</v>
      </c>
      <c r="J121" s="34">
        <f t="shared" si="36"/>
        <v>0</v>
      </c>
    </row>
    <row r="122" spans="2:10" x14ac:dyDescent="0.35">
      <c r="B122" s="26" t="str">
        <f>Dep_Amor!B42</f>
        <v>PT AutoCAD Drafter</v>
      </c>
      <c r="F122" s="34">
        <f>Dep_Amor!H42</f>
        <v>78</v>
      </c>
      <c r="G122" s="34">
        <f>$F$122*G248</f>
        <v>48.75</v>
      </c>
      <c r="H122" s="34">
        <f t="shared" ref="H122:J122" si="37">$F$122*H248</f>
        <v>29.25</v>
      </c>
      <c r="I122" s="34">
        <f t="shared" si="37"/>
        <v>0</v>
      </c>
      <c r="J122" s="34">
        <f t="shared" si="37"/>
        <v>0</v>
      </c>
    </row>
    <row r="123" spans="2:10" x14ac:dyDescent="0.35">
      <c r="B123" s="26" t="str">
        <f>Dep_Amor!B43</f>
        <v>Trailer for Bobcat</v>
      </c>
      <c r="F123" s="34">
        <f>Dep_Amor!H43</f>
        <v>742.85714285714289</v>
      </c>
      <c r="G123" s="34">
        <f>$F$123*G249</f>
        <v>464.28571428571433</v>
      </c>
      <c r="H123" s="34">
        <f t="shared" ref="H123:J123" si="38">$F$123*H249</f>
        <v>278.57142857142856</v>
      </c>
      <c r="I123" s="34">
        <f t="shared" si="38"/>
        <v>0</v>
      </c>
      <c r="J123" s="34">
        <f t="shared" si="38"/>
        <v>0</v>
      </c>
    </row>
    <row r="124" spans="2:10" x14ac:dyDescent="0.35">
      <c r="B124" s="26" t="str">
        <f>Dep_Amor!B44</f>
        <v>Smart Board</v>
      </c>
      <c r="F124" s="34">
        <f>Dep_Amor!H44</f>
        <v>132</v>
      </c>
      <c r="G124" s="34">
        <f>$F$124*G250</f>
        <v>82.5</v>
      </c>
      <c r="H124" s="34">
        <f t="shared" ref="H124:J124" si="39">$F$124*H250</f>
        <v>49.5</v>
      </c>
      <c r="I124" s="34">
        <f t="shared" si="39"/>
        <v>0</v>
      </c>
      <c r="J124" s="34">
        <f t="shared" si="39"/>
        <v>0</v>
      </c>
    </row>
    <row r="125" spans="2:10" x14ac:dyDescent="0.35">
      <c r="B125" s="26" t="str">
        <f>Dep_Amor!B45</f>
        <v>Replace Carpet in Large Conference Room</v>
      </c>
      <c r="F125" s="34">
        <f>Dep_Amor!H45</f>
        <v>18</v>
      </c>
      <c r="G125" s="34">
        <f>$F$125*G251</f>
        <v>11.25</v>
      </c>
      <c r="H125" s="34">
        <f t="shared" ref="H125:J125" si="40">$F$125*H251</f>
        <v>6.75</v>
      </c>
      <c r="I125" s="34">
        <f t="shared" si="40"/>
        <v>0</v>
      </c>
      <c r="J125" s="34">
        <f t="shared" si="40"/>
        <v>0</v>
      </c>
    </row>
    <row r="126" spans="2:10" x14ac:dyDescent="0.35">
      <c r="B126" s="26" t="str">
        <f>Dep_Amor!B46</f>
        <v>Replace Carpet in Lobby</v>
      </c>
      <c r="F126" s="34">
        <f>Dep_Amor!H46</f>
        <v>85.94285714285715</v>
      </c>
      <c r="G126" s="34">
        <f>$F$126*G252</f>
        <v>53.714285714285722</v>
      </c>
      <c r="H126" s="34">
        <f t="shared" ref="H126:J126" si="41">$F$126*H252</f>
        <v>32.228571428571428</v>
      </c>
      <c r="I126" s="34">
        <f t="shared" si="41"/>
        <v>0</v>
      </c>
      <c r="J126" s="34">
        <f t="shared" si="41"/>
        <v>0</v>
      </c>
    </row>
    <row r="127" spans="2:10" x14ac:dyDescent="0.35">
      <c r="B127" s="26" t="str">
        <f>Dep_Amor!B47</f>
        <v>Replace Lobby and Customer Service Area Furniture</v>
      </c>
      <c r="F127" s="35">
        <f>Dep_Amor!H47</f>
        <v>178.2945</v>
      </c>
      <c r="G127" s="35">
        <f>$F$127*G253</f>
        <v>111.4340625</v>
      </c>
      <c r="H127" s="35">
        <f t="shared" ref="H127:J127" si="42">$F$127*H253</f>
        <v>66.860437500000003</v>
      </c>
      <c r="I127" s="35">
        <f t="shared" si="42"/>
        <v>0</v>
      </c>
      <c r="J127" s="35">
        <f t="shared" si="42"/>
        <v>0</v>
      </c>
    </row>
    <row r="129" spans="1:15" x14ac:dyDescent="0.35">
      <c r="A129" s="25" t="s">
        <v>242</v>
      </c>
      <c r="F129" s="36">
        <f>SUM(F69:F128)</f>
        <v>435618.51582782442</v>
      </c>
      <c r="G129" s="36">
        <f>SUM(G69:G128)</f>
        <v>268140.81510218291</v>
      </c>
      <c r="H129" s="36">
        <f>SUM(H69:H128)</f>
        <v>160884.48906130972</v>
      </c>
      <c r="I129" s="36">
        <f>SUM(I69:I128)</f>
        <v>4014.403084761675</v>
      </c>
      <c r="J129" s="36">
        <f>SUM(J69:J128)</f>
        <v>2578.8085795701181</v>
      </c>
    </row>
    <row r="130" spans="1:15" ht="8.65" customHeight="1" x14ac:dyDescent="0.35"/>
    <row r="131" spans="1:15" s="25" customFormat="1" ht="16" thickBot="1" x14ac:dyDescent="0.4">
      <c r="A131" s="25" t="s">
        <v>372</v>
      </c>
      <c r="F131" s="579">
        <f>F40+F45-F55-F60+F129</f>
        <v>3993086.485827825</v>
      </c>
      <c r="G131" s="100">
        <f>G40+G45-G55-G60+G129</f>
        <v>2341734.7067896826</v>
      </c>
      <c r="H131" s="100">
        <f>H40+H45-H55-H60+H129</f>
        <v>1405040.8240738097</v>
      </c>
      <c r="I131" s="100">
        <f>I40+I45-I55-I60+I129</f>
        <v>144073.94188476171</v>
      </c>
      <c r="J131" s="100">
        <f>J40+J45-J55-J60+J129</f>
        <v>102237.01307957011</v>
      </c>
      <c r="L131" s="129">
        <f>SUM(G131:J131)-F131</f>
        <v>0</v>
      </c>
      <c r="M131" s="44" t="s">
        <v>158</v>
      </c>
    </row>
    <row r="132" spans="1:15" ht="16" thickTop="1" x14ac:dyDescent="0.35">
      <c r="D132" s="33"/>
      <c r="F132" s="82" t="str">
        <f>IF(ROUNDUP(F131,1)&lt;&gt;ROUNDUP(Summary!H26,1),"Check","")</f>
        <v/>
      </c>
    </row>
    <row r="133" spans="1:15" x14ac:dyDescent="0.35">
      <c r="F133" s="224"/>
    </row>
    <row r="134" spans="1:15" x14ac:dyDescent="0.35">
      <c r="F134" s="117"/>
    </row>
    <row r="135" spans="1:15" s="122" customFormat="1" ht="5.65" customHeight="1" x14ac:dyDescent="0.35"/>
    <row r="136" spans="1:15" x14ac:dyDescent="0.35">
      <c r="A136" s="25" t="s">
        <v>4</v>
      </c>
    </row>
    <row r="137" spans="1:15" x14ac:dyDescent="0.35">
      <c r="A137" s="25" t="s">
        <v>109</v>
      </c>
      <c r="J137" s="50" t="s">
        <v>1599</v>
      </c>
    </row>
    <row r="138" spans="1:15" x14ac:dyDescent="0.35">
      <c r="A138" s="25" t="s">
        <v>144</v>
      </c>
    </row>
    <row r="139" spans="1:15" x14ac:dyDescent="0.35">
      <c r="I139" s="113" t="s">
        <v>142</v>
      </c>
      <c r="J139" s="85"/>
      <c r="M139" s="367" t="s">
        <v>952</v>
      </c>
      <c r="N139" s="153"/>
      <c r="O139" s="153"/>
    </row>
    <row r="140" spans="1:15" ht="31" x14ac:dyDescent="0.35">
      <c r="E140" s="123"/>
      <c r="F140" s="123"/>
      <c r="G140" s="114" t="s">
        <v>141</v>
      </c>
      <c r="H140" s="114" t="s">
        <v>945</v>
      </c>
      <c r="I140" s="114" t="s">
        <v>145</v>
      </c>
      <c r="J140" s="114" t="s">
        <v>143</v>
      </c>
      <c r="N140" s="367" t="s">
        <v>954</v>
      </c>
      <c r="O140" s="367"/>
    </row>
    <row r="141" spans="1:15" x14ac:dyDescent="0.35">
      <c r="E141" s="116"/>
      <c r="F141" s="116"/>
      <c r="M141" s="52" t="s">
        <v>955</v>
      </c>
      <c r="N141" s="52" t="s">
        <v>946</v>
      </c>
      <c r="O141" s="52" t="s">
        <v>953</v>
      </c>
    </row>
    <row r="142" spans="1:15" x14ac:dyDescent="0.35">
      <c r="A142" s="25" t="s">
        <v>6</v>
      </c>
      <c r="N142" s="383">
        <f>1-O142</f>
        <v>0.625</v>
      </c>
      <c r="O142" s="383">
        <f>G269</f>
        <v>0.375</v>
      </c>
    </row>
    <row r="143" spans="1:15" x14ac:dyDescent="0.35">
      <c r="A143" s="26" t="s">
        <v>7</v>
      </c>
      <c r="F143" s="33"/>
      <c r="G143" s="385">
        <f t="shared" ref="G143:G171" si="43">N143</f>
        <v>0.11249999999999999</v>
      </c>
      <c r="H143" s="385">
        <f t="shared" ref="H143:H171" si="44">O143</f>
        <v>6.7500000000000004E-2</v>
      </c>
      <c r="I143" s="124">
        <v>0</v>
      </c>
      <c r="J143" s="125">
        <v>0.82</v>
      </c>
      <c r="K143" s="82" t="str">
        <f>IF(SUM(G143:J143)&lt;&gt;100%,"Check","")</f>
        <v/>
      </c>
      <c r="M143" s="125">
        <v>0.18</v>
      </c>
      <c r="N143" s="384">
        <f>M143*$N$142</f>
        <v>0.11249999999999999</v>
      </c>
      <c r="O143" s="384">
        <f>M143*$O$142</f>
        <v>6.7500000000000004E-2</v>
      </c>
    </row>
    <row r="144" spans="1:15" x14ac:dyDescent="0.35">
      <c r="A144" s="26" t="s">
        <v>30</v>
      </c>
      <c r="F144" s="33"/>
      <c r="G144" s="385">
        <f t="shared" si="43"/>
        <v>0.625</v>
      </c>
      <c r="H144" s="385">
        <f t="shared" si="44"/>
        <v>0.375</v>
      </c>
      <c r="I144" s="124">
        <v>0</v>
      </c>
      <c r="J144" s="125">
        <v>0</v>
      </c>
      <c r="K144" s="82" t="str">
        <f t="shared" ref="K144:K171" si="45">IF(SUM(G144:J144)&lt;&gt;100%,"Check","")</f>
        <v/>
      </c>
      <c r="M144" s="125">
        <v>1</v>
      </c>
      <c r="N144" s="384">
        <f t="shared" ref="N144:N171" si="46">M144*$N$142</f>
        <v>0.625</v>
      </c>
      <c r="O144" s="384">
        <f t="shared" ref="O144:O171" si="47">M144*$O$142</f>
        <v>0.375</v>
      </c>
    </row>
    <row r="145" spans="1:15" x14ac:dyDescent="0.35">
      <c r="A145" s="26" t="s">
        <v>8</v>
      </c>
      <c r="F145" s="33"/>
      <c r="G145" s="385">
        <f t="shared" si="43"/>
        <v>0</v>
      </c>
      <c r="H145" s="385">
        <f t="shared" si="44"/>
        <v>0</v>
      </c>
      <c r="I145" s="124">
        <v>0.92</v>
      </c>
      <c r="J145" s="125">
        <v>0.08</v>
      </c>
      <c r="K145" s="82" t="str">
        <f t="shared" si="45"/>
        <v/>
      </c>
      <c r="M145" s="125">
        <v>0</v>
      </c>
      <c r="N145" s="384">
        <f t="shared" si="46"/>
        <v>0</v>
      </c>
      <c r="O145" s="384">
        <f t="shared" si="47"/>
        <v>0</v>
      </c>
    </row>
    <row r="146" spans="1:15" x14ac:dyDescent="0.35">
      <c r="A146" s="26" t="s">
        <v>9</v>
      </c>
      <c r="F146" s="33"/>
      <c r="G146" s="385">
        <f t="shared" si="43"/>
        <v>0.625</v>
      </c>
      <c r="H146" s="385">
        <f t="shared" si="44"/>
        <v>0.375</v>
      </c>
      <c r="I146" s="124">
        <v>0</v>
      </c>
      <c r="J146" s="125">
        <v>0</v>
      </c>
      <c r="K146" s="82" t="str">
        <f t="shared" si="45"/>
        <v/>
      </c>
      <c r="M146" s="125">
        <v>1</v>
      </c>
      <c r="N146" s="384">
        <f t="shared" si="46"/>
        <v>0.625</v>
      </c>
      <c r="O146" s="384">
        <f t="shared" si="47"/>
        <v>0.375</v>
      </c>
    </row>
    <row r="147" spans="1:15" x14ac:dyDescent="0.35">
      <c r="A147" s="26" t="s">
        <v>1034</v>
      </c>
      <c r="F147" s="33"/>
      <c r="G147" s="385">
        <f>N147</f>
        <v>0.625</v>
      </c>
      <c r="H147" s="385">
        <f>O147</f>
        <v>0.375</v>
      </c>
      <c r="I147" s="124">
        <v>0</v>
      </c>
      <c r="J147" s="125">
        <v>0</v>
      </c>
      <c r="K147" s="82" t="str">
        <f t="shared" si="45"/>
        <v/>
      </c>
      <c r="M147" s="125">
        <v>1</v>
      </c>
      <c r="N147" s="384">
        <f t="shared" si="46"/>
        <v>0.625</v>
      </c>
      <c r="O147" s="384">
        <f t="shared" si="47"/>
        <v>0.375</v>
      </c>
    </row>
    <row r="148" spans="1:15" x14ac:dyDescent="0.35">
      <c r="A148" s="26" t="s">
        <v>10</v>
      </c>
      <c r="F148" s="33"/>
      <c r="G148" s="385">
        <f t="shared" si="43"/>
        <v>0.625</v>
      </c>
      <c r="H148" s="385">
        <f t="shared" si="44"/>
        <v>0.375</v>
      </c>
      <c r="I148" s="124">
        <v>0</v>
      </c>
      <c r="J148" s="125">
        <v>0</v>
      </c>
      <c r="K148" s="82" t="str">
        <f t="shared" si="45"/>
        <v/>
      </c>
      <c r="M148" s="125">
        <v>1</v>
      </c>
      <c r="N148" s="384">
        <f t="shared" si="46"/>
        <v>0.625</v>
      </c>
      <c r="O148" s="384">
        <f t="shared" si="47"/>
        <v>0.375</v>
      </c>
    </row>
    <row r="149" spans="1:15" x14ac:dyDescent="0.35">
      <c r="A149" s="26" t="s">
        <v>11</v>
      </c>
      <c r="F149" s="33"/>
      <c r="G149" s="385">
        <f t="shared" si="43"/>
        <v>0.625</v>
      </c>
      <c r="H149" s="385">
        <f t="shared" si="44"/>
        <v>0.375</v>
      </c>
      <c r="I149" s="124">
        <v>0</v>
      </c>
      <c r="J149" s="125">
        <v>0</v>
      </c>
      <c r="K149" s="82" t="str">
        <f t="shared" si="45"/>
        <v/>
      </c>
      <c r="M149" s="125">
        <v>1</v>
      </c>
      <c r="N149" s="384">
        <f t="shared" si="46"/>
        <v>0.625</v>
      </c>
      <c r="O149" s="384">
        <f t="shared" si="47"/>
        <v>0.375</v>
      </c>
    </row>
    <row r="150" spans="1:15" x14ac:dyDescent="0.35">
      <c r="A150" s="26" t="s">
        <v>12</v>
      </c>
      <c r="F150" s="33"/>
      <c r="G150" s="385">
        <f t="shared" si="43"/>
        <v>0.625</v>
      </c>
      <c r="H150" s="385">
        <f t="shared" si="44"/>
        <v>0.375</v>
      </c>
      <c r="I150" s="124">
        <v>0</v>
      </c>
      <c r="J150" s="125">
        <v>0</v>
      </c>
      <c r="K150" s="82" t="str">
        <f t="shared" si="45"/>
        <v/>
      </c>
      <c r="M150" s="125">
        <v>1</v>
      </c>
      <c r="N150" s="384">
        <f t="shared" si="46"/>
        <v>0.625</v>
      </c>
      <c r="O150" s="384">
        <f t="shared" si="47"/>
        <v>0.375</v>
      </c>
    </row>
    <row r="151" spans="1:15" x14ac:dyDescent="0.35">
      <c r="A151" s="26" t="s">
        <v>13</v>
      </c>
      <c r="B151" s="40"/>
      <c r="F151" s="33"/>
      <c r="G151" s="385">
        <f t="shared" si="43"/>
        <v>0.625</v>
      </c>
      <c r="H151" s="385">
        <f t="shared" si="44"/>
        <v>0.375</v>
      </c>
      <c r="I151" s="124">
        <v>0</v>
      </c>
      <c r="J151" s="125">
        <v>0</v>
      </c>
      <c r="K151" s="82" t="str">
        <f t="shared" si="45"/>
        <v/>
      </c>
      <c r="M151" s="125">
        <v>1</v>
      </c>
      <c r="N151" s="384">
        <f t="shared" si="46"/>
        <v>0.625</v>
      </c>
      <c r="O151" s="384">
        <f t="shared" si="47"/>
        <v>0.375</v>
      </c>
    </row>
    <row r="152" spans="1:15" x14ac:dyDescent="0.35">
      <c r="A152" s="26" t="s">
        <v>1467</v>
      </c>
      <c r="B152" s="40"/>
      <c r="F152" s="33"/>
      <c r="G152" s="385">
        <f t="shared" si="43"/>
        <v>0.625</v>
      </c>
      <c r="H152" s="385">
        <f t="shared" si="44"/>
        <v>0.375</v>
      </c>
      <c r="I152" s="124">
        <v>0</v>
      </c>
      <c r="J152" s="125">
        <v>0</v>
      </c>
      <c r="K152" s="82"/>
      <c r="M152" s="125">
        <v>1</v>
      </c>
      <c r="N152" s="384">
        <f t="shared" ref="N152" si="48">M152*$N$142</f>
        <v>0.625</v>
      </c>
      <c r="O152" s="384">
        <f t="shared" ref="O152" si="49">M152*$O$142</f>
        <v>0.375</v>
      </c>
    </row>
    <row r="153" spans="1:15" x14ac:dyDescent="0.35">
      <c r="A153" s="26" t="s">
        <v>14</v>
      </c>
      <c r="F153" s="33"/>
      <c r="G153" s="385">
        <f t="shared" si="43"/>
        <v>0.625</v>
      </c>
      <c r="H153" s="385">
        <f t="shared" si="44"/>
        <v>0.375</v>
      </c>
      <c r="I153" s="124">
        <v>0</v>
      </c>
      <c r="J153" s="125">
        <v>0</v>
      </c>
      <c r="K153" s="82" t="str">
        <f t="shared" si="45"/>
        <v/>
      </c>
      <c r="M153" s="125">
        <v>1</v>
      </c>
      <c r="N153" s="384">
        <f t="shared" si="46"/>
        <v>0.625</v>
      </c>
      <c r="O153" s="384">
        <f t="shared" si="47"/>
        <v>0.375</v>
      </c>
    </row>
    <row r="154" spans="1:15" x14ac:dyDescent="0.35">
      <c r="A154" s="26" t="s">
        <v>15</v>
      </c>
      <c r="F154" s="33"/>
      <c r="G154" s="385">
        <f t="shared" si="43"/>
        <v>0.625</v>
      </c>
      <c r="H154" s="385">
        <f t="shared" si="44"/>
        <v>0.375</v>
      </c>
      <c r="I154" s="124">
        <v>0</v>
      </c>
      <c r="J154" s="125">
        <v>0</v>
      </c>
      <c r="K154" s="82" t="str">
        <f t="shared" si="45"/>
        <v/>
      </c>
      <c r="M154" s="125">
        <v>1</v>
      </c>
      <c r="N154" s="384">
        <f t="shared" si="46"/>
        <v>0.625</v>
      </c>
      <c r="O154" s="384">
        <f t="shared" si="47"/>
        <v>0.375</v>
      </c>
    </row>
    <row r="155" spans="1:15" x14ac:dyDescent="0.35">
      <c r="A155" s="26" t="s">
        <v>16</v>
      </c>
      <c r="F155" s="33"/>
      <c r="G155" s="385">
        <f t="shared" si="43"/>
        <v>0.625</v>
      </c>
      <c r="H155" s="385">
        <f t="shared" si="44"/>
        <v>0.375</v>
      </c>
      <c r="I155" s="124">
        <v>0</v>
      </c>
      <c r="J155" s="125">
        <v>0</v>
      </c>
      <c r="K155" s="82" t="str">
        <f t="shared" si="45"/>
        <v/>
      </c>
      <c r="M155" s="125">
        <v>1</v>
      </c>
      <c r="N155" s="384">
        <f t="shared" si="46"/>
        <v>0.625</v>
      </c>
      <c r="O155" s="384">
        <f t="shared" si="47"/>
        <v>0.375</v>
      </c>
    </row>
    <row r="156" spans="1:15" x14ac:dyDescent="0.35">
      <c r="A156" s="26" t="s">
        <v>17</v>
      </c>
      <c r="F156" s="33"/>
      <c r="G156" s="385">
        <f t="shared" si="43"/>
        <v>0</v>
      </c>
      <c r="H156" s="385">
        <f t="shared" si="44"/>
        <v>0</v>
      </c>
      <c r="I156" s="124">
        <v>1</v>
      </c>
      <c r="J156" s="125">
        <v>0</v>
      </c>
      <c r="K156" s="82" t="str">
        <f t="shared" si="45"/>
        <v/>
      </c>
      <c r="M156" s="125">
        <v>0</v>
      </c>
      <c r="N156" s="384">
        <f t="shared" si="46"/>
        <v>0</v>
      </c>
      <c r="O156" s="384">
        <f t="shared" si="47"/>
        <v>0</v>
      </c>
    </row>
    <row r="157" spans="1:15" x14ac:dyDescent="0.35">
      <c r="A157" s="26" t="s">
        <v>1466</v>
      </c>
      <c r="F157" s="33"/>
      <c r="G157" s="385">
        <f t="shared" si="43"/>
        <v>0.625</v>
      </c>
      <c r="H157" s="385">
        <f t="shared" si="44"/>
        <v>0.375</v>
      </c>
      <c r="I157" s="124">
        <v>0</v>
      </c>
      <c r="J157" s="125">
        <v>0</v>
      </c>
      <c r="K157" s="82" t="str">
        <f t="shared" si="45"/>
        <v/>
      </c>
      <c r="M157" s="125">
        <v>1</v>
      </c>
      <c r="N157" s="384">
        <f t="shared" si="46"/>
        <v>0.625</v>
      </c>
      <c r="O157" s="384">
        <f t="shared" si="47"/>
        <v>0.375</v>
      </c>
    </row>
    <row r="158" spans="1:15" x14ac:dyDescent="0.35">
      <c r="A158" s="26" t="s">
        <v>18</v>
      </c>
      <c r="F158" s="33"/>
      <c r="G158" s="385">
        <f t="shared" ref="G158" si="50">N158</f>
        <v>0.625</v>
      </c>
      <c r="H158" s="385">
        <f t="shared" ref="H158" si="51">O158</f>
        <v>0.375</v>
      </c>
      <c r="I158" s="124">
        <v>0</v>
      </c>
      <c r="J158" s="125">
        <v>0</v>
      </c>
      <c r="K158" s="82"/>
      <c r="M158" s="125">
        <v>1</v>
      </c>
      <c r="N158" s="384">
        <f t="shared" ref="N158" si="52">M158*$N$142</f>
        <v>0.625</v>
      </c>
      <c r="O158" s="384">
        <f t="shared" ref="O158" si="53">M158*$O$142</f>
        <v>0.375</v>
      </c>
    </row>
    <row r="159" spans="1:15" x14ac:dyDescent="0.35">
      <c r="A159" s="26" t="s">
        <v>34</v>
      </c>
      <c r="F159" s="33"/>
      <c r="G159" s="385">
        <f t="shared" si="43"/>
        <v>0.625</v>
      </c>
      <c r="H159" s="385">
        <f t="shared" si="44"/>
        <v>0.375</v>
      </c>
      <c r="I159" s="124">
        <v>0</v>
      </c>
      <c r="J159" s="125">
        <v>0</v>
      </c>
      <c r="K159" s="82" t="str">
        <f t="shared" si="45"/>
        <v/>
      </c>
      <c r="M159" s="125">
        <v>1</v>
      </c>
      <c r="N159" s="384">
        <f t="shared" si="46"/>
        <v>0.625</v>
      </c>
      <c r="O159" s="384">
        <f t="shared" si="47"/>
        <v>0.375</v>
      </c>
    </row>
    <row r="160" spans="1:15" x14ac:dyDescent="0.35">
      <c r="A160" s="26" t="s">
        <v>19</v>
      </c>
      <c r="F160" s="33"/>
      <c r="G160" s="385">
        <f t="shared" si="43"/>
        <v>0</v>
      </c>
      <c r="H160" s="385">
        <f t="shared" si="44"/>
        <v>0</v>
      </c>
      <c r="I160" s="124">
        <v>0</v>
      </c>
      <c r="J160" s="125">
        <v>1</v>
      </c>
      <c r="K160" s="82" t="str">
        <f t="shared" si="45"/>
        <v/>
      </c>
      <c r="M160" s="125">
        <v>0</v>
      </c>
      <c r="N160" s="384">
        <f t="shared" si="46"/>
        <v>0</v>
      </c>
      <c r="O160" s="384">
        <f t="shared" si="47"/>
        <v>0</v>
      </c>
    </row>
    <row r="161" spans="1:15" x14ac:dyDescent="0.35">
      <c r="A161" s="26" t="s">
        <v>20</v>
      </c>
      <c r="F161" s="33"/>
      <c r="G161" s="385">
        <f t="shared" si="43"/>
        <v>0.625</v>
      </c>
      <c r="H161" s="385">
        <f t="shared" si="44"/>
        <v>0.375</v>
      </c>
      <c r="I161" s="124">
        <v>0</v>
      </c>
      <c r="J161" s="125">
        <v>0</v>
      </c>
      <c r="K161" s="82" t="str">
        <f t="shared" si="45"/>
        <v/>
      </c>
      <c r="M161" s="125">
        <v>1</v>
      </c>
      <c r="N161" s="384">
        <f t="shared" si="46"/>
        <v>0.625</v>
      </c>
      <c r="O161" s="384">
        <f t="shared" si="47"/>
        <v>0.375</v>
      </c>
    </row>
    <row r="162" spans="1:15" x14ac:dyDescent="0.35">
      <c r="A162" s="26" t="s">
        <v>21</v>
      </c>
      <c r="F162" s="33"/>
      <c r="G162" s="385">
        <f t="shared" si="43"/>
        <v>0.625</v>
      </c>
      <c r="H162" s="385">
        <f t="shared" si="44"/>
        <v>0.375</v>
      </c>
      <c r="I162" s="124">
        <v>0</v>
      </c>
      <c r="J162" s="125">
        <v>0</v>
      </c>
      <c r="K162" s="82" t="str">
        <f t="shared" si="45"/>
        <v/>
      </c>
      <c r="M162" s="125">
        <v>1</v>
      </c>
      <c r="N162" s="384">
        <f t="shared" si="46"/>
        <v>0.625</v>
      </c>
      <c r="O162" s="384">
        <f t="shared" si="47"/>
        <v>0.375</v>
      </c>
    </row>
    <row r="163" spans="1:15" x14ac:dyDescent="0.35">
      <c r="A163" s="26" t="s">
        <v>105</v>
      </c>
      <c r="F163" s="33"/>
      <c r="G163" s="385">
        <f t="shared" si="43"/>
        <v>0.625</v>
      </c>
      <c r="H163" s="385">
        <f t="shared" si="44"/>
        <v>0.375</v>
      </c>
      <c r="I163" s="124">
        <v>0</v>
      </c>
      <c r="J163" s="125">
        <v>0</v>
      </c>
      <c r="K163" s="82" t="str">
        <f t="shared" si="45"/>
        <v/>
      </c>
      <c r="M163" s="125">
        <v>1</v>
      </c>
      <c r="N163" s="384">
        <f t="shared" si="46"/>
        <v>0.625</v>
      </c>
      <c r="O163" s="384">
        <f t="shared" si="47"/>
        <v>0.375</v>
      </c>
    </row>
    <row r="164" spans="1:15" x14ac:dyDescent="0.35">
      <c r="A164" s="26" t="s">
        <v>22</v>
      </c>
      <c r="F164" s="33"/>
      <c r="G164" s="385">
        <f t="shared" si="43"/>
        <v>0.36874999999999997</v>
      </c>
      <c r="H164" s="385">
        <f t="shared" si="44"/>
        <v>0.22125</v>
      </c>
      <c r="I164" s="124">
        <v>0</v>
      </c>
      <c r="J164" s="125">
        <v>0.41</v>
      </c>
      <c r="K164" s="82" t="str">
        <f t="shared" si="45"/>
        <v/>
      </c>
      <c r="M164" s="125">
        <v>0.59</v>
      </c>
      <c r="N164" s="384">
        <f t="shared" si="46"/>
        <v>0.36874999999999997</v>
      </c>
      <c r="O164" s="384">
        <f t="shared" si="47"/>
        <v>0.22125</v>
      </c>
    </row>
    <row r="165" spans="1:15" x14ac:dyDescent="0.35">
      <c r="A165" s="26" t="s">
        <v>23</v>
      </c>
      <c r="F165" s="33"/>
      <c r="G165" s="385">
        <f t="shared" si="43"/>
        <v>0.33750000000000002</v>
      </c>
      <c r="H165" s="385">
        <f t="shared" si="44"/>
        <v>0.20250000000000001</v>
      </c>
      <c r="I165" s="124">
        <v>0</v>
      </c>
      <c r="J165" s="125">
        <v>0.46</v>
      </c>
      <c r="K165" s="82" t="str">
        <f t="shared" si="45"/>
        <v/>
      </c>
      <c r="M165" s="125">
        <v>0.54</v>
      </c>
      <c r="N165" s="384">
        <f t="shared" si="46"/>
        <v>0.33750000000000002</v>
      </c>
      <c r="O165" s="384">
        <f t="shared" si="47"/>
        <v>0.20250000000000001</v>
      </c>
    </row>
    <row r="166" spans="1:15" x14ac:dyDescent="0.35">
      <c r="A166" s="26" t="s">
        <v>24</v>
      </c>
      <c r="F166" s="33"/>
      <c r="G166" s="385">
        <f t="shared" si="43"/>
        <v>0.625</v>
      </c>
      <c r="H166" s="385">
        <f t="shared" si="44"/>
        <v>0.375</v>
      </c>
      <c r="I166" s="124">
        <v>0</v>
      </c>
      <c r="J166" s="125">
        <v>0</v>
      </c>
      <c r="K166" s="82" t="str">
        <f t="shared" si="45"/>
        <v/>
      </c>
      <c r="M166" s="125">
        <v>1</v>
      </c>
      <c r="N166" s="384">
        <f t="shared" si="46"/>
        <v>0.625</v>
      </c>
      <c r="O166" s="384">
        <f t="shared" si="47"/>
        <v>0.375</v>
      </c>
    </row>
    <row r="167" spans="1:15" x14ac:dyDescent="0.35">
      <c r="A167" s="26" t="s">
        <v>25</v>
      </c>
      <c r="F167" s="33"/>
      <c r="G167" s="385">
        <f t="shared" si="43"/>
        <v>0.625</v>
      </c>
      <c r="H167" s="385">
        <f t="shared" si="44"/>
        <v>0.375</v>
      </c>
      <c r="I167" s="124">
        <v>0</v>
      </c>
      <c r="J167" s="125">
        <v>0</v>
      </c>
      <c r="K167" s="82" t="str">
        <f t="shared" si="45"/>
        <v/>
      </c>
      <c r="M167" s="125">
        <v>1</v>
      </c>
      <c r="N167" s="384">
        <f t="shared" si="46"/>
        <v>0.625</v>
      </c>
      <c r="O167" s="384">
        <f t="shared" si="47"/>
        <v>0.375</v>
      </c>
    </row>
    <row r="168" spans="1:15" x14ac:dyDescent="0.35">
      <c r="A168" s="26" t="s">
        <v>26</v>
      </c>
      <c r="F168" s="33"/>
      <c r="G168" s="385">
        <f t="shared" si="43"/>
        <v>0.625</v>
      </c>
      <c r="H168" s="385">
        <f t="shared" si="44"/>
        <v>0.375</v>
      </c>
      <c r="I168" s="124">
        <v>0</v>
      </c>
      <c r="J168" s="125">
        <v>0</v>
      </c>
      <c r="K168" s="82" t="str">
        <f t="shared" si="45"/>
        <v/>
      </c>
      <c r="M168" s="125">
        <v>1</v>
      </c>
      <c r="N168" s="384">
        <f t="shared" si="46"/>
        <v>0.625</v>
      </c>
      <c r="O168" s="384">
        <f t="shared" si="47"/>
        <v>0.375</v>
      </c>
    </row>
    <row r="169" spans="1:15" x14ac:dyDescent="0.35">
      <c r="A169" s="26" t="s">
        <v>27</v>
      </c>
      <c r="F169" s="33"/>
      <c r="G169" s="385">
        <f t="shared" si="43"/>
        <v>0.625</v>
      </c>
      <c r="H169" s="385">
        <f t="shared" si="44"/>
        <v>0.375</v>
      </c>
      <c r="I169" s="124">
        <v>0</v>
      </c>
      <c r="J169" s="125">
        <v>0</v>
      </c>
      <c r="K169" s="82" t="str">
        <f t="shared" si="45"/>
        <v/>
      </c>
      <c r="M169" s="125">
        <v>1</v>
      </c>
      <c r="N169" s="384">
        <f t="shared" si="46"/>
        <v>0.625</v>
      </c>
      <c r="O169" s="384">
        <f t="shared" si="47"/>
        <v>0.375</v>
      </c>
    </row>
    <row r="170" spans="1:15" x14ac:dyDescent="0.35">
      <c r="A170" s="26" t="s">
        <v>28</v>
      </c>
      <c r="F170" s="33"/>
      <c r="G170" s="385">
        <f t="shared" si="43"/>
        <v>0.625</v>
      </c>
      <c r="H170" s="385">
        <f t="shared" si="44"/>
        <v>0.375</v>
      </c>
      <c r="I170" s="124">
        <v>0</v>
      </c>
      <c r="J170" s="125">
        <v>0</v>
      </c>
      <c r="K170" s="82" t="str">
        <f t="shared" si="45"/>
        <v/>
      </c>
      <c r="M170" s="125">
        <v>1</v>
      </c>
      <c r="N170" s="384">
        <f t="shared" si="46"/>
        <v>0.625</v>
      </c>
      <c r="O170" s="384">
        <f t="shared" si="47"/>
        <v>0.375</v>
      </c>
    </row>
    <row r="171" spans="1:15" x14ac:dyDescent="0.35">
      <c r="A171" s="26" t="s">
        <v>29</v>
      </c>
      <c r="F171" s="33"/>
      <c r="G171" s="386">
        <f t="shared" si="43"/>
        <v>0.625</v>
      </c>
      <c r="H171" s="387">
        <f t="shared" si="44"/>
        <v>0.375</v>
      </c>
      <c r="I171" s="126">
        <v>0</v>
      </c>
      <c r="J171" s="127">
        <v>0</v>
      </c>
      <c r="K171" s="82" t="str">
        <f t="shared" si="45"/>
        <v/>
      </c>
      <c r="M171" s="127">
        <v>1</v>
      </c>
      <c r="N171" s="384">
        <f t="shared" si="46"/>
        <v>0.625</v>
      </c>
      <c r="O171" s="384">
        <f t="shared" si="47"/>
        <v>0.375</v>
      </c>
    </row>
    <row r="172" spans="1:15" x14ac:dyDescent="0.35">
      <c r="A172" s="26" t="s">
        <v>1468</v>
      </c>
      <c r="F172" s="33"/>
      <c r="G172" s="386">
        <f t="shared" ref="G172" si="54">N172</f>
        <v>0.625</v>
      </c>
      <c r="H172" s="387">
        <f t="shared" ref="H172" si="55">O172</f>
        <v>0.375</v>
      </c>
      <c r="I172" s="126">
        <v>0</v>
      </c>
      <c r="J172" s="127">
        <v>0</v>
      </c>
      <c r="K172" s="82" t="str">
        <f t="shared" ref="K172" si="56">IF(SUM(G172:J172)&lt;&gt;100%,"Check","")</f>
        <v/>
      </c>
      <c r="M172" s="127">
        <v>1</v>
      </c>
      <c r="N172" s="384">
        <f t="shared" ref="N172" si="57">M172*$N$142</f>
        <v>0.625</v>
      </c>
      <c r="O172" s="384">
        <f t="shared" ref="O172" si="58">M172*$O$142</f>
        <v>0.375</v>
      </c>
    </row>
    <row r="174" spans="1:15" x14ac:dyDescent="0.35">
      <c r="A174" s="25" t="s">
        <v>146</v>
      </c>
    </row>
    <row r="175" spans="1:15" x14ac:dyDescent="0.35">
      <c r="A175" s="26" t="s">
        <v>106</v>
      </c>
      <c r="G175" s="386">
        <f>N175</f>
        <v>0.625</v>
      </c>
      <c r="H175" s="386">
        <f>O175</f>
        <v>0.375</v>
      </c>
      <c r="I175" s="126">
        <v>0</v>
      </c>
      <c r="J175" s="127">
        <v>0</v>
      </c>
      <c r="K175" s="82" t="str">
        <f>IF(SUM(G175:J175)&lt;&gt;100%,"Check","")</f>
        <v/>
      </c>
      <c r="M175" s="127">
        <v>1</v>
      </c>
      <c r="N175" s="384">
        <f>M175*$N$142</f>
        <v>0.625</v>
      </c>
      <c r="O175" s="384">
        <f>M175*$O$142</f>
        <v>0.375</v>
      </c>
    </row>
    <row r="177" spans="1:15" x14ac:dyDescent="0.35">
      <c r="A177" s="25" t="s">
        <v>147</v>
      </c>
    </row>
    <row r="178" spans="1:15" x14ac:dyDescent="0.35">
      <c r="A178" s="26" t="s">
        <v>35</v>
      </c>
      <c r="G178" s="385">
        <f t="shared" ref="G178:H182" si="59">N178</f>
        <v>0.625</v>
      </c>
      <c r="H178" s="385">
        <f t="shared" si="59"/>
        <v>0.375</v>
      </c>
      <c r="I178" s="124">
        <v>0</v>
      </c>
      <c r="J178" s="125">
        <v>0</v>
      </c>
      <c r="K178" s="82" t="str">
        <f>IF(SUM(G178:J178)&lt;&gt;100%,"Check","")</f>
        <v/>
      </c>
      <c r="M178" s="125">
        <v>1</v>
      </c>
      <c r="N178" s="384">
        <f>M178*$N$142</f>
        <v>0.625</v>
      </c>
      <c r="O178" s="384">
        <f>M178*$O$142</f>
        <v>0.375</v>
      </c>
    </row>
    <row r="179" spans="1:15" x14ac:dyDescent="0.35">
      <c r="A179" s="26" t="s">
        <v>121</v>
      </c>
      <c r="G179" s="385">
        <f t="shared" si="59"/>
        <v>0.625</v>
      </c>
      <c r="H179" s="385">
        <f t="shared" si="59"/>
        <v>0.375</v>
      </c>
      <c r="I179" s="124">
        <v>0</v>
      </c>
      <c r="J179" s="125">
        <v>0</v>
      </c>
      <c r="K179" s="82" t="str">
        <f>IF(SUM(G179:J179)&lt;&gt;100%,"Check","")</f>
        <v/>
      </c>
      <c r="M179" s="125">
        <v>1</v>
      </c>
      <c r="N179" s="384">
        <f>M179*$N$142</f>
        <v>0.625</v>
      </c>
      <c r="O179" s="384">
        <f>M179*$O$142</f>
        <v>0.375</v>
      </c>
    </row>
    <row r="180" spans="1:15" x14ac:dyDescent="0.35">
      <c r="A180" s="26" t="s">
        <v>148</v>
      </c>
      <c r="G180" s="385">
        <f t="shared" si="59"/>
        <v>0.625</v>
      </c>
      <c r="H180" s="385">
        <f t="shared" si="59"/>
        <v>0.375</v>
      </c>
      <c r="I180" s="126">
        <v>0</v>
      </c>
      <c r="J180" s="127">
        <v>0</v>
      </c>
      <c r="K180" s="82" t="str">
        <f>IF(SUM(G180:J180)&lt;&gt;100%,"Check","")</f>
        <v/>
      </c>
      <c r="M180" s="127">
        <v>1</v>
      </c>
      <c r="N180" s="384">
        <f>M180*$N$142</f>
        <v>0.625</v>
      </c>
      <c r="O180" s="384">
        <f>M180*$O$142</f>
        <v>0.375</v>
      </c>
    </row>
    <row r="181" spans="1:15" x14ac:dyDescent="0.35">
      <c r="A181" s="26" t="s">
        <v>132</v>
      </c>
      <c r="G181" s="385">
        <f t="shared" si="59"/>
        <v>0.625</v>
      </c>
      <c r="H181" s="385">
        <f t="shared" si="59"/>
        <v>0.375</v>
      </c>
      <c r="I181" s="126">
        <v>0</v>
      </c>
      <c r="J181" s="127">
        <v>0</v>
      </c>
      <c r="K181" s="82" t="str">
        <f>IF(SUM(G181:J181)&lt;&gt;100%,"Check","")</f>
        <v/>
      </c>
      <c r="M181" s="127">
        <v>1</v>
      </c>
      <c r="N181" s="384">
        <f>M181*$N$142</f>
        <v>0.625</v>
      </c>
      <c r="O181" s="384">
        <f>M181*$O$142</f>
        <v>0.375</v>
      </c>
    </row>
    <row r="182" spans="1:15" x14ac:dyDescent="0.35">
      <c r="A182" s="26" t="s">
        <v>409</v>
      </c>
      <c r="G182" s="386">
        <f t="shared" si="59"/>
        <v>0.625</v>
      </c>
      <c r="H182" s="387">
        <f t="shared" si="59"/>
        <v>0.375</v>
      </c>
      <c r="I182" s="126">
        <v>0</v>
      </c>
      <c r="J182" s="127">
        <v>0</v>
      </c>
      <c r="K182" s="82" t="str">
        <f>IF(SUM(G182:J182)&lt;&gt;100%,"Check","")</f>
        <v/>
      </c>
      <c r="M182" s="127">
        <v>1</v>
      </c>
      <c r="N182" s="384">
        <f>M182*$N$142</f>
        <v>0.625</v>
      </c>
      <c r="O182" s="384">
        <f>M182*$O$142</f>
        <v>0.375</v>
      </c>
    </row>
    <row r="184" spans="1:15" x14ac:dyDescent="0.35">
      <c r="A184" s="25" t="s">
        <v>130</v>
      </c>
    </row>
    <row r="185" spans="1:15" x14ac:dyDescent="0.35">
      <c r="A185" s="26" t="s">
        <v>123</v>
      </c>
      <c r="G185" s="386">
        <f>N185</f>
        <v>0.625</v>
      </c>
      <c r="H185" s="387">
        <f>O185</f>
        <v>0.375</v>
      </c>
      <c r="I185" s="126">
        <v>0</v>
      </c>
      <c r="J185" s="127">
        <v>0</v>
      </c>
      <c r="K185" s="82" t="str">
        <f>IF(SUM(G185:J185)&lt;&gt;100%,"Check","")</f>
        <v/>
      </c>
      <c r="M185" s="127">
        <v>1</v>
      </c>
      <c r="N185" s="384">
        <f>M185*$N$142</f>
        <v>0.625</v>
      </c>
      <c r="O185" s="384">
        <f>M185*$O$142</f>
        <v>0.375</v>
      </c>
    </row>
    <row r="189" spans="1:15" x14ac:dyDescent="0.35">
      <c r="J189" s="50" t="s">
        <v>1654</v>
      </c>
    </row>
    <row r="191" spans="1:15" x14ac:dyDescent="0.35">
      <c r="I191" s="113" t="s">
        <v>142</v>
      </c>
      <c r="J191" s="85"/>
    </row>
    <row r="192" spans="1:15" ht="31" x14ac:dyDescent="0.35">
      <c r="G192" s="114" t="s">
        <v>141</v>
      </c>
      <c r="H192" s="114" t="s">
        <v>945</v>
      </c>
      <c r="I192" s="114" t="s">
        <v>145</v>
      </c>
      <c r="J192" s="114" t="s">
        <v>143</v>
      </c>
    </row>
    <row r="194" spans="1:15" x14ac:dyDescent="0.35">
      <c r="A194" s="25" t="s">
        <v>157</v>
      </c>
    </row>
    <row r="195" spans="1:15" x14ac:dyDescent="0.35">
      <c r="A195" s="26" t="s">
        <v>478</v>
      </c>
      <c r="G195" s="385">
        <f t="shared" ref="G195:G213" si="60">N195</f>
        <v>0.625</v>
      </c>
      <c r="H195" s="385">
        <f t="shared" ref="H195:H213" si="61">O195</f>
        <v>0.375</v>
      </c>
      <c r="I195" s="126">
        <v>0</v>
      </c>
      <c r="J195" s="127">
        <v>0</v>
      </c>
      <c r="K195" s="82" t="str">
        <f>IF(SUM(G195:J195)&lt;&gt;100%,"Check","")</f>
        <v/>
      </c>
      <c r="M195" s="127">
        <v>1</v>
      </c>
      <c r="N195" s="384">
        <f t="shared" ref="N195:N240" si="62">M195*$N$142</f>
        <v>0.625</v>
      </c>
      <c r="O195" s="384">
        <f>M195*$O$142</f>
        <v>0.375</v>
      </c>
    </row>
    <row r="196" spans="1:15" x14ac:dyDescent="0.35">
      <c r="A196" s="26" t="s">
        <v>1571</v>
      </c>
      <c r="G196" s="385">
        <f t="shared" si="60"/>
        <v>0.11249999999999999</v>
      </c>
      <c r="H196" s="385">
        <f t="shared" si="61"/>
        <v>6.7500000000000004E-2</v>
      </c>
      <c r="I196" s="126">
        <v>0</v>
      </c>
      <c r="J196" s="127">
        <v>0.82</v>
      </c>
      <c r="K196" s="82" t="str">
        <f t="shared" ref="K196:K212" si="63">IF(SUM(G196:J196)&lt;&gt;100%,"Check","")</f>
        <v/>
      </c>
      <c r="M196" s="127">
        <v>0.18</v>
      </c>
      <c r="N196" s="384">
        <f t="shared" si="62"/>
        <v>0.11249999999999999</v>
      </c>
      <c r="O196" s="384">
        <f t="shared" ref="O196:O213" si="64">M196*$O$142</f>
        <v>6.7500000000000004E-2</v>
      </c>
    </row>
    <row r="197" spans="1:15" x14ac:dyDescent="0.35">
      <c r="A197" s="26" t="s">
        <v>1572</v>
      </c>
      <c r="G197" s="385">
        <f t="shared" si="60"/>
        <v>0</v>
      </c>
      <c r="H197" s="385">
        <f t="shared" si="61"/>
        <v>0</v>
      </c>
      <c r="I197" s="126">
        <v>1</v>
      </c>
      <c r="J197" s="127">
        <v>0</v>
      </c>
      <c r="K197" s="82" t="str">
        <f t="shared" si="63"/>
        <v/>
      </c>
      <c r="M197" s="127">
        <v>0</v>
      </c>
      <c r="N197" s="384">
        <f t="shared" si="62"/>
        <v>0</v>
      </c>
      <c r="O197" s="384">
        <f t="shared" si="64"/>
        <v>0</v>
      </c>
    </row>
    <row r="198" spans="1:15" x14ac:dyDescent="0.35">
      <c r="A198" s="26" t="s">
        <v>1573</v>
      </c>
      <c r="G198" s="385">
        <f t="shared" si="60"/>
        <v>0.625</v>
      </c>
      <c r="H198" s="385">
        <f t="shared" si="61"/>
        <v>0.375</v>
      </c>
      <c r="I198" s="126">
        <v>0</v>
      </c>
      <c r="J198" s="127">
        <v>0</v>
      </c>
      <c r="K198" s="82" t="str">
        <f t="shared" si="63"/>
        <v/>
      </c>
      <c r="M198" s="127">
        <v>1</v>
      </c>
      <c r="N198" s="384">
        <f t="shared" si="62"/>
        <v>0.625</v>
      </c>
      <c r="O198" s="384">
        <f t="shared" si="64"/>
        <v>0.375</v>
      </c>
    </row>
    <row r="199" spans="1:15" x14ac:dyDescent="0.35">
      <c r="A199" s="26" t="s">
        <v>654</v>
      </c>
      <c r="G199" s="385">
        <f t="shared" si="60"/>
        <v>0</v>
      </c>
      <c r="H199" s="385">
        <f t="shared" si="61"/>
        <v>0</v>
      </c>
      <c r="I199" s="126">
        <v>0</v>
      </c>
      <c r="J199" s="127">
        <v>1</v>
      </c>
      <c r="K199" s="82" t="str">
        <f t="shared" si="63"/>
        <v/>
      </c>
      <c r="M199" s="127">
        <v>0</v>
      </c>
      <c r="N199" s="384">
        <f t="shared" si="62"/>
        <v>0</v>
      </c>
      <c r="O199" s="384">
        <f t="shared" si="64"/>
        <v>0</v>
      </c>
    </row>
    <row r="200" spans="1:15" x14ac:dyDescent="0.35">
      <c r="A200" s="26" t="s">
        <v>655</v>
      </c>
      <c r="G200" s="385">
        <f t="shared" si="60"/>
        <v>0</v>
      </c>
      <c r="H200" s="385">
        <f t="shared" si="61"/>
        <v>0</v>
      </c>
      <c r="I200" s="126">
        <v>0</v>
      </c>
      <c r="J200" s="127">
        <v>1</v>
      </c>
      <c r="K200" s="82" t="str">
        <f t="shared" si="63"/>
        <v/>
      </c>
      <c r="M200" s="127">
        <v>0</v>
      </c>
      <c r="N200" s="384">
        <f t="shared" si="62"/>
        <v>0</v>
      </c>
      <c r="O200" s="384">
        <f t="shared" si="64"/>
        <v>0</v>
      </c>
    </row>
    <row r="201" spans="1:15" x14ac:dyDescent="0.35">
      <c r="A201" s="26" t="s">
        <v>1574</v>
      </c>
      <c r="G201" s="385">
        <f t="shared" si="60"/>
        <v>0.625</v>
      </c>
      <c r="H201" s="385">
        <f t="shared" si="61"/>
        <v>0.375</v>
      </c>
      <c r="I201" s="126">
        <v>0</v>
      </c>
      <c r="J201" s="127">
        <v>0</v>
      </c>
      <c r="K201" s="82" t="str">
        <f t="shared" si="63"/>
        <v/>
      </c>
      <c r="M201" s="127">
        <v>1</v>
      </c>
      <c r="N201" s="384">
        <f t="shared" si="62"/>
        <v>0.625</v>
      </c>
      <c r="O201" s="384">
        <f t="shared" si="64"/>
        <v>0.375</v>
      </c>
    </row>
    <row r="202" spans="1:15" x14ac:dyDescent="0.35">
      <c r="A202" s="26" t="s">
        <v>717</v>
      </c>
      <c r="G202" s="385">
        <f t="shared" si="60"/>
        <v>0.35000000000000003</v>
      </c>
      <c r="H202" s="385">
        <f t="shared" si="61"/>
        <v>0.21000000000000002</v>
      </c>
      <c r="I202" s="126">
        <v>0</v>
      </c>
      <c r="J202" s="127">
        <v>0.44</v>
      </c>
      <c r="K202" s="82" t="str">
        <f t="shared" si="63"/>
        <v/>
      </c>
      <c r="M202" s="127">
        <v>0.56000000000000005</v>
      </c>
      <c r="N202" s="384">
        <f t="shared" si="62"/>
        <v>0.35000000000000003</v>
      </c>
      <c r="O202" s="384">
        <f t="shared" si="64"/>
        <v>0.21000000000000002</v>
      </c>
    </row>
    <row r="203" spans="1:15" x14ac:dyDescent="0.35">
      <c r="A203" s="26" t="s">
        <v>660</v>
      </c>
      <c r="G203" s="385">
        <f t="shared" si="60"/>
        <v>0.625</v>
      </c>
      <c r="H203" s="385">
        <f t="shared" si="61"/>
        <v>0.375</v>
      </c>
      <c r="I203" s="126">
        <v>0</v>
      </c>
      <c r="J203" s="127">
        <v>0</v>
      </c>
      <c r="K203" s="82" t="str">
        <f t="shared" si="63"/>
        <v/>
      </c>
      <c r="M203" s="127">
        <v>1</v>
      </c>
      <c r="N203" s="384">
        <f t="shared" si="62"/>
        <v>0.625</v>
      </c>
      <c r="O203" s="384">
        <f t="shared" si="64"/>
        <v>0.375</v>
      </c>
    </row>
    <row r="204" spans="1:15" x14ac:dyDescent="0.35">
      <c r="A204" s="26" t="s">
        <v>1575</v>
      </c>
      <c r="G204" s="385">
        <f t="shared" si="60"/>
        <v>0.625</v>
      </c>
      <c r="H204" s="385">
        <f t="shared" si="61"/>
        <v>0.375</v>
      </c>
      <c r="I204" s="126">
        <v>0</v>
      </c>
      <c r="J204" s="127">
        <v>0</v>
      </c>
      <c r="K204" s="82" t="str">
        <f t="shared" si="63"/>
        <v/>
      </c>
      <c r="M204" s="127">
        <v>1</v>
      </c>
      <c r="N204" s="384">
        <f t="shared" si="62"/>
        <v>0.625</v>
      </c>
      <c r="O204" s="384">
        <f t="shared" si="64"/>
        <v>0.375</v>
      </c>
    </row>
    <row r="205" spans="1:15" x14ac:dyDescent="0.35">
      <c r="A205" s="26" t="s">
        <v>371</v>
      </c>
      <c r="G205" s="385">
        <f t="shared" ref="G205" si="65">N205</f>
        <v>0.625</v>
      </c>
      <c r="H205" s="385">
        <f t="shared" ref="H205" si="66">O205</f>
        <v>0.375</v>
      </c>
      <c r="I205" s="126">
        <v>0</v>
      </c>
      <c r="J205" s="127">
        <v>0</v>
      </c>
      <c r="K205" s="82" t="str">
        <f t="shared" ref="K205" si="67">IF(SUM(G205:J205)&lt;&gt;100%,"Check","")</f>
        <v/>
      </c>
      <c r="M205" s="127">
        <v>1</v>
      </c>
      <c r="N205" s="384">
        <f t="shared" ref="N205" si="68">M205*$N$142</f>
        <v>0.625</v>
      </c>
      <c r="O205" s="384">
        <f t="shared" ref="O205" si="69">M205*$O$142</f>
        <v>0.375</v>
      </c>
    </row>
    <row r="206" spans="1:15" x14ac:dyDescent="0.35">
      <c r="A206" s="26" t="s">
        <v>218</v>
      </c>
      <c r="G206" s="385">
        <f t="shared" si="60"/>
        <v>0.625</v>
      </c>
      <c r="H206" s="385">
        <f t="shared" si="61"/>
        <v>0.375</v>
      </c>
      <c r="I206" s="126">
        <v>0</v>
      </c>
      <c r="J206" s="127">
        <v>0</v>
      </c>
      <c r="K206" s="82" t="str">
        <f t="shared" si="63"/>
        <v/>
      </c>
      <c r="M206" s="127">
        <v>1</v>
      </c>
      <c r="N206" s="384">
        <f t="shared" si="62"/>
        <v>0.625</v>
      </c>
      <c r="O206" s="384">
        <f t="shared" si="64"/>
        <v>0.375</v>
      </c>
    </row>
    <row r="207" spans="1:15" x14ac:dyDescent="0.35">
      <c r="A207" s="26" t="s">
        <v>1319</v>
      </c>
      <c r="G207" s="385">
        <f t="shared" si="60"/>
        <v>0.625</v>
      </c>
      <c r="H207" s="385">
        <f t="shared" si="61"/>
        <v>0.375</v>
      </c>
      <c r="I207" s="126">
        <v>0</v>
      </c>
      <c r="J207" s="127">
        <v>0</v>
      </c>
      <c r="K207" s="82" t="str">
        <f t="shared" si="63"/>
        <v/>
      </c>
      <c r="M207" s="127">
        <v>1</v>
      </c>
      <c r="N207" s="384">
        <f t="shared" si="62"/>
        <v>0.625</v>
      </c>
      <c r="O207" s="384">
        <f t="shared" si="64"/>
        <v>0.375</v>
      </c>
    </row>
    <row r="208" spans="1:15" x14ac:dyDescent="0.35">
      <c r="A208" s="26" t="s">
        <v>1080</v>
      </c>
      <c r="G208" s="385">
        <f>N208</f>
        <v>0.625</v>
      </c>
      <c r="H208" s="385">
        <f>O208</f>
        <v>0.375</v>
      </c>
      <c r="I208" s="126">
        <v>0</v>
      </c>
      <c r="J208" s="127">
        <v>0</v>
      </c>
      <c r="K208" s="82"/>
      <c r="M208" s="127">
        <v>1</v>
      </c>
      <c r="N208" s="384">
        <f>M208*$N$142</f>
        <v>0.625</v>
      </c>
      <c r="O208" s="384">
        <f>M208*$O$142</f>
        <v>0.375</v>
      </c>
    </row>
    <row r="209" spans="1:15" x14ac:dyDescent="0.35">
      <c r="A209" s="26" t="s">
        <v>928</v>
      </c>
      <c r="G209" s="385">
        <f t="shared" si="60"/>
        <v>0.625</v>
      </c>
      <c r="H209" s="385">
        <f t="shared" si="61"/>
        <v>0.375</v>
      </c>
      <c r="I209" s="126">
        <v>0</v>
      </c>
      <c r="J209" s="127">
        <v>0</v>
      </c>
      <c r="K209" s="82"/>
      <c r="M209" s="127">
        <v>1</v>
      </c>
      <c r="N209" s="384">
        <f t="shared" si="62"/>
        <v>0.625</v>
      </c>
      <c r="O209" s="384">
        <f t="shared" si="64"/>
        <v>0.375</v>
      </c>
    </row>
    <row r="210" spans="1:15" x14ac:dyDescent="0.35">
      <c r="A210" s="26" t="s">
        <v>1576</v>
      </c>
      <c r="G210" s="385">
        <f>N210</f>
        <v>0.625</v>
      </c>
      <c r="H210" s="385">
        <f>O210</f>
        <v>0.375</v>
      </c>
      <c r="I210" s="126">
        <v>0</v>
      </c>
      <c r="J210" s="127">
        <v>0</v>
      </c>
      <c r="K210" s="82"/>
      <c r="M210" s="127">
        <v>1</v>
      </c>
      <c r="N210" s="384">
        <f>M210*$N$142</f>
        <v>0.625</v>
      </c>
      <c r="O210" s="384">
        <f>M210*$O$142</f>
        <v>0.375</v>
      </c>
    </row>
    <row r="211" spans="1:15" x14ac:dyDescent="0.35">
      <c r="A211" s="26" t="s">
        <v>1318</v>
      </c>
      <c r="G211" s="385">
        <f>N211</f>
        <v>0.625</v>
      </c>
      <c r="H211" s="385">
        <f>O211</f>
        <v>0.375</v>
      </c>
      <c r="I211" s="126">
        <v>0</v>
      </c>
      <c r="J211" s="127">
        <v>0</v>
      </c>
      <c r="K211" s="82"/>
      <c r="M211" s="127">
        <v>1</v>
      </c>
      <c r="N211" s="384">
        <f>M211*$N$142</f>
        <v>0.625</v>
      </c>
      <c r="O211" s="384">
        <f>M211*$O$142</f>
        <v>0.375</v>
      </c>
    </row>
    <row r="212" spans="1:15" x14ac:dyDescent="0.35">
      <c r="A212" s="26" t="s">
        <v>216</v>
      </c>
      <c r="G212" s="385">
        <f t="shared" si="60"/>
        <v>0.625</v>
      </c>
      <c r="H212" s="385">
        <f t="shared" si="61"/>
        <v>0.375</v>
      </c>
      <c r="I212" s="126">
        <v>0</v>
      </c>
      <c r="J212" s="127">
        <v>0</v>
      </c>
      <c r="K212" s="82" t="str">
        <f t="shared" si="63"/>
        <v/>
      </c>
      <c r="M212" s="127">
        <v>1</v>
      </c>
      <c r="N212" s="384">
        <f t="shared" si="62"/>
        <v>0.625</v>
      </c>
      <c r="O212" s="384">
        <f t="shared" si="64"/>
        <v>0.375</v>
      </c>
    </row>
    <row r="213" spans="1:15" x14ac:dyDescent="0.35">
      <c r="A213" s="26" t="s">
        <v>226</v>
      </c>
      <c r="G213" s="386">
        <f t="shared" si="60"/>
        <v>0.625</v>
      </c>
      <c r="H213" s="387">
        <f t="shared" si="61"/>
        <v>0.375</v>
      </c>
      <c r="I213" s="126">
        <v>0</v>
      </c>
      <c r="J213" s="127">
        <v>0</v>
      </c>
      <c r="K213" s="82" t="str">
        <f>IF(SUM(G213:J213)&lt;&gt;100%,"Check","")</f>
        <v/>
      </c>
      <c r="M213" s="126">
        <v>1</v>
      </c>
      <c r="N213" s="384">
        <f t="shared" si="62"/>
        <v>0.625</v>
      </c>
      <c r="O213" s="384">
        <f t="shared" si="64"/>
        <v>0.375</v>
      </c>
    </row>
    <row r="214" spans="1:15" x14ac:dyDescent="0.35">
      <c r="A214" s="26" t="s">
        <v>227</v>
      </c>
    </row>
    <row r="215" spans="1:15" x14ac:dyDescent="0.35">
      <c r="B215" s="73" t="str">
        <f>B89</f>
        <v>Lincoln Trail I/I Reduction Project</v>
      </c>
      <c r="G215" s="385">
        <f t="shared" ref="G215:G253" si="70">N215</f>
        <v>0.625</v>
      </c>
      <c r="H215" s="385">
        <f t="shared" ref="H215:H240" si="71">O215</f>
        <v>0.375</v>
      </c>
      <c r="I215" s="126">
        <v>0</v>
      </c>
      <c r="J215" s="127">
        <v>0</v>
      </c>
      <c r="K215" s="82" t="str">
        <f>IF(SUM(G215:J215)&lt;&gt;100%,"Check","")</f>
        <v/>
      </c>
      <c r="M215" s="127">
        <v>1</v>
      </c>
      <c r="N215" s="384">
        <f t="shared" si="62"/>
        <v>0.625</v>
      </c>
      <c r="O215" s="384">
        <f>M215*$O$142</f>
        <v>0.375</v>
      </c>
    </row>
    <row r="216" spans="1:15" x14ac:dyDescent="0.35">
      <c r="B216" s="73" t="str">
        <f t="shared" ref="B216:B253" si="72">B90</f>
        <v>Quiggins Gravity System Project</v>
      </c>
      <c r="G216" s="385">
        <f t="shared" si="70"/>
        <v>0.625</v>
      </c>
      <c r="H216" s="385">
        <f t="shared" si="71"/>
        <v>0.375</v>
      </c>
      <c r="I216" s="126">
        <v>0</v>
      </c>
      <c r="J216" s="127">
        <v>0</v>
      </c>
      <c r="K216" s="82" t="str">
        <f>IF(SUM(G216:J216)&lt;&gt;100%,"Check","")</f>
        <v/>
      </c>
      <c r="M216" s="127">
        <v>1</v>
      </c>
      <c r="N216" s="384">
        <f t="shared" si="62"/>
        <v>0.625</v>
      </c>
      <c r="O216" s="384">
        <f t="shared" ref="O216:O240" si="73">M216*$O$142</f>
        <v>0.375</v>
      </c>
    </row>
    <row r="217" spans="1:15" x14ac:dyDescent="0.35">
      <c r="B217" s="73" t="str">
        <f t="shared" si="72"/>
        <v>Boone Trace and Lincoln Trail Lift Station Improvements</v>
      </c>
      <c r="G217" s="385">
        <f t="shared" si="70"/>
        <v>0.625</v>
      </c>
      <c r="H217" s="385">
        <f t="shared" si="71"/>
        <v>0.375</v>
      </c>
      <c r="I217" s="126">
        <v>0</v>
      </c>
      <c r="J217" s="127">
        <v>0</v>
      </c>
      <c r="K217" s="82" t="str">
        <f t="shared" ref="K217:K226" si="74">IF(SUM(G217:J217)&lt;&gt;100%,"Check","")</f>
        <v/>
      </c>
      <c r="M217" s="127">
        <v>1</v>
      </c>
      <c r="N217" s="384">
        <f t="shared" si="62"/>
        <v>0.625</v>
      </c>
      <c r="O217" s="384">
        <f t="shared" si="73"/>
        <v>0.375</v>
      </c>
    </row>
    <row r="218" spans="1:15" x14ac:dyDescent="0.35">
      <c r="B218" s="73" t="str">
        <f t="shared" si="72"/>
        <v>WWTP Primary Treatment Building</v>
      </c>
      <c r="G218" s="385">
        <f t="shared" si="70"/>
        <v>0.625</v>
      </c>
      <c r="H218" s="385">
        <f t="shared" si="71"/>
        <v>0.375</v>
      </c>
      <c r="I218" s="126">
        <v>0</v>
      </c>
      <c r="J218" s="127">
        <v>0</v>
      </c>
      <c r="K218" s="82" t="str">
        <f t="shared" si="74"/>
        <v/>
      </c>
      <c r="M218" s="127">
        <v>1</v>
      </c>
      <c r="N218" s="384">
        <f t="shared" si="62"/>
        <v>0.625</v>
      </c>
      <c r="O218" s="384">
        <f t="shared" si="73"/>
        <v>0.375</v>
      </c>
    </row>
    <row r="219" spans="1:15" x14ac:dyDescent="0.35">
      <c r="B219" s="73" t="str">
        <f t="shared" si="72"/>
        <v>Watkins LS Project</v>
      </c>
      <c r="G219" s="385">
        <f t="shared" si="70"/>
        <v>0.625</v>
      </c>
      <c r="H219" s="385">
        <f t="shared" si="71"/>
        <v>0.375</v>
      </c>
      <c r="I219" s="126">
        <v>0</v>
      </c>
      <c r="J219" s="127">
        <v>0</v>
      </c>
      <c r="K219" s="82" t="str">
        <f t="shared" si="74"/>
        <v/>
      </c>
      <c r="M219" s="127">
        <v>1</v>
      </c>
      <c r="N219" s="384">
        <f t="shared" si="62"/>
        <v>0.625</v>
      </c>
      <c r="O219" s="384">
        <f t="shared" si="73"/>
        <v>0.375</v>
      </c>
    </row>
    <row r="220" spans="1:15" x14ac:dyDescent="0.35">
      <c r="B220" s="73" t="str">
        <f t="shared" si="72"/>
        <v>Drug Store Lift Station Replacement</v>
      </c>
      <c r="G220" s="385">
        <f t="shared" si="70"/>
        <v>0.625</v>
      </c>
      <c r="H220" s="385">
        <f t="shared" si="71"/>
        <v>0.375</v>
      </c>
      <c r="I220" s="126">
        <v>0</v>
      </c>
      <c r="J220" s="127">
        <v>0</v>
      </c>
      <c r="K220" s="82" t="str">
        <f t="shared" si="74"/>
        <v/>
      </c>
      <c r="M220" s="127">
        <v>1</v>
      </c>
      <c r="N220" s="384">
        <f t="shared" si="62"/>
        <v>0.625</v>
      </c>
      <c r="O220" s="384">
        <f t="shared" si="73"/>
        <v>0.375</v>
      </c>
    </row>
    <row r="221" spans="1:15" x14ac:dyDescent="0.35">
      <c r="B221" s="73" t="str">
        <f t="shared" si="72"/>
        <v>WWTP Plant Clarifier, Oxidaton Ditch, and Lower Half of WWTP</v>
      </c>
      <c r="G221" s="385">
        <f t="shared" si="70"/>
        <v>0.625</v>
      </c>
      <c r="H221" s="385">
        <f t="shared" si="71"/>
        <v>0.375</v>
      </c>
      <c r="I221" s="126">
        <v>0</v>
      </c>
      <c r="J221" s="127">
        <v>0</v>
      </c>
      <c r="K221" s="82" t="str">
        <f t="shared" si="74"/>
        <v/>
      </c>
      <c r="M221" s="127">
        <v>1</v>
      </c>
      <c r="N221" s="384">
        <f t="shared" si="62"/>
        <v>0.625</v>
      </c>
      <c r="O221" s="384">
        <f t="shared" si="73"/>
        <v>0.375</v>
      </c>
    </row>
    <row r="222" spans="1:15" x14ac:dyDescent="0.35">
      <c r="B222" s="73" t="str">
        <f t="shared" si="72"/>
        <v>Greenview and Cement LS Improvements</v>
      </c>
      <c r="G222" s="385">
        <f t="shared" si="70"/>
        <v>0.625</v>
      </c>
      <c r="H222" s="385">
        <f t="shared" si="71"/>
        <v>0.375</v>
      </c>
      <c r="I222" s="126">
        <v>0</v>
      </c>
      <c r="J222" s="127">
        <v>0</v>
      </c>
      <c r="K222" s="82" t="str">
        <f t="shared" si="74"/>
        <v/>
      </c>
      <c r="M222" s="127">
        <v>1</v>
      </c>
      <c r="N222" s="384">
        <f t="shared" si="62"/>
        <v>0.625</v>
      </c>
      <c r="O222" s="384">
        <f t="shared" si="73"/>
        <v>0.375</v>
      </c>
    </row>
    <row r="223" spans="1:15" x14ac:dyDescent="0.35">
      <c r="B223" s="73" t="str">
        <f t="shared" si="72"/>
        <v>Greenview and Cement Gravity System Improvements</v>
      </c>
      <c r="G223" s="385">
        <f t="shared" si="70"/>
        <v>0.625</v>
      </c>
      <c r="H223" s="385">
        <f t="shared" si="71"/>
        <v>0.375</v>
      </c>
      <c r="I223" s="126">
        <v>0</v>
      </c>
      <c r="J223" s="127">
        <v>0</v>
      </c>
      <c r="K223" s="82" t="str">
        <f t="shared" si="74"/>
        <v/>
      </c>
      <c r="M223" s="127">
        <v>1</v>
      </c>
      <c r="N223" s="384">
        <f t="shared" si="62"/>
        <v>0.625</v>
      </c>
      <c r="O223" s="384">
        <f t="shared" si="73"/>
        <v>0.375</v>
      </c>
    </row>
    <row r="224" spans="1:15" x14ac:dyDescent="0.35">
      <c r="B224" s="73" t="str">
        <f t="shared" si="72"/>
        <v>North Logsdon Parkway Gravity System Improvements</v>
      </c>
      <c r="G224" s="385">
        <f t="shared" si="70"/>
        <v>0.625</v>
      </c>
      <c r="H224" s="385">
        <f t="shared" si="71"/>
        <v>0.375</v>
      </c>
      <c r="I224" s="126">
        <v>0</v>
      </c>
      <c r="J224" s="127">
        <v>0</v>
      </c>
      <c r="K224" s="82" t="str">
        <f t="shared" si="74"/>
        <v/>
      </c>
      <c r="M224" s="127">
        <v>1</v>
      </c>
      <c r="N224" s="384">
        <f t="shared" si="62"/>
        <v>0.625</v>
      </c>
      <c r="O224" s="384">
        <f t="shared" si="73"/>
        <v>0.375</v>
      </c>
    </row>
    <row r="225" spans="2:15" x14ac:dyDescent="0.35">
      <c r="B225" s="73" t="str">
        <f t="shared" si="72"/>
        <v>Stovall LS/FM Improvements</v>
      </c>
      <c r="G225" s="385">
        <f t="shared" si="70"/>
        <v>0.625</v>
      </c>
      <c r="H225" s="385">
        <f t="shared" si="71"/>
        <v>0.375</v>
      </c>
      <c r="I225" s="126">
        <v>0</v>
      </c>
      <c r="J225" s="127">
        <v>0</v>
      </c>
      <c r="K225" s="82" t="str">
        <f t="shared" si="74"/>
        <v/>
      </c>
      <c r="M225" s="127">
        <v>1</v>
      </c>
      <c r="N225" s="384">
        <f t="shared" si="62"/>
        <v>0.625</v>
      </c>
      <c r="O225" s="384">
        <f t="shared" si="73"/>
        <v>0.375</v>
      </c>
    </row>
    <row r="226" spans="2:15" x14ac:dyDescent="0.35">
      <c r="B226" s="73" t="str">
        <f t="shared" si="72"/>
        <v>North Woodland Gravity System Improvements</v>
      </c>
      <c r="G226" s="385">
        <f t="shared" si="70"/>
        <v>0.625</v>
      </c>
      <c r="H226" s="385">
        <f t="shared" si="71"/>
        <v>0.375</v>
      </c>
      <c r="I226" s="126">
        <v>0</v>
      </c>
      <c r="J226" s="127">
        <v>0</v>
      </c>
      <c r="K226" s="82" t="str">
        <f t="shared" si="74"/>
        <v/>
      </c>
      <c r="M226" s="127">
        <v>1</v>
      </c>
      <c r="N226" s="384">
        <f t="shared" si="62"/>
        <v>0.625</v>
      </c>
      <c r="O226" s="384">
        <f t="shared" si="73"/>
        <v>0.375</v>
      </c>
    </row>
    <row r="227" spans="2:15" x14ac:dyDescent="0.35">
      <c r="B227" s="73" t="str">
        <f t="shared" si="72"/>
        <v>John Hardin Force Main Improvements</v>
      </c>
      <c r="G227" s="385">
        <f t="shared" si="70"/>
        <v>0.625</v>
      </c>
      <c r="H227" s="385">
        <f t="shared" si="71"/>
        <v>0.375</v>
      </c>
      <c r="I227" s="126">
        <v>0</v>
      </c>
      <c r="J227" s="127">
        <v>0</v>
      </c>
      <c r="K227" s="82"/>
      <c r="M227" s="127">
        <v>1</v>
      </c>
      <c r="N227" s="384">
        <f t="shared" si="62"/>
        <v>0.625</v>
      </c>
      <c r="O227" s="384">
        <f t="shared" si="73"/>
        <v>0.375</v>
      </c>
    </row>
    <row r="228" spans="2:15" x14ac:dyDescent="0.35">
      <c r="B228" s="73" t="str">
        <f t="shared" si="72"/>
        <v>WWTP RAS/WAS Improvements</v>
      </c>
      <c r="G228" s="385">
        <f t="shared" si="70"/>
        <v>0.625</v>
      </c>
      <c r="H228" s="385">
        <f t="shared" si="71"/>
        <v>0.375</v>
      </c>
      <c r="I228" s="126">
        <v>0</v>
      </c>
      <c r="J228" s="127">
        <v>0</v>
      </c>
      <c r="K228" s="82"/>
      <c r="M228" s="127">
        <v>1</v>
      </c>
      <c r="N228" s="384">
        <f t="shared" si="62"/>
        <v>0.625</v>
      </c>
      <c r="O228" s="384">
        <f t="shared" si="73"/>
        <v>0.375</v>
      </c>
    </row>
    <row r="229" spans="2:15" x14ac:dyDescent="0.35">
      <c r="B229" s="73" t="str">
        <f t="shared" si="72"/>
        <v>LS Bypass Improvements</v>
      </c>
      <c r="G229" s="385">
        <f t="shared" si="70"/>
        <v>0.625</v>
      </c>
      <c r="H229" s="385">
        <f t="shared" si="71"/>
        <v>0.375</v>
      </c>
      <c r="I229" s="126">
        <v>0</v>
      </c>
      <c r="J229" s="127">
        <v>0</v>
      </c>
      <c r="K229" s="82"/>
      <c r="M229" s="127">
        <v>1</v>
      </c>
      <c r="N229" s="384">
        <f t="shared" si="62"/>
        <v>0.625</v>
      </c>
      <c r="O229" s="384">
        <f t="shared" si="73"/>
        <v>0.375</v>
      </c>
    </row>
    <row r="230" spans="2:15" x14ac:dyDescent="0.35">
      <c r="B230" s="73" t="str">
        <f t="shared" si="72"/>
        <v>North Logsdon LS Improvements Project</v>
      </c>
      <c r="G230" s="385">
        <f t="shared" si="70"/>
        <v>0.625</v>
      </c>
      <c r="H230" s="385">
        <f t="shared" si="71"/>
        <v>0.375</v>
      </c>
      <c r="I230" s="126">
        <v>0</v>
      </c>
      <c r="J230" s="127">
        <v>0</v>
      </c>
      <c r="K230" s="82"/>
      <c r="M230" s="127">
        <v>1</v>
      </c>
      <c r="N230" s="384">
        <f t="shared" si="62"/>
        <v>0.625</v>
      </c>
      <c r="O230" s="384">
        <f t="shared" si="73"/>
        <v>0.375</v>
      </c>
    </row>
    <row r="231" spans="2:15" x14ac:dyDescent="0.35">
      <c r="B231" s="73" t="str">
        <f t="shared" si="72"/>
        <v>Quiggins and Boone Trace I/I Reduction Project</v>
      </c>
      <c r="G231" s="385">
        <f t="shared" si="70"/>
        <v>0.625</v>
      </c>
      <c r="H231" s="385">
        <f t="shared" si="71"/>
        <v>0.375</v>
      </c>
      <c r="I231" s="126">
        <v>0</v>
      </c>
      <c r="J231" s="127">
        <v>0</v>
      </c>
      <c r="K231" s="82"/>
      <c r="M231" s="127">
        <v>1</v>
      </c>
      <c r="N231" s="384">
        <f t="shared" si="62"/>
        <v>0.625</v>
      </c>
      <c r="O231" s="384">
        <f t="shared" si="73"/>
        <v>0.375</v>
      </c>
    </row>
    <row r="232" spans="2:15" x14ac:dyDescent="0.35">
      <c r="B232" s="73" t="str">
        <f t="shared" si="72"/>
        <v>Seminole I/I Reduction Project</v>
      </c>
      <c r="G232" s="385">
        <f t="shared" si="70"/>
        <v>0.625</v>
      </c>
      <c r="H232" s="385">
        <f t="shared" si="71"/>
        <v>0.375</v>
      </c>
      <c r="I232" s="126">
        <v>0</v>
      </c>
      <c r="J232" s="127">
        <v>0</v>
      </c>
      <c r="K232" s="82"/>
      <c r="M232" s="127">
        <v>1</v>
      </c>
      <c r="N232" s="384">
        <f t="shared" si="62"/>
        <v>0.625</v>
      </c>
      <c r="O232" s="384">
        <f t="shared" si="73"/>
        <v>0.375</v>
      </c>
    </row>
    <row r="233" spans="2:15" x14ac:dyDescent="0.35">
      <c r="B233" s="73" t="str">
        <f t="shared" si="72"/>
        <v>WWTP Oxidation Ditch Improvements</v>
      </c>
      <c r="G233" s="385">
        <f t="shared" si="70"/>
        <v>0.625</v>
      </c>
      <c r="H233" s="385">
        <f t="shared" si="71"/>
        <v>0.375</v>
      </c>
      <c r="I233" s="126">
        <v>0</v>
      </c>
      <c r="J233" s="127">
        <v>0</v>
      </c>
      <c r="K233" s="82"/>
      <c r="M233" s="127">
        <v>1</v>
      </c>
      <c r="N233" s="384">
        <f t="shared" si="62"/>
        <v>0.625</v>
      </c>
      <c r="O233" s="384">
        <f t="shared" si="73"/>
        <v>0.375</v>
      </c>
    </row>
    <row r="234" spans="2:15" x14ac:dyDescent="0.35">
      <c r="B234" s="73" t="str">
        <f t="shared" si="72"/>
        <v>Replace 5 Laptops/Workstations</v>
      </c>
      <c r="G234" s="385">
        <f t="shared" si="70"/>
        <v>0.625</v>
      </c>
      <c r="H234" s="385">
        <f t="shared" si="71"/>
        <v>0.375</v>
      </c>
      <c r="I234" s="126">
        <v>0</v>
      </c>
      <c r="J234" s="127">
        <v>0</v>
      </c>
      <c r="K234" s="82"/>
      <c r="M234" s="127">
        <v>1</v>
      </c>
      <c r="N234" s="384">
        <f t="shared" si="62"/>
        <v>0.625</v>
      </c>
      <c r="O234" s="384">
        <f t="shared" si="73"/>
        <v>0.375</v>
      </c>
    </row>
    <row r="235" spans="2:15" x14ac:dyDescent="0.35">
      <c r="B235" s="73" t="str">
        <f t="shared" si="72"/>
        <v>Easement Jetter Machine</v>
      </c>
      <c r="G235" s="385">
        <f t="shared" si="70"/>
        <v>0.625</v>
      </c>
      <c r="H235" s="385">
        <f t="shared" si="71"/>
        <v>0.375</v>
      </c>
      <c r="I235" s="126">
        <v>0</v>
      </c>
      <c r="J235" s="127">
        <v>0</v>
      </c>
      <c r="K235" s="82"/>
      <c r="M235" s="127">
        <v>1</v>
      </c>
      <c r="N235" s="384">
        <f t="shared" si="62"/>
        <v>0.625</v>
      </c>
      <c r="O235" s="384">
        <f t="shared" si="73"/>
        <v>0.375</v>
      </c>
    </row>
    <row r="236" spans="2:15" x14ac:dyDescent="0.35">
      <c r="B236" s="73" t="str">
        <f t="shared" si="72"/>
        <v>Trimble GeoXH 6000 GPS Receiver</v>
      </c>
      <c r="G236" s="385">
        <f t="shared" si="70"/>
        <v>0.625</v>
      </c>
      <c r="H236" s="385">
        <f t="shared" si="71"/>
        <v>0.375</v>
      </c>
      <c r="I236" s="126">
        <v>0</v>
      </c>
      <c r="J236" s="127">
        <v>0</v>
      </c>
      <c r="K236" s="82"/>
      <c r="M236" s="127">
        <v>1</v>
      </c>
      <c r="N236" s="384">
        <f t="shared" si="62"/>
        <v>0.625</v>
      </c>
      <c r="O236" s="384">
        <f t="shared" si="73"/>
        <v>0.375</v>
      </c>
    </row>
    <row r="237" spans="2:15" x14ac:dyDescent="0.35">
      <c r="B237" s="73" t="str">
        <f t="shared" si="72"/>
        <v>Replace Sludge Belt Press</v>
      </c>
      <c r="G237" s="385">
        <f t="shared" si="70"/>
        <v>0.625</v>
      </c>
      <c r="H237" s="385">
        <f t="shared" si="71"/>
        <v>0.375</v>
      </c>
      <c r="I237" s="126">
        <v>0</v>
      </c>
      <c r="J237" s="127">
        <v>0</v>
      </c>
      <c r="K237" s="82"/>
      <c r="M237" s="127">
        <v>1</v>
      </c>
      <c r="N237" s="384">
        <f t="shared" si="62"/>
        <v>0.625</v>
      </c>
      <c r="O237" s="384">
        <f t="shared" si="73"/>
        <v>0.375</v>
      </c>
    </row>
    <row r="238" spans="2:15" x14ac:dyDescent="0.35">
      <c r="B238" s="73" t="str">
        <f t="shared" si="72"/>
        <v>Service Center Roof Painting &amp; Equip. Bldg. Door Coating</v>
      </c>
      <c r="G238" s="385">
        <f t="shared" si="70"/>
        <v>0.625</v>
      </c>
      <c r="H238" s="385">
        <f t="shared" si="71"/>
        <v>0.375</v>
      </c>
      <c r="I238" s="126">
        <v>0</v>
      </c>
      <c r="J238" s="127">
        <v>0</v>
      </c>
      <c r="K238" s="82"/>
      <c r="M238" s="127">
        <v>1</v>
      </c>
      <c r="N238" s="384">
        <f t="shared" si="62"/>
        <v>0.625</v>
      </c>
      <c r="O238" s="384">
        <f t="shared" si="73"/>
        <v>0.375</v>
      </c>
    </row>
    <row r="239" spans="2:15" x14ac:dyDescent="0.35">
      <c r="B239" s="73" t="str">
        <f t="shared" si="72"/>
        <v>Vertical Edge 700 Phone System</v>
      </c>
      <c r="G239" s="385">
        <f t="shared" si="70"/>
        <v>0.625</v>
      </c>
      <c r="H239" s="385">
        <f t="shared" si="71"/>
        <v>0.375</v>
      </c>
      <c r="I239" s="126">
        <v>0</v>
      </c>
      <c r="J239" s="127">
        <v>0</v>
      </c>
      <c r="K239" s="82"/>
      <c r="M239" s="127">
        <v>1</v>
      </c>
      <c r="N239" s="384">
        <f t="shared" si="62"/>
        <v>0.625</v>
      </c>
      <c r="O239" s="384">
        <f t="shared" si="73"/>
        <v>0.375</v>
      </c>
    </row>
    <row r="240" spans="2:15" x14ac:dyDescent="0.35">
      <c r="B240" s="73" t="str">
        <f t="shared" si="72"/>
        <v>Replace Influent &amp; Effluent Refridgerated Samplers</v>
      </c>
      <c r="G240" s="386">
        <f t="shared" si="70"/>
        <v>0.625</v>
      </c>
      <c r="H240" s="387">
        <f t="shared" si="71"/>
        <v>0.375</v>
      </c>
      <c r="I240" s="126">
        <v>0</v>
      </c>
      <c r="J240" s="127">
        <v>0</v>
      </c>
      <c r="K240" s="82"/>
      <c r="M240" s="127">
        <v>1</v>
      </c>
      <c r="N240" s="384">
        <f t="shared" si="62"/>
        <v>0.625</v>
      </c>
      <c r="O240" s="384">
        <f t="shared" si="73"/>
        <v>0.375</v>
      </c>
    </row>
    <row r="241" spans="2:15" x14ac:dyDescent="0.35">
      <c r="B241" s="73" t="str">
        <f t="shared" si="72"/>
        <v>Upgrade Utility Billing System</v>
      </c>
      <c r="G241" s="386">
        <f t="shared" si="70"/>
        <v>0.625</v>
      </c>
      <c r="H241" s="387">
        <f>O241</f>
        <v>0.375</v>
      </c>
      <c r="I241" s="126">
        <v>0</v>
      </c>
      <c r="J241" s="127">
        <v>0</v>
      </c>
      <c r="K241" s="82"/>
      <c r="M241" s="127">
        <v>1</v>
      </c>
      <c r="N241" s="384">
        <f>M241*$N$142</f>
        <v>0.625</v>
      </c>
      <c r="O241" s="384">
        <f>M241*$O$142</f>
        <v>0.375</v>
      </c>
    </row>
    <row r="242" spans="2:15" x14ac:dyDescent="0.35">
      <c r="B242" s="73" t="str">
        <f t="shared" si="72"/>
        <v>Chain Cutter Head</v>
      </c>
      <c r="G242" s="386">
        <f t="shared" si="70"/>
        <v>0.625</v>
      </c>
      <c r="H242" s="387">
        <f>O242</f>
        <v>0.375</v>
      </c>
      <c r="I242" s="126">
        <v>0</v>
      </c>
      <c r="J242" s="127">
        <v>0</v>
      </c>
      <c r="K242" s="82"/>
      <c r="M242" s="127">
        <v>1</v>
      </c>
      <c r="N242" s="384">
        <f>M242*$N$142</f>
        <v>0.625</v>
      </c>
      <c r="O242" s="384">
        <f>M242*$O$142</f>
        <v>0.375</v>
      </c>
    </row>
    <row r="243" spans="2:15" x14ac:dyDescent="0.35">
      <c r="B243" s="73" t="str">
        <f t="shared" si="72"/>
        <v>Internal Crane for CCTV Van</v>
      </c>
      <c r="G243" s="386">
        <f t="shared" si="70"/>
        <v>0.625</v>
      </c>
      <c r="H243" s="387">
        <f>O243</f>
        <v>0.375</v>
      </c>
      <c r="I243" s="126">
        <v>0</v>
      </c>
      <c r="J243" s="127">
        <v>0</v>
      </c>
      <c r="K243" s="82"/>
      <c r="M243" s="127">
        <v>1</v>
      </c>
      <c r="N243" s="384">
        <f>M243*$N$142</f>
        <v>0.625</v>
      </c>
      <c r="O243" s="384">
        <f>M243*$O$142</f>
        <v>0.375</v>
      </c>
    </row>
    <row r="244" spans="2:15" x14ac:dyDescent="0.35">
      <c r="B244" s="73" t="str">
        <f t="shared" si="72"/>
        <v>Ladder/Pipe Racks for Trucks</v>
      </c>
      <c r="G244" s="386">
        <f t="shared" si="70"/>
        <v>0.625</v>
      </c>
      <c r="H244" s="387">
        <f>O244</f>
        <v>0.375</v>
      </c>
      <c r="I244" s="126">
        <v>0</v>
      </c>
      <c r="J244" s="127">
        <v>0</v>
      </c>
      <c r="K244" s="82"/>
      <c r="M244" s="127">
        <v>1</v>
      </c>
      <c r="N244" s="384">
        <f>M244*$N$142</f>
        <v>0.625</v>
      </c>
      <c r="O244" s="384">
        <f>M244*$O$142</f>
        <v>0.375</v>
      </c>
    </row>
    <row r="245" spans="2:15" x14ac:dyDescent="0.35">
      <c r="B245" s="73" t="str">
        <f t="shared" si="72"/>
        <v>AutoDesk Infrastructure Design Premium</v>
      </c>
      <c r="G245" s="386">
        <f t="shared" ref="G245:G252" si="75">N245</f>
        <v>0.625</v>
      </c>
      <c r="H245" s="387">
        <f t="shared" ref="H245:H252" si="76">O245</f>
        <v>0.375</v>
      </c>
      <c r="I245" s="126">
        <v>0</v>
      </c>
      <c r="J245" s="127">
        <v>0</v>
      </c>
      <c r="K245" s="82"/>
      <c r="M245" s="127">
        <v>1</v>
      </c>
      <c r="N245" s="384">
        <f t="shared" ref="N245:N252" si="77">M245*$N$142</f>
        <v>0.625</v>
      </c>
      <c r="O245" s="384">
        <f t="shared" ref="O245:O252" si="78">M245*$O$142</f>
        <v>0.375</v>
      </c>
    </row>
    <row r="246" spans="2:15" x14ac:dyDescent="0.35">
      <c r="B246" s="73" t="str">
        <f t="shared" si="72"/>
        <v>Aims 8000 Walt Power Invertors for Trucks</v>
      </c>
      <c r="G246" s="386">
        <f t="shared" si="75"/>
        <v>0.625</v>
      </c>
      <c r="H246" s="387">
        <f t="shared" si="76"/>
        <v>0.375</v>
      </c>
      <c r="I246" s="126">
        <v>0</v>
      </c>
      <c r="J246" s="127">
        <v>0</v>
      </c>
      <c r="K246" s="82"/>
      <c r="M246" s="127">
        <v>1</v>
      </c>
      <c r="N246" s="384">
        <f t="shared" si="77"/>
        <v>0.625</v>
      </c>
      <c r="O246" s="384">
        <f t="shared" si="78"/>
        <v>0.375</v>
      </c>
    </row>
    <row r="247" spans="2:15" x14ac:dyDescent="0.35">
      <c r="B247" s="73" t="str">
        <f t="shared" si="72"/>
        <v>Aries Wireless Pole Camera</v>
      </c>
      <c r="G247" s="386">
        <f t="shared" si="75"/>
        <v>0.625</v>
      </c>
      <c r="H247" s="387">
        <f t="shared" si="76"/>
        <v>0.375</v>
      </c>
      <c r="I247" s="126">
        <v>0</v>
      </c>
      <c r="J247" s="127">
        <v>0</v>
      </c>
      <c r="K247" s="82"/>
      <c r="M247" s="127">
        <v>1</v>
      </c>
      <c r="N247" s="384">
        <f t="shared" si="77"/>
        <v>0.625</v>
      </c>
      <c r="O247" s="384">
        <f t="shared" si="78"/>
        <v>0.375</v>
      </c>
    </row>
    <row r="248" spans="2:15" x14ac:dyDescent="0.35">
      <c r="B248" s="73" t="str">
        <f t="shared" si="72"/>
        <v>PT AutoCAD Drafter</v>
      </c>
      <c r="G248" s="386">
        <f t="shared" si="75"/>
        <v>0.625</v>
      </c>
      <c r="H248" s="387">
        <f t="shared" si="76"/>
        <v>0.375</v>
      </c>
      <c r="I248" s="126">
        <v>0</v>
      </c>
      <c r="J248" s="127">
        <v>0</v>
      </c>
      <c r="K248" s="82"/>
      <c r="M248" s="127">
        <v>1</v>
      </c>
      <c r="N248" s="384">
        <f t="shared" si="77"/>
        <v>0.625</v>
      </c>
      <c r="O248" s="384">
        <f t="shared" si="78"/>
        <v>0.375</v>
      </c>
    </row>
    <row r="249" spans="2:15" x14ac:dyDescent="0.35">
      <c r="B249" s="73" t="str">
        <f t="shared" si="72"/>
        <v>Trailer for Bobcat</v>
      </c>
      <c r="G249" s="386">
        <f t="shared" si="75"/>
        <v>0.625</v>
      </c>
      <c r="H249" s="387">
        <f t="shared" si="76"/>
        <v>0.375</v>
      </c>
      <c r="I249" s="126">
        <v>0</v>
      </c>
      <c r="J249" s="127">
        <v>0</v>
      </c>
      <c r="K249" s="82"/>
      <c r="M249" s="127">
        <v>1</v>
      </c>
      <c r="N249" s="384">
        <f t="shared" si="77"/>
        <v>0.625</v>
      </c>
      <c r="O249" s="384">
        <f t="shared" si="78"/>
        <v>0.375</v>
      </c>
    </row>
    <row r="250" spans="2:15" x14ac:dyDescent="0.35">
      <c r="B250" s="73" t="str">
        <f t="shared" si="72"/>
        <v>Smart Board</v>
      </c>
      <c r="G250" s="386">
        <f t="shared" si="75"/>
        <v>0.625</v>
      </c>
      <c r="H250" s="387">
        <f t="shared" si="76"/>
        <v>0.375</v>
      </c>
      <c r="I250" s="126">
        <v>0</v>
      </c>
      <c r="J250" s="127">
        <v>0</v>
      </c>
      <c r="K250" s="82"/>
      <c r="M250" s="127">
        <v>1</v>
      </c>
      <c r="N250" s="384">
        <f t="shared" si="77"/>
        <v>0.625</v>
      </c>
      <c r="O250" s="384">
        <f t="shared" si="78"/>
        <v>0.375</v>
      </c>
    </row>
    <row r="251" spans="2:15" x14ac:dyDescent="0.35">
      <c r="B251" s="73" t="str">
        <f t="shared" si="72"/>
        <v>Replace Carpet in Large Conference Room</v>
      </c>
      <c r="G251" s="386">
        <f t="shared" si="75"/>
        <v>0.625</v>
      </c>
      <c r="H251" s="387">
        <f t="shared" si="76"/>
        <v>0.375</v>
      </c>
      <c r="I251" s="126">
        <v>0</v>
      </c>
      <c r="J251" s="127">
        <v>0</v>
      </c>
      <c r="K251" s="82"/>
      <c r="M251" s="127">
        <v>1</v>
      </c>
      <c r="N251" s="384">
        <f t="shared" si="77"/>
        <v>0.625</v>
      </c>
      <c r="O251" s="384">
        <f t="shared" si="78"/>
        <v>0.375</v>
      </c>
    </row>
    <row r="252" spans="2:15" x14ac:dyDescent="0.35">
      <c r="B252" s="73" t="str">
        <f t="shared" si="72"/>
        <v>Replace Carpet in Lobby</v>
      </c>
      <c r="G252" s="386">
        <f t="shared" si="75"/>
        <v>0.625</v>
      </c>
      <c r="H252" s="387">
        <f t="shared" si="76"/>
        <v>0.375</v>
      </c>
      <c r="I252" s="126">
        <v>0</v>
      </c>
      <c r="J252" s="127">
        <v>0</v>
      </c>
      <c r="K252" s="82"/>
      <c r="M252" s="127">
        <v>1</v>
      </c>
      <c r="N252" s="384">
        <f t="shared" si="77"/>
        <v>0.625</v>
      </c>
      <c r="O252" s="384">
        <f t="shared" si="78"/>
        <v>0.375</v>
      </c>
    </row>
    <row r="253" spans="2:15" x14ac:dyDescent="0.35">
      <c r="B253" s="73" t="str">
        <f t="shared" si="72"/>
        <v>Replace Lobby and Customer Service Area Furniture</v>
      </c>
      <c r="G253" s="386">
        <f t="shared" si="70"/>
        <v>0.625</v>
      </c>
      <c r="H253" s="387">
        <f>O253</f>
        <v>0.375</v>
      </c>
      <c r="I253" s="126">
        <v>0</v>
      </c>
      <c r="J253" s="127">
        <v>0</v>
      </c>
      <c r="K253" s="82"/>
      <c r="M253" s="127">
        <v>1</v>
      </c>
      <c r="N253" s="384">
        <f>M253*$N$142</f>
        <v>0.625</v>
      </c>
      <c r="O253" s="384">
        <f>M253*$O$142</f>
        <v>0.375</v>
      </c>
    </row>
    <row r="256" spans="2:15" s="371" customFormat="1" ht="6" customHeight="1" x14ac:dyDescent="0.35"/>
    <row r="257" spans="1:9" x14ac:dyDescent="0.35">
      <c r="A257" s="316" t="s">
        <v>208</v>
      </c>
    </row>
    <row r="259" spans="1:9" x14ac:dyDescent="0.35">
      <c r="H259" s="33"/>
      <c r="I259" s="301"/>
    </row>
    <row r="261" spans="1:9" x14ac:dyDescent="0.35">
      <c r="E261" s="66" t="s">
        <v>1667</v>
      </c>
    </row>
    <row r="262" spans="1:9" ht="18" customHeight="1" x14ac:dyDescent="0.35">
      <c r="E262" s="26" t="s">
        <v>946</v>
      </c>
      <c r="F262" s="165">
        <f>'Historical Flows'!B17/1000</f>
        <v>489914.5</v>
      </c>
      <c r="G262" s="169">
        <f>F262/F264</f>
        <v>0.57948901440104095</v>
      </c>
    </row>
    <row r="263" spans="1:9" x14ac:dyDescent="0.35">
      <c r="E263" s="26" t="s">
        <v>945</v>
      </c>
      <c r="F263" s="203">
        <f>F264-F262</f>
        <v>355510.5</v>
      </c>
      <c r="G263" s="350">
        <f>F263/F264</f>
        <v>0.42051098559895911</v>
      </c>
    </row>
    <row r="264" spans="1:9" x14ac:dyDescent="0.35">
      <c r="E264" s="26" t="s">
        <v>947</v>
      </c>
      <c r="F264" s="165">
        <f>F280</f>
        <v>845425</v>
      </c>
      <c r="G264" s="168">
        <f>SUM(G262:G263)</f>
        <v>1</v>
      </c>
    </row>
    <row r="266" spans="1:9" x14ac:dyDescent="0.35">
      <c r="E266" s="26" t="s">
        <v>1100</v>
      </c>
      <c r="G266" s="454">
        <f>'Historical Flows'!E25</f>
        <v>0.33751350414970538</v>
      </c>
    </row>
    <row r="269" spans="1:9" x14ac:dyDescent="0.35">
      <c r="E269" s="26" t="s">
        <v>951</v>
      </c>
      <c r="G269" s="382">
        <v>0.375</v>
      </c>
    </row>
    <row r="274" spans="5:6" x14ac:dyDescent="0.35">
      <c r="E274" s="26" t="s">
        <v>1114</v>
      </c>
    </row>
    <row r="275" spans="5:6" x14ac:dyDescent="0.35">
      <c r="E275" s="73">
        <v>2009</v>
      </c>
      <c r="F275" s="182">
        <v>886285</v>
      </c>
    </row>
    <row r="276" spans="5:6" x14ac:dyDescent="0.35">
      <c r="E276" s="73">
        <v>2010</v>
      </c>
      <c r="F276" s="182">
        <v>739550</v>
      </c>
    </row>
    <row r="277" spans="5:6" x14ac:dyDescent="0.35">
      <c r="E277" s="73">
        <v>2011</v>
      </c>
      <c r="F277" s="182">
        <v>980512</v>
      </c>
    </row>
    <row r="278" spans="5:6" x14ac:dyDescent="0.35">
      <c r="E278" s="73">
        <v>2012</v>
      </c>
      <c r="F278" s="182">
        <v>775353</v>
      </c>
    </row>
    <row r="280" spans="5:6" x14ac:dyDescent="0.35">
      <c r="E280" s="26" t="s">
        <v>1579</v>
      </c>
      <c r="F280" s="471">
        <f>AVERAGE(F275:F278)</f>
        <v>845425</v>
      </c>
    </row>
  </sheetData>
  <phoneticPr fontId="7" type="noConversion"/>
  <pageMargins left="0.75" right="0.75" top="1" bottom="1" header="0.5" footer="0.5"/>
  <pageSetup scale="56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indexed="51"/>
  </sheetPr>
  <dimension ref="A1:T59"/>
  <sheetViews>
    <sheetView topLeftCell="A4" zoomScaleNormal="100" workbookViewId="0">
      <selection activeCell="F22" sqref="F22"/>
    </sheetView>
  </sheetViews>
  <sheetFormatPr defaultColWidth="8.7265625" defaultRowHeight="15.5" x14ac:dyDescent="0.35"/>
  <cols>
    <col min="1" max="1" width="30.54296875" style="26" customWidth="1"/>
    <col min="2" max="2" width="17.7265625" style="26" customWidth="1"/>
    <col min="3" max="3" width="16.7265625" style="26" customWidth="1"/>
    <col min="4" max="4" width="16.54296875" style="26" customWidth="1"/>
    <col min="5" max="14" width="13.26953125" style="26" customWidth="1"/>
    <col min="15" max="16384" width="8.7265625" style="26"/>
  </cols>
  <sheetData>
    <row r="1" spans="1:5" x14ac:dyDescent="0.35">
      <c r="A1" s="25" t="s">
        <v>4</v>
      </c>
    </row>
    <row r="2" spans="1:5" x14ac:dyDescent="0.35">
      <c r="A2" s="25" t="s">
        <v>109</v>
      </c>
    </row>
    <row r="3" spans="1:5" x14ac:dyDescent="0.35">
      <c r="A3" s="25" t="s">
        <v>298</v>
      </c>
      <c r="D3" s="50" t="s">
        <v>1600</v>
      </c>
    </row>
    <row r="5" spans="1:5" x14ac:dyDescent="0.35">
      <c r="C5" s="97" t="s">
        <v>249</v>
      </c>
      <c r="D5" s="85"/>
    </row>
    <row r="6" spans="1:5" ht="32.65" customHeight="1" x14ac:dyDescent="0.35">
      <c r="A6" s="172" t="s">
        <v>246</v>
      </c>
      <c r="B6" s="46" t="s">
        <v>248</v>
      </c>
      <c r="C6" s="46" t="s">
        <v>253</v>
      </c>
      <c r="D6" s="46" t="s">
        <v>254</v>
      </c>
    </row>
    <row r="7" spans="1:5" x14ac:dyDescent="0.35">
      <c r="A7" s="173" t="s">
        <v>141</v>
      </c>
      <c r="B7" s="130">
        <f>COS!G47-COS!G55-COS!G60+COS!G129</f>
        <v>2341734.7067896826</v>
      </c>
      <c r="C7" s="127">
        <v>1</v>
      </c>
      <c r="D7" s="127">
        <v>0</v>
      </c>
      <c r="E7" s="82" t="str">
        <f>IF(SUM(C7:D7)&lt;&gt;100%,"Check","")</f>
        <v/>
      </c>
    </row>
    <row r="8" spans="1:5" x14ac:dyDescent="0.35">
      <c r="A8" s="173" t="s">
        <v>945</v>
      </c>
      <c r="B8" s="130">
        <f>COS!H47-COS!H55-COS!H60+COS!H129</f>
        <v>1405040.8240738097</v>
      </c>
      <c r="C8" s="127">
        <v>0.5</v>
      </c>
      <c r="D8" s="127">
        <v>0.5</v>
      </c>
      <c r="E8" s="82" t="str">
        <f>IF(SUM(C8:D8)&lt;&gt;100%,"Check","")</f>
        <v/>
      </c>
    </row>
    <row r="9" spans="1:5" x14ac:dyDescent="0.35">
      <c r="A9" s="173" t="s">
        <v>247</v>
      </c>
      <c r="B9" s="130">
        <f>COS!I47-COS!I55-COS!I60+COS!I129</f>
        <v>144073.94188476171</v>
      </c>
      <c r="C9" s="127">
        <v>0</v>
      </c>
      <c r="D9" s="127">
        <v>1</v>
      </c>
      <c r="E9" s="82" t="str">
        <f>IF(SUM(C9:D9)&lt;&gt;100%,"Check","")</f>
        <v/>
      </c>
    </row>
    <row r="10" spans="1:5" x14ac:dyDescent="0.35">
      <c r="A10" s="173" t="s">
        <v>143</v>
      </c>
      <c r="B10" s="130">
        <f>COS!J47-COS!J55-COS!J60+COS!J129</f>
        <v>102237.01307957011</v>
      </c>
      <c r="C10" s="127">
        <v>0</v>
      </c>
      <c r="D10" s="127">
        <v>1</v>
      </c>
      <c r="E10" s="82" t="str">
        <f>IF(SUM(C10:D10)&lt;&gt;100%,"Check","")</f>
        <v/>
      </c>
    </row>
    <row r="12" spans="1:5" x14ac:dyDescent="0.35">
      <c r="A12" s="25" t="s">
        <v>44</v>
      </c>
      <c r="B12" s="36">
        <f>SUM(B7:B11)</f>
        <v>3993086.4858278241</v>
      </c>
    </row>
    <row r="13" spans="1:5" x14ac:dyDescent="0.35">
      <c r="B13" s="82" t="str">
        <f>IF(ROUNDUP(B12,1)&lt;&gt;ROUNDUP(COS!F131,1),"Check","")</f>
        <v/>
      </c>
    </row>
    <row r="15" spans="1:5" x14ac:dyDescent="0.35">
      <c r="C15" s="97" t="s">
        <v>252</v>
      </c>
      <c r="D15" s="85"/>
    </row>
    <row r="16" spans="1:5" ht="38.65" customHeight="1" x14ac:dyDescent="0.35">
      <c r="C16" s="46" t="s">
        <v>251</v>
      </c>
      <c r="D16" s="46" t="s">
        <v>250</v>
      </c>
    </row>
    <row r="17" spans="1:20" x14ac:dyDescent="0.35">
      <c r="C17" s="174">
        <f>B7*C7</f>
        <v>2341734.7067896826</v>
      </c>
      <c r="D17" s="174">
        <f>B7*D7</f>
        <v>0</v>
      </c>
    </row>
    <row r="18" spans="1:20" x14ac:dyDescent="0.35">
      <c r="C18" s="174">
        <f>B8*C8</f>
        <v>702520.41203690483</v>
      </c>
      <c r="D18" s="174">
        <f>B8*D8</f>
        <v>702520.41203690483</v>
      </c>
    </row>
    <row r="19" spans="1:20" x14ac:dyDescent="0.35">
      <c r="C19" s="174">
        <f>B9*C9</f>
        <v>0</v>
      </c>
      <c r="D19" s="174">
        <f>B9*D9</f>
        <v>144073.94188476171</v>
      </c>
    </row>
    <row r="20" spans="1:20" x14ac:dyDescent="0.35">
      <c r="C20" s="174">
        <f>B10*C10</f>
        <v>0</v>
      </c>
      <c r="D20" s="174">
        <f>B10*D10</f>
        <v>102237.01307957011</v>
      </c>
    </row>
    <row r="22" spans="1:20" x14ac:dyDescent="0.35">
      <c r="B22" s="25" t="s">
        <v>44</v>
      </c>
      <c r="C22" s="36">
        <f>SUM(C17:C21)</f>
        <v>3044255.1188265877</v>
      </c>
      <c r="D22" s="36">
        <f>SUM(D17:D21)</f>
        <v>948831.36700123665</v>
      </c>
    </row>
    <row r="24" spans="1:20" x14ac:dyDescent="0.35">
      <c r="A24" s="26" t="s">
        <v>255</v>
      </c>
    </row>
    <row r="25" spans="1:20" x14ac:dyDescent="0.35">
      <c r="A25" s="26" t="s">
        <v>412</v>
      </c>
    </row>
    <row r="28" spans="1:20" s="122" customFormat="1" ht="6" customHeight="1" x14ac:dyDescent="0.35"/>
    <row r="29" spans="1:20" x14ac:dyDescent="0.35">
      <c r="A29" s="25" t="s">
        <v>482</v>
      </c>
    </row>
    <row r="31" spans="1:20" x14ac:dyDescent="0.35">
      <c r="E31" s="51">
        <v>2012</v>
      </c>
      <c r="F31" s="51">
        <v>2013</v>
      </c>
      <c r="G31" s="51">
        <v>2014</v>
      </c>
      <c r="H31" s="51">
        <v>2015</v>
      </c>
      <c r="I31" s="51">
        <v>2016</v>
      </c>
      <c r="J31" s="51">
        <v>2017</v>
      </c>
      <c r="K31" s="51">
        <v>2018</v>
      </c>
      <c r="L31" s="51">
        <v>2019</v>
      </c>
      <c r="M31" s="51">
        <v>2020</v>
      </c>
      <c r="N31" s="51">
        <v>2021</v>
      </c>
      <c r="O31" s="52"/>
      <c r="P31" s="52"/>
      <c r="Q31" s="52"/>
      <c r="R31" s="52"/>
      <c r="S31" s="52"/>
      <c r="T31" s="52"/>
    </row>
    <row r="32" spans="1:20" x14ac:dyDescent="0.35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14" x14ac:dyDescent="0.35">
      <c r="A33" s="26" t="s">
        <v>141</v>
      </c>
      <c r="E33" s="168">
        <f>E38/E$42</f>
        <v>0.76238649492619992</v>
      </c>
      <c r="F33" s="168">
        <f t="shared" ref="F33:N33" si="0">F38/F$42</f>
        <v>0.76248060648773042</v>
      </c>
      <c r="G33" s="168">
        <f t="shared" si="0"/>
        <v>0.76189684425083126</v>
      </c>
      <c r="H33" s="168">
        <f t="shared" si="0"/>
        <v>0.76152559505672912</v>
      </c>
      <c r="I33" s="168">
        <f t="shared" si="0"/>
        <v>0.76109833046046982</v>
      </c>
      <c r="J33" s="168">
        <f t="shared" si="0"/>
        <v>0.7605174578694871</v>
      </c>
      <c r="K33" s="168">
        <f t="shared" si="0"/>
        <v>0.76061329589988436</v>
      </c>
      <c r="L33" s="168">
        <f t="shared" si="0"/>
        <v>0.76044145499865134</v>
      </c>
      <c r="M33" s="168">
        <f t="shared" si="0"/>
        <v>0.74305676897758588</v>
      </c>
      <c r="N33" s="168">
        <f t="shared" si="0"/>
        <v>0.74332538561515338</v>
      </c>
    </row>
    <row r="34" spans="1:14" x14ac:dyDescent="0.35">
      <c r="A34" s="26" t="s">
        <v>978</v>
      </c>
      <c r="E34" s="168">
        <f>E39/E$42</f>
        <v>0.17593045855719652</v>
      </c>
      <c r="F34" s="168">
        <f t="shared" ref="F34:N34" si="1">F39/F$42</f>
        <v>0.17586077779485743</v>
      </c>
      <c r="G34" s="168">
        <f t="shared" si="1"/>
        <v>0.17629299884220134</v>
      </c>
      <c r="H34" s="168">
        <f t="shared" si="1"/>
        <v>0.17656787396319704</v>
      </c>
      <c r="I34" s="168">
        <f t="shared" si="1"/>
        <v>0.17688422322256184</v>
      </c>
      <c r="J34" s="168">
        <f t="shared" si="1"/>
        <v>0.1773143047588078</v>
      </c>
      <c r="K34" s="168">
        <f t="shared" si="1"/>
        <v>0.17724334570860653</v>
      </c>
      <c r="L34" s="168">
        <f t="shared" si="1"/>
        <v>0.1773705777383828</v>
      </c>
      <c r="M34" s="168">
        <f t="shared" si="1"/>
        <v>0.19024230311699292</v>
      </c>
      <c r="N34" s="168">
        <f t="shared" si="1"/>
        <v>0.19004341775393807</v>
      </c>
    </row>
    <row r="35" spans="1:14" x14ac:dyDescent="0.35">
      <c r="A35" s="26" t="s">
        <v>247</v>
      </c>
      <c r="E35" s="168">
        <f>E40/E$42</f>
        <v>3.6080082838358125E-2</v>
      </c>
      <c r="F35" s="168">
        <f t="shared" ref="F35:N35" si="2">F40/F$42</f>
        <v>3.6065792602897752E-2</v>
      </c>
      <c r="G35" s="168">
        <f t="shared" si="2"/>
        <v>3.6154433144851332E-2</v>
      </c>
      <c r="H35" s="168">
        <f t="shared" si="2"/>
        <v>3.6210804947761757E-2</v>
      </c>
      <c r="I35" s="168">
        <f t="shared" si="2"/>
        <v>3.6275682329298425E-2</v>
      </c>
      <c r="J35" s="168">
        <f t="shared" si="2"/>
        <v>3.6363884097100653E-2</v>
      </c>
      <c r="K35" s="168">
        <f t="shared" si="2"/>
        <v>3.6349331708444427E-2</v>
      </c>
      <c r="L35" s="168">
        <f t="shared" si="2"/>
        <v>3.6375424644321863E-2</v>
      </c>
      <c r="M35" s="168">
        <f t="shared" si="2"/>
        <v>3.901517742926594E-2</v>
      </c>
      <c r="N35" s="168">
        <f t="shared" si="2"/>
        <v>3.8974389720115382E-2</v>
      </c>
    </row>
    <row r="36" spans="1:14" x14ac:dyDescent="0.35">
      <c r="A36" s="26" t="s">
        <v>143</v>
      </c>
      <c r="E36" s="168">
        <f>E41/E$42</f>
        <v>2.5602963678245404E-2</v>
      </c>
      <c r="F36" s="168">
        <f t="shared" ref="F36:N36" si="3">F41/F$42</f>
        <v>2.5592823114514308E-2</v>
      </c>
      <c r="G36" s="168">
        <f t="shared" si="3"/>
        <v>2.5655723762116053E-2</v>
      </c>
      <c r="H36" s="168">
        <f t="shared" si="3"/>
        <v>2.5695726032312023E-2</v>
      </c>
      <c r="I36" s="168">
        <f t="shared" si="3"/>
        <v>2.5741763987669957E-2</v>
      </c>
      <c r="J36" s="168">
        <f t="shared" si="3"/>
        <v>2.5804353274604654E-2</v>
      </c>
      <c r="K36" s="168">
        <f t="shared" si="3"/>
        <v>2.5794026683064762E-2</v>
      </c>
      <c r="L36" s="168">
        <f t="shared" si="3"/>
        <v>2.5812542618644005E-2</v>
      </c>
      <c r="M36" s="168">
        <f t="shared" si="3"/>
        <v>2.7685750476155291E-2</v>
      </c>
      <c r="N36" s="168">
        <f t="shared" si="3"/>
        <v>2.7656806910793228E-2</v>
      </c>
    </row>
    <row r="38" spans="1:14" x14ac:dyDescent="0.35">
      <c r="A38" s="26" t="s">
        <v>141</v>
      </c>
      <c r="E38" s="33">
        <f>E58-SUM(E39:E41)</f>
        <v>3150891.5608029743</v>
      </c>
      <c r="F38" s="33">
        <f t="shared" ref="F38:N38" si="4">F58-SUM(F39:F41)</f>
        <v>3250281.0831020325</v>
      </c>
      <c r="G38" s="33">
        <f t="shared" si="4"/>
        <v>3340301.5207417184</v>
      </c>
      <c r="H38" s="33">
        <f t="shared" si="4"/>
        <v>3436865.0606721081</v>
      </c>
      <c r="I38" s="33">
        <f t="shared" si="4"/>
        <v>3535151.9834410679</v>
      </c>
      <c r="J38" s="33">
        <f t="shared" si="4"/>
        <v>3633207.8694670363</v>
      </c>
      <c r="K38" s="33">
        <f t="shared" si="4"/>
        <v>3747907.6435869131</v>
      </c>
      <c r="L38" s="33">
        <f t="shared" si="4"/>
        <v>3860564.8534087138</v>
      </c>
      <c r="M38" s="33">
        <f t="shared" si="4"/>
        <v>3626226.7960940255</v>
      </c>
      <c r="N38" s="33">
        <f t="shared" si="4"/>
        <v>3744046.9502655892</v>
      </c>
    </row>
    <row r="39" spans="1:14" x14ac:dyDescent="0.35">
      <c r="A39" s="26" t="s">
        <v>978</v>
      </c>
      <c r="D39" s="258">
        <v>3.5000000000000003E-2</v>
      </c>
      <c r="E39" s="34">
        <f>D18*(1+D39)</f>
        <v>727108.62645819644</v>
      </c>
      <c r="F39" s="34">
        <f>E39*(1+F46)</f>
        <v>749654.42328982439</v>
      </c>
      <c r="G39" s="34">
        <f t="shared" ref="G39:N39" si="5">F39*(1+G46)</f>
        <v>772902.23285772675</v>
      </c>
      <c r="H39" s="34">
        <f t="shared" si="5"/>
        <v>796874.0129030887</v>
      </c>
      <c r="I39" s="34">
        <f t="shared" si="5"/>
        <v>821592.41130689858</v>
      </c>
      <c r="J39" s="34">
        <f t="shared" si="5"/>
        <v>847080.78789340798</v>
      </c>
      <c r="K39" s="34">
        <f t="shared" si="5"/>
        <v>873363.23692616785</v>
      </c>
      <c r="L39" s="34">
        <f t="shared" si="5"/>
        <v>900464.61031876958</v>
      </c>
      <c r="M39" s="34">
        <f t="shared" si="5"/>
        <v>928410.5415831171</v>
      </c>
      <c r="N39" s="34">
        <f t="shared" si="5"/>
        <v>957227.47053881316</v>
      </c>
    </row>
    <row r="40" spans="1:14" x14ac:dyDescent="0.35">
      <c r="A40" s="26" t="s">
        <v>247</v>
      </c>
      <c r="D40" s="258">
        <v>3.5000000000000003E-2</v>
      </c>
      <c r="E40" s="34">
        <f>D19*(1+$D$40)</f>
        <v>149116.52985072834</v>
      </c>
      <c r="F40" s="34">
        <f>E40*(1+F46)</f>
        <v>153740.25574795535</v>
      </c>
      <c r="G40" s="34">
        <f t="shared" ref="G40:N40" si="6">F40*(1+G46)</f>
        <v>158507.95147215878</v>
      </c>
      <c r="H40" s="34">
        <f t="shared" si="6"/>
        <v>163424.12014990012</v>
      </c>
      <c r="I40" s="34">
        <f t="shared" si="6"/>
        <v>168493.40644264888</v>
      </c>
      <c r="J40" s="34">
        <f t="shared" si="6"/>
        <v>173720.60101826894</v>
      </c>
      <c r="K40" s="34">
        <f t="shared" si="6"/>
        <v>179110.64516453943</v>
      </c>
      <c r="L40" s="34">
        <f t="shared" si="6"/>
        <v>184668.63554924843</v>
      </c>
      <c r="M40" s="34">
        <f t="shared" si="6"/>
        <v>190399.82913154058</v>
      </c>
      <c r="N40" s="34">
        <f t="shared" si="6"/>
        <v>196309.64822935514</v>
      </c>
    </row>
    <row r="41" spans="1:14" x14ac:dyDescent="0.35">
      <c r="A41" s="26" t="s">
        <v>143</v>
      </c>
      <c r="D41" s="258">
        <v>3.5000000000000003E-2</v>
      </c>
      <c r="E41" s="35">
        <f>D20*(1+$D$41)</f>
        <v>105815.30853735506</v>
      </c>
      <c r="F41" s="35">
        <f>E41*(1+F46)</f>
        <v>109096.37323821017</v>
      </c>
      <c r="G41" s="35">
        <f t="shared" ref="G41:N41" si="7">F41*(1+G46)</f>
        <v>112479.6010706566</v>
      </c>
      <c r="H41" s="35">
        <f t="shared" si="7"/>
        <v>115968.18752031197</v>
      </c>
      <c r="I41" s="35">
        <f t="shared" si="7"/>
        <v>119565.42850807075</v>
      </c>
      <c r="J41" s="35">
        <f t="shared" si="7"/>
        <v>123274.72356313754</v>
      </c>
      <c r="K41" s="35">
        <f t="shared" si="7"/>
        <v>127099.57909685012</v>
      </c>
      <c r="L41" s="35">
        <f t="shared" si="7"/>
        <v>131043.61178051282</v>
      </c>
      <c r="M41" s="35">
        <f t="shared" si="7"/>
        <v>135110.55203056178</v>
      </c>
      <c r="N41" s="35">
        <f t="shared" si="7"/>
        <v>139304.24760449448</v>
      </c>
    </row>
    <row r="42" spans="1:14" x14ac:dyDescent="0.35">
      <c r="E42" s="33">
        <f>SUM(E38:E41)</f>
        <v>4132932.0256492542</v>
      </c>
      <c r="F42" s="33">
        <f t="shared" ref="F42:N42" si="8">SUM(F38:F41)</f>
        <v>4262772.1353780227</v>
      </c>
      <c r="G42" s="33">
        <f t="shared" si="8"/>
        <v>4384191.3061422603</v>
      </c>
      <c r="H42" s="33">
        <f t="shared" si="8"/>
        <v>4513131.3812454091</v>
      </c>
      <c r="I42" s="33">
        <f t="shared" si="8"/>
        <v>4644803.2296986859</v>
      </c>
      <c r="J42" s="33">
        <f t="shared" si="8"/>
        <v>4777283.9819418499</v>
      </c>
      <c r="K42" s="33">
        <f t="shared" si="8"/>
        <v>4927481.1047744704</v>
      </c>
      <c r="L42" s="33">
        <f t="shared" si="8"/>
        <v>5076741.7110572448</v>
      </c>
      <c r="M42" s="33">
        <f t="shared" si="8"/>
        <v>4880147.7188392449</v>
      </c>
      <c r="N42" s="33">
        <f t="shared" si="8"/>
        <v>5036888.3166382518</v>
      </c>
    </row>
    <row r="43" spans="1:14" x14ac:dyDescent="0.35">
      <c r="E43" s="82" t="str">
        <f>IF(ROUNDUP(E42,1)&lt;&gt;ROUNDUP(E58,1),"Check","")</f>
        <v/>
      </c>
      <c r="F43" s="82" t="str">
        <f t="shared" ref="F43:N43" si="9">IF(ROUNDUP(F42,1)&lt;&gt;ROUNDUP(F58,1),"Check","")</f>
        <v/>
      </c>
      <c r="G43" s="82" t="str">
        <f t="shared" si="9"/>
        <v/>
      </c>
      <c r="H43" s="82" t="str">
        <f t="shared" si="9"/>
        <v/>
      </c>
      <c r="I43" s="82" t="str">
        <f t="shared" si="9"/>
        <v/>
      </c>
      <c r="J43" s="82" t="str">
        <f t="shared" si="9"/>
        <v/>
      </c>
      <c r="K43" s="82" t="str">
        <f t="shared" si="9"/>
        <v/>
      </c>
      <c r="L43" s="82" t="str">
        <f t="shared" si="9"/>
        <v/>
      </c>
      <c r="M43" s="82" t="str">
        <f t="shared" si="9"/>
        <v/>
      </c>
      <c r="N43" s="82" t="str">
        <f t="shared" si="9"/>
        <v/>
      </c>
    </row>
    <row r="44" spans="1:14" x14ac:dyDescent="0.35">
      <c r="A44" s="66" t="s">
        <v>336</v>
      </c>
      <c r="D44" s="33"/>
    </row>
    <row r="45" spans="1:14" x14ac:dyDescent="0.35">
      <c r="A45" s="26" t="s">
        <v>6</v>
      </c>
      <c r="E45" s="33">
        <f>'Test Year Detail'!I40</f>
        <v>2814490.0714514763</v>
      </c>
      <c r="F45" s="33">
        <f>'Test Year Detail'!J40</f>
        <v>2901760.2798172785</v>
      </c>
      <c r="G45" s="33">
        <f>'Test Year Detail'!K40</f>
        <v>2991747.8371518324</v>
      </c>
      <c r="H45" s="33">
        <f>'Test Year Detail'!L40</f>
        <v>3084537.7374193254</v>
      </c>
      <c r="I45" s="33">
        <f>'Test Year Detail'!M40</f>
        <v>3180217.6459751958</v>
      </c>
      <c r="J45" s="33">
        <f>'Test Year Detail'!N40</f>
        <v>3278877.9839629084</v>
      </c>
      <c r="K45" s="33">
        <f>'Test Year Detail'!O40</f>
        <v>3380612.0153915463</v>
      </c>
      <c r="L45" s="33">
        <f>'Test Year Detail'!P40</f>
        <v>3485515.9369798871</v>
      </c>
      <c r="M45" s="33">
        <f>'Test Year Detail'!Q40</f>
        <v>3593688.9708553059</v>
      </c>
      <c r="N45" s="33">
        <f>'Test Year Detail'!R40</f>
        <v>3705233.4601988001</v>
      </c>
    </row>
    <row r="46" spans="1:14" x14ac:dyDescent="0.35">
      <c r="E46" s="33"/>
      <c r="F46" s="41">
        <f t="shared" ref="F46:N46" si="10">(F45-E45)/E45</f>
        <v>3.1007467125579728E-2</v>
      </c>
      <c r="G46" s="41">
        <f t="shared" si="10"/>
        <v>3.1011368499475209E-2</v>
      </c>
      <c r="H46" s="41">
        <f t="shared" si="10"/>
        <v>3.1015281139412369E-2</v>
      </c>
      <c r="I46" s="41">
        <f t="shared" si="10"/>
        <v>3.1019205048183618E-2</v>
      </c>
      <c r="J46" s="41">
        <f t="shared" si="10"/>
        <v>3.1023140228334575E-2</v>
      </c>
      <c r="K46" s="41">
        <f t="shared" si="10"/>
        <v>3.1027086682158391E-2</v>
      </c>
      <c r="L46" s="41">
        <f t="shared" si="10"/>
        <v>3.103104441169972E-2</v>
      </c>
      <c r="M46" s="41">
        <f t="shared" si="10"/>
        <v>3.1035013418744564E-2</v>
      </c>
      <c r="N46" s="41">
        <f t="shared" si="10"/>
        <v>3.1038993704829813E-2</v>
      </c>
    </row>
    <row r="47" spans="1:14" x14ac:dyDescent="0.35">
      <c r="A47" s="26" t="s">
        <v>483</v>
      </c>
    </row>
    <row r="48" spans="1:14" x14ac:dyDescent="0.35">
      <c r="A48" s="26" t="s">
        <v>484</v>
      </c>
      <c r="E48" s="33">
        <f>'Debt Service'!H81+CIP!G163</f>
        <v>345981.27999999997</v>
      </c>
      <c r="F48" s="33">
        <f>'Debt Service'!I81+CIP!H163</f>
        <v>350066.52</v>
      </c>
      <c r="G48" s="33">
        <f>'Debt Service'!J81+CIP!I163</f>
        <v>349524.7</v>
      </c>
      <c r="H48" s="33">
        <f>'Debt Service'!K81+CIP!J163</f>
        <v>348962.08999999997</v>
      </c>
      <c r="I48" s="33">
        <f>'Debt Service'!L81+CIP!K163</f>
        <v>348378.11000000004</v>
      </c>
      <c r="J48" s="33">
        <f>'Debt Service'!M81+CIP!L163</f>
        <v>347771.31</v>
      </c>
      <c r="K48" s="33">
        <f>'Debt Service'!N81+CIP!M163</f>
        <v>347141.42999999993</v>
      </c>
      <c r="L48" s="33">
        <f>'Debt Service'!O81+CIP!N163</f>
        <v>346487.41000000003</v>
      </c>
      <c r="M48" s="33">
        <f>'Debt Service'!P81+CIP!O163</f>
        <v>0</v>
      </c>
      <c r="N48" s="33">
        <f>'Debt Service'!Q81+CIP!P163</f>
        <v>0</v>
      </c>
    </row>
    <row r="49" spans="1:14" x14ac:dyDescent="0.35">
      <c r="A49" s="26" t="s">
        <v>485</v>
      </c>
      <c r="E49" s="35">
        <f>'Test Year Detail'!I44</f>
        <v>1175125.0014785714</v>
      </c>
      <c r="F49" s="35">
        <f>'Test Year Detail'!J44</f>
        <v>1212308.3348119047</v>
      </c>
      <c r="G49" s="35">
        <f>'Test Year Detail'!K44</f>
        <v>1251108.3348119047</v>
      </c>
      <c r="H49" s="35">
        <f>'Test Year Detail'!L44</f>
        <v>1293141.668145238</v>
      </c>
      <c r="I49" s="35">
        <f>'Test Year Detail'!M44</f>
        <v>1338408.3348119047</v>
      </c>
      <c r="J49" s="35">
        <f>'Test Year Detail'!N44</f>
        <v>1378560.584856262</v>
      </c>
      <c r="K49" s="35">
        <f>'Test Year Detail'!O44</f>
        <v>1419917.4024019497</v>
      </c>
      <c r="L49" s="35">
        <f>'Test Year Detail'!P44</f>
        <v>1462514.9244740084</v>
      </c>
      <c r="M49" s="35">
        <f>'Test Year Detail'!Q44</f>
        <v>1506390.3722082286</v>
      </c>
      <c r="N49" s="35">
        <f>'Test Year Detail'!R44</f>
        <v>1551582.0833744754</v>
      </c>
    </row>
    <row r="50" spans="1:14" x14ac:dyDescent="0.35">
      <c r="A50" s="40" t="s">
        <v>486</v>
      </c>
      <c r="E50" s="33">
        <f>SUM(E48:E49)</f>
        <v>1521106.2814785715</v>
      </c>
      <c r="F50" s="33">
        <f t="shared" ref="F50:N50" si="11">SUM(F48:F49)</f>
        <v>1562374.8548119047</v>
      </c>
      <c r="G50" s="33">
        <f t="shared" si="11"/>
        <v>1600633.0348119047</v>
      </c>
      <c r="H50" s="33">
        <f t="shared" si="11"/>
        <v>1642103.7581452378</v>
      </c>
      <c r="I50" s="33">
        <f t="shared" si="11"/>
        <v>1686786.4448119048</v>
      </c>
      <c r="J50" s="33">
        <f t="shared" si="11"/>
        <v>1726331.894856262</v>
      </c>
      <c r="K50" s="33">
        <f t="shared" si="11"/>
        <v>1767058.8324019497</v>
      </c>
      <c r="L50" s="33">
        <f t="shared" si="11"/>
        <v>1809002.3344740085</v>
      </c>
      <c r="M50" s="33">
        <f t="shared" si="11"/>
        <v>1506390.3722082286</v>
      </c>
      <c r="N50" s="33">
        <f t="shared" si="11"/>
        <v>1551582.0833744754</v>
      </c>
    </row>
    <row r="52" spans="1:14" x14ac:dyDescent="0.35">
      <c r="A52" s="26" t="s">
        <v>344</v>
      </c>
      <c r="E52" s="33">
        <f>E45+E50</f>
        <v>4335596.3529300475</v>
      </c>
      <c r="F52" s="33">
        <f t="shared" ref="F52:N52" si="12">F45+F50</f>
        <v>4464135.1346291834</v>
      </c>
      <c r="G52" s="33">
        <f t="shared" si="12"/>
        <v>4592380.8719637375</v>
      </c>
      <c r="H52" s="33">
        <f t="shared" si="12"/>
        <v>4726641.4955645632</v>
      </c>
      <c r="I52" s="33">
        <f t="shared" si="12"/>
        <v>4867004.0907871006</v>
      </c>
      <c r="J52" s="33">
        <f t="shared" si="12"/>
        <v>5005209.8788191704</v>
      </c>
      <c r="K52" s="33">
        <f t="shared" si="12"/>
        <v>5147670.8477934962</v>
      </c>
      <c r="L52" s="33">
        <f t="shared" si="12"/>
        <v>5294518.2714538956</v>
      </c>
      <c r="M52" s="33">
        <f t="shared" si="12"/>
        <v>5100079.3430635342</v>
      </c>
      <c r="N52" s="33">
        <f t="shared" si="12"/>
        <v>5256815.5435732752</v>
      </c>
    </row>
    <row r="54" spans="1:14" x14ac:dyDescent="0.35">
      <c r="A54" s="26" t="s">
        <v>487</v>
      </c>
      <c r="E54" s="34">
        <f>'Revenue Offsets'!I18</f>
        <v>202664.32728079354</v>
      </c>
      <c r="F54" s="34">
        <f>'Revenue Offsets'!J18</f>
        <v>201362.99925116033</v>
      </c>
      <c r="G54" s="34">
        <f>'Revenue Offsets'!K18</f>
        <v>208189.56582147744</v>
      </c>
      <c r="H54" s="34">
        <f>'Revenue Offsets'!L18</f>
        <v>213510.11431915418</v>
      </c>
      <c r="I54" s="34">
        <f>'Revenue Offsets'!M18</f>
        <v>222200.86108841473</v>
      </c>
      <c r="J54" s="34">
        <f>'Revenue Offsets'!N18</f>
        <v>227925.89687731923</v>
      </c>
      <c r="K54" s="34">
        <f>'Revenue Offsets'!O18</f>
        <v>220189.74301902609</v>
      </c>
      <c r="L54" s="34">
        <f>'Revenue Offsets'!P18</f>
        <v>217776.56039665101</v>
      </c>
      <c r="M54" s="34">
        <f>'Revenue Offsets'!Q18</f>
        <v>219931.62422428903</v>
      </c>
      <c r="N54" s="34">
        <f>'Revenue Offsets'!R18</f>
        <v>219927.22693502388</v>
      </c>
    </row>
    <row r="55" spans="1:14" x14ac:dyDescent="0.35"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x14ac:dyDescent="0.35">
      <c r="A56" s="26" t="s">
        <v>662</v>
      </c>
      <c r="E56" s="35">
        <f>'Test Year Detail'!I62</f>
        <v>0</v>
      </c>
      <c r="F56" s="35">
        <f>'Test Year Detail'!J62</f>
        <v>0</v>
      </c>
      <c r="G56" s="35">
        <f>'Test Year Detail'!K62</f>
        <v>0</v>
      </c>
      <c r="H56" s="35">
        <f>'Test Year Detail'!L62</f>
        <v>0</v>
      </c>
      <c r="I56" s="35">
        <f>'Test Year Detail'!M62</f>
        <v>0</v>
      </c>
      <c r="J56" s="35">
        <f>'Test Year Detail'!N62</f>
        <v>0</v>
      </c>
      <c r="K56" s="35">
        <f>'Test Year Detail'!O62</f>
        <v>0</v>
      </c>
      <c r="L56" s="35">
        <f>'Test Year Detail'!P62</f>
        <v>0</v>
      </c>
      <c r="M56" s="35">
        <f>'Test Year Detail'!Q62</f>
        <v>0</v>
      </c>
      <c r="N56" s="35">
        <f>'Test Year Detail'!R62</f>
        <v>0</v>
      </c>
    </row>
    <row r="58" spans="1:14" x14ac:dyDescent="0.35">
      <c r="A58" s="26" t="s">
        <v>114</v>
      </c>
      <c r="E58" s="33">
        <f>E52-E54-E56</f>
        <v>4132932.0256492542</v>
      </c>
      <c r="F58" s="33">
        <f t="shared" ref="F58:N58" si="13">F52-F54-F56</f>
        <v>4262772.1353780227</v>
      </c>
      <c r="G58" s="33">
        <f t="shared" si="13"/>
        <v>4384191.3061422603</v>
      </c>
      <c r="H58" s="33">
        <f t="shared" si="13"/>
        <v>4513131.3812454091</v>
      </c>
      <c r="I58" s="33">
        <f t="shared" si="13"/>
        <v>4644803.2296986859</v>
      </c>
      <c r="J58" s="33">
        <f t="shared" si="13"/>
        <v>4777283.9819418509</v>
      </c>
      <c r="K58" s="33">
        <f t="shared" si="13"/>
        <v>4927481.1047744704</v>
      </c>
      <c r="L58" s="33">
        <f t="shared" si="13"/>
        <v>5076741.7110572448</v>
      </c>
      <c r="M58" s="33">
        <f t="shared" si="13"/>
        <v>4880147.7188392449</v>
      </c>
      <c r="N58" s="33">
        <f t="shared" si="13"/>
        <v>5036888.3166382518</v>
      </c>
    </row>
    <row r="59" spans="1:14" x14ac:dyDescent="0.35">
      <c r="A59" s="40" t="s">
        <v>33</v>
      </c>
      <c r="E59" s="33"/>
      <c r="F59" s="41">
        <f>(F58-E58)/E58</f>
        <v>3.1415979968451455E-2</v>
      </c>
      <c r="G59" s="41">
        <f t="shared" ref="G59:N59" si="14">(G58-F58)/F58</f>
        <v>2.8483617446155185E-2</v>
      </c>
      <c r="H59" s="41">
        <f t="shared" si="14"/>
        <v>2.941023009705428E-2</v>
      </c>
      <c r="I59" s="41">
        <f t="shared" si="14"/>
        <v>2.9175274843636755E-2</v>
      </c>
      <c r="J59" s="41">
        <f t="shared" si="14"/>
        <v>2.8522360515960785E-2</v>
      </c>
      <c r="K59" s="41">
        <f t="shared" si="14"/>
        <v>3.1439856495943136E-2</v>
      </c>
      <c r="L59" s="41">
        <f t="shared" si="14"/>
        <v>3.0291461927301692E-2</v>
      </c>
      <c r="M59" s="41">
        <f t="shared" si="14"/>
        <v>-3.8724442448945996E-2</v>
      </c>
      <c r="N59" s="41">
        <f t="shared" si="14"/>
        <v>3.2118002738713819E-2</v>
      </c>
    </row>
  </sheetData>
  <phoneticPr fontId="7" type="noConversion"/>
  <pageMargins left="0.75" right="0.75" top="1" bottom="1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52"/>
  </sheetPr>
  <dimension ref="A1:S145"/>
  <sheetViews>
    <sheetView topLeftCell="A4" zoomScaleNormal="100" workbookViewId="0">
      <selection activeCell="L20" sqref="L20"/>
    </sheetView>
  </sheetViews>
  <sheetFormatPr defaultColWidth="8.7265625" defaultRowHeight="15.5" x14ac:dyDescent="0.35"/>
  <cols>
    <col min="1" max="5" width="8.7265625" style="26"/>
    <col min="6" max="6" width="16.453125" style="26" customWidth="1"/>
    <col min="7" max="7" width="15.26953125" style="26" customWidth="1"/>
    <col min="8" max="8" width="19.453125" style="26" customWidth="1"/>
    <col min="9" max="9" width="16.26953125" style="26" customWidth="1"/>
    <col min="10" max="18" width="13.26953125" style="26" customWidth="1"/>
    <col min="19" max="19" width="13.26953125" style="26" bestFit="1" customWidth="1"/>
    <col min="20" max="16384" width="8.7265625" style="26"/>
  </cols>
  <sheetData>
    <row r="1" spans="1:11" x14ac:dyDescent="0.35">
      <c r="A1" s="25" t="s">
        <v>4</v>
      </c>
    </row>
    <row r="2" spans="1:11" x14ac:dyDescent="0.35">
      <c r="A2" s="25" t="s">
        <v>109</v>
      </c>
    </row>
    <row r="3" spans="1:11" x14ac:dyDescent="0.35">
      <c r="A3" s="25" t="s">
        <v>386</v>
      </c>
      <c r="H3" s="50"/>
    </row>
    <row r="5" spans="1:11" x14ac:dyDescent="0.35">
      <c r="A5" s="25" t="s">
        <v>280</v>
      </c>
    </row>
    <row r="6" spans="1:11" ht="54" customHeight="1" x14ac:dyDescent="0.35">
      <c r="A6" s="208" t="s">
        <v>281</v>
      </c>
      <c r="B6" s="206"/>
      <c r="C6" s="207"/>
      <c r="D6" s="207"/>
      <c r="E6" s="207"/>
      <c r="F6" s="114" t="s">
        <v>289</v>
      </c>
      <c r="G6" s="114" t="s">
        <v>282</v>
      </c>
      <c r="H6" s="114" t="s">
        <v>296</v>
      </c>
    </row>
    <row r="7" spans="1:11" ht="20.65" customHeight="1" x14ac:dyDescent="0.35">
      <c r="A7" s="26" t="s">
        <v>312</v>
      </c>
      <c r="F7" s="232">
        <v>17.11</v>
      </c>
      <c r="G7" s="213">
        <f>'Billing Data'!C171</f>
        <v>104153.90000000001</v>
      </c>
      <c r="H7" s="120">
        <f>F7*G7</f>
        <v>1782073.2290000001</v>
      </c>
    </row>
    <row r="8" spans="1:11" ht="9" customHeight="1" x14ac:dyDescent="0.35">
      <c r="F8" s="117"/>
      <c r="G8" s="165"/>
      <c r="H8" s="128"/>
    </row>
    <row r="9" spans="1:11" x14ac:dyDescent="0.35">
      <c r="G9" s="204" t="s">
        <v>284</v>
      </c>
      <c r="H9" s="128">
        <f>H7</f>
        <v>1782073.2290000001</v>
      </c>
    </row>
    <row r="11" spans="1:11" x14ac:dyDescent="0.35">
      <c r="A11" s="25" t="s">
        <v>285</v>
      </c>
    </row>
    <row r="12" spans="1:11" ht="54" customHeight="1" x14ac:dyDescent="0.35">
      <c r="A12" s="208" t="s">
        <v>281</v>
      </c>
      <c r="B12" s="206"/>
      <c r="C12" s="207"/>
      <c r="D12" s="207"/>
      <c r="E12" s="207"/>
      <c r="F12" s="114" t="s">
        <v>288</v>
      </c>
      <c r="G12" s="114" t="s">
        <v>290</v>
      </c>
      <c r="H12" s="114" t="s">
        <v>296</v>
      </c>
    </row>
    <row r="13" spans="1:11" ht="18.649999999999999" customHeight="1" x14ac:dyDescent="0.35">
      <c r="A13" s="26" t="s">
        <v>286</v>
      </c>
      <c r="F13" s="233">
        <v>5.58</v>
      </c>
      <c r="G13" s="165">
        <f>'Billing Data'!F161</f>
        <v>193960.7205</v>
      </c>
      <c r="H13" s="128">
        <f>F13*G13</f>
        <v>1082300.82039</v>
      </c>
    </row>
    <row r="14" spans="1:11" x14ac:dyDescent="0.35">
      <c r="A14" s="26" t="s">
        <v>287</v>
      </c>
      <c r="F14" s="234">
        <v>4.47</v>
      </c>
      <c r="G14" s="203">
        <f>'Billing Data'!F162</f>
        <v>113927.9105</v>
      </c>
      <c r="H14" s="35">
        <f>F14*G14</f>
        <v>509257.75993499998</v>
      </c>
    </row>
    <row r="15" spans="1:11" ht="10.15" customHeight="1" x14ac:dyDescent="0.35">
      <c r="F15" s="117"/>
      <c r="G15" s="165"/>
      <c r="H15" s="128"/>
    </row>
    <row r="16" spans="1:11" x14ac:dyDescent="0.35">
      <c r="G16" s="204" t="s">
        <v>291</v>
      </c>
      <c r="H16" s="128">
        <f>SUM(H13:H14)</f>
        <v>1591558.580325</v>
      </c>
      <c r="K16" s="29" t="s">
        <v>1566</v>
      </c>
    </row>
    <row r="17" spans="1:13" ht="8.65" customHeight="1" x14ac:dyDescent="0.35"/>
    <row r="18" spans="1:13" x14ac:dyDescent="0.35">
      <c r="G18" s="204" t="s">
        <v>664</v>
      </c>
      <c r="H18" s="128">
        <f>H9+H16</f>
        <v>3373631.8093250003</v>
      </c>
      <c r="K18" s="33">
        <f>Summary!F28</f>
        <v>3371082.18</v>
      </c>
      <c r="L18" s="440">
        <f>(H18-K18)/H18</f>
        <v>7.5575210014107495E-4</v>
      </c>
      <c r="M18" s="26" t="s">
        <v>435</v>
      </c>
    </row>
    <row r="19" spans="1:13" ht="8.65" customHeight="1" x14ac:dyDescent="0.35"/>
    <row r="20" spans="1:13" x14ac:dyDescent="0.35">
      <c r="G20" s="204" t="s">
        <v>293</v>
      </c>
      <c r="H20" s="470">
        <f>Summary!H26</f>
        <v>3993086.485827825</v>
      </c>
      <c r="L20" s="301">
        <v>1.4999999999999999E-2</v>
      </c>
      <c r="M20" s="26" t="s">
        <v>481</v>
      </c>
    </row>
    <row r="21" spans="1:13" ht="8.65" customHeight="1" x14ac:dyDescent="0.35"/>
    <row r="22" spans="1:13" x14ac:dyDescent="0.35">
      <c r="G22" s="50" t="s">
        <v>294</v>
      </c>
      <c r="H22" s="33">
        <f>H20-H18</f>
        <v>619454.67650282476</v>
      </c>
      <c r="L22" s="289"/>
      <c r="M22" s="40"/>
    </row>
    <row r="23" spans="1:13" ht="6.65" customHeight="1" x14ac:dyDescent="0.35"/>
    <row r="24" spans="1:13" ht="18" customHeight="1" x14ac:dyDescent="0.35">
      <c r="G24" s="204" t="s">
        <v>714</v>
      </c>
      <c r="H24" s="33">
        <f>SUM(Summary!U7:U10)</f>
        <v>0</v>
      </c>
    </row>
    <row r="25" spans="1:13" ht="6.65" customHeight="1" x14ac:dyDescent="0.35">
      <c r="G25" s="204"/>
      <c r="H25" s="33"/>
    </row>
    <row r="26" spans="1:13" ht="18" customHeight="1" x14ac:dyDescent="0.35">
      <c r="G26" s="50" t="s">
        <v>715</v>
      </c>
      <c r="H26" s="158">
        <f>H22-H24</f>
        <v>619454.67650282476</v>
      </c>
    </row>
    <row r="27" spans="1:13" ht="7.15" customHeight="1" x14ac:dyDescent="0.35"/>
    <row r="28" spans="1:13" x14ac:dyDescent="0.35">
      <c r="G28" s="50" t="s">
        <v>295</v>
      </c>
      <c r="H28" s="426">
        <f>H26/(H18+H24)</f>
        <v>0.18361656265826054</v>
      </c>
    </row>
    <row r="29" spans="1:13" x14ac:dyDescent="0.35">
      <c r="G29" s="50"/>
      <c r="H29" s="212"/>
    </row>
    <row r="30" spans="1:13" x14ac:dyDescent="0.35">
      <c r="A30" s="26" t="s">
        <v>313</v>
      </c>
      <c r="G30" s="50"/>
      <c r="H30" s="212"/>
    </row>
    <row r="32" spans="1:13" s="122" customFormat="1" ht="6.65" customHeight="1" x14ac:dyDescent="0.35">
      <c r="K32" s="210"/>
    </row>
    <row r="33" spans="1:19" x14ac:dyDescent="0.35">
      <c r="A33" s="25" t="s">
        <v>4</v>
      </c>
    </row>
    <row r="34" spans="1:19" x14ac:dyDescent="0.35">
      <c r="A34" s="25" t="s">
        <v>109</v>
      </c>
    </row>
    <row r="35" spans="1:19" x14ac:dyDescent="0.35">
      <c r="A35" s="25" t="s">
        <v>1588</v>
      </c>
      <c r="H35" s="50"/>
    </row>
    <row r="37" spans="1:19" x14ac:dyDescent="0.35">
      <c r="A37" s="25" t="s">
        <v>307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46.5" x14ac:dyDescent="0.35">
      <c r="A38" s="208" t="s">
        <v>281</v>
      </c>
      <c r="B38" s="206"/>
      <c r="C38" s="207"/>
      <c r="D38" s="207"/>
      <c r="E38" s="207"/>
      <c r="F38" s="114" t="s">
        <v>308</v>
      </c>
      <c r="G38" s="114" t="s">
        <v>309</v>
      </c>
      <c r="H38" s="114" t="s">
        <v>310</v>
      </c>
    </row>
    <row r="39" spans="1:19" ht="19.899999999999999" customHeight="1" x14ac:dyDescent="0.35">
      <c r="A39" s="26" t="s">
        <v>314</v>
      </c>
      <c r="F39" s="232">
        <f>F114</f>
        <v>9.1098976322656817</v>
      </c>
      <c r="G39" s="213">
        <f>'Billing Data'!E171</f>
        <v>104153.90000000001</v>
      </c>
      <c r="H39" s="120">
        <f>F39*G39</f>
        <v>948831.36700123665</v>
      </c>
    </row>
    <row r="40" spans="1:19" x14ac:dyDescent="0.35">
      <c r="F40" s="117"/>
      <c r="G40" s="165"/>
      <c r="H40" s="128"/>
    </row>
    <row r="41" spans="1:19" x14ac:dyDescent="0.35">
      <c r="G41" s="204" t="s">
        <v>368</v>
      </c>
      <c r="H41" s="128">
        <f>H39</f>
        <v>948831.36700123665</v>
      </c>
    </row>
    <row r="43" spans="1:19" x14ac:dyDescent="0.35">
      <c r="A43" s="25" t="s">
        <v>285</v>
      </c>
    </row>
    <row r="44" spans="1:19" ht="46.5" x14ac:dyDescent="0.35">
      <c r="A44" s="208" t="s">
        <v>281</v>
      </c>
      <c r="B44" s="206"/>
      <c r="C44" s="207"/>
      <c r="D44" s="207"/>
      <c r="E44" s="207"/>
      <c r="F44" s="114" t="s">
        <v>316</v>
      </c>
      <c r="G44" s="114" t="s">
        <v>488</v>
      </c>
      <c r="H44" s="114" t="s">
        <v>310</v>
      </c>
    </row>
    <row r="45" spans="1:19" ht="21" customHeight="1" x14ac:dyDescent="0.35">
      <c r="A45" s="26" t="s">
        <v>315</v>
      </c>
      <c r="F45" s="232">
        <f>F131</f>
        <v>6.4398049495707355</v>
      </c>
      <c r="G45" s="213">
        <f>'Billing Data'!E173</f>
        <v>472724.73975000001</v>
      </c>
      <c r="H45" s="209">
        <f>F45*G45</f>
        <v>3044255.1188265877</v>
      </c>
    </row>
    <row r="46" spans="1:19" x14ac:dyDescent="0.35">
      <c r="F46" s="214"/>
      <c r="G46" s="215"/>
      <c r="H46" s="216"/>
    </row>
    <row r="47" spans="1:19" x14ac:dyDescent="0.35">
      <c r="G47" s="204" t="s">
        <v>369</v>
      </c>
      <c r="H47" s="128">
        <f>SUM(H45:H46)</f>
        <v>3044255.1188265877</v>
      </c>
    </row>
    <row r="49" spans="1:19" x14ac:dyDescent="0.35">
      <c r="G49" s="204" t="s">
        <v>370</v>
      </c>
      <c r="H49" s="128">
        <f>H41+H47</f>
        <v>3993086.4858278241</v>
      </c>
    </row>
    <row r="51" spans="1:19" x14ac:dyDescent="0.35">
      <c r="G51" s="204" t="s">
        <v>293</v>
      </c>
      <c r="H51" s="33">
        <f>H20</f>
        <v>3993086.485827825</v>
      </c>
    </row>
    <row r="53" spans="1:19" x14ac:dyDescent="0.35">
      <c r="G53" s="50" t="s">
        <v>294</v>
      </c>
      <c r="H53" s="158">
        <f>H51-H49</f>
        <v>0</v>
      </c>
    </row>
    <row r="55" spans="1:19" x14ac:dyDescent="0.35">
      <c r="A55" s="26" t="s">
        <v>413</v>
      </c>
    </row>
    <row r="57" spans="1:19" s="402" customFormat="1" ht="4.1500000000000004" customHeight="1" x14ac:dyDescent="0.35"/>
    <row r="58" spans="1:19" x14ac:dyDescent="0.35">
      <c r="A58" s="25" t="s">
        <v>4</v>
      </c>
    </row>
    <row r="59" spans="1:19" x14ac:dyDescent="0.35">
      <c r="A59" s="25" t="s">
        <v>109</v>
      </c>
    </row>
    <row r="60" spans="1:19" x14ac:dyDescent="0.35">
      <c r="A60" s="25" t="s">
        <v>1671</v>
      </c>
      <c r="H60" s="50" t="s">
        <v>1655</v>
      </c>
      <c r="J60" s="51">
        <v>2014</v>
      </c>
      <c r="K60" s="51">
        <v>2015</v>
      </c>
      <c r="L60" s="51">
        <v>2016</v>
      </c>
      <c r="M60" s="51">
        <v>2017</v>
      </c>
      <c r="N60" s="51">
        <v>2018</v>
      </c>
      <c r="O60" s="51">
        <v>2019</v>
      </c>
      <c r="P60" s="51">
        <v>2020</v>
      </c>
      <c r="Q60" s="51">
        <v>2021</v>
      </c>
      <c r="R60" s="51">
        <v>2022</v>
      </c>
      <c r="S60" s="51">
        <v>2023</v>
      </c>
    </row>
    <row r="62" spans="1:19" x14ac:dyDescent="0.35">
      <c r="A62" s="25" t="s">
        <v>280</v>
      </c>
    </row>
    <row r="63" spans="1:19" ht="46.5" x14ac:dyDescent="0.35">
      <c r="A63" s="208" t="s">
        <v>281</v>
      </c>
      <c r="B63" s="206"/>
      <c r="C63" s="207"/>
      <c r="D63" s="207"/>
      <c r="E63" s="207"/>
      <c r="F63" s="114" t="s">
        <v>308</v>
      </c>
      <c r="G63" s="114" t="s">
        <v>309</v>
      </c>
      <c r="H63" s="114" t="s">
        <v>1673</v>
      </c>
    </row>
    <row r="64" spans="1:19" x14ac:dyDescent="0.35">
      <c r="A64" s="26" t="s">
        <v>1672</v>
      </c>
      <c r="F64" s="593">
        <f>17.11*(1+G92)</f>
        <v>19.629439592226891</v>
      </c>
      <c r="G64" s="213">
        <f>'Billing Data'!E171</f>
        <v>104153.90000000001</v>
      </c>
      <c r="H64" s="120">
        <f>F64*G64</f>
        <v>2044482.6883448407</v>
      </c>
      <c r="J64" s="128">
        <f>H66</f>
        <v>2044482.6883448407</v>
      </c>
      <c r="K64" s="33">
        <f>J64*(1+'Billing Data'!H191)</f>
        <v>2044482.6883448407</v>
      </c>
      <c r="L64" s="33">
        <f>K64*(1+'Billing Data'!I191)</f>
        <v>2054705.1017865646</v>
      </c>
      <c r="M64" s="33">
        <f>L64*(1+'Billing Data'!J191)*(1+M77)</f>
        <v>2230896.0642647627</v>
      </c>
      <c r="N64" s="33">
        <f>M64*(1+'Billing Data'!K191)</f>
        <v>2253205.0249074101</v>
      </c>
      <c r="O64" s="33">
        <f>N64*(1+'Billing Data'!L191)</f>
        <v>2275737.0751564843</v>
      </c>
      <c r="P64" s="33">
        <f>O64*(1+'Billing Data'!M191)*(1+P77)</f>
        <v>2470881.5293511525</v>
      </c>
      <c r="Q64" s="33">
        <f>P64*(1+'Billing Data'!N191)</f>
        <v>2495590.3446446639</v>
      </c>
      <c r="R64" s="33">
        <f>Q64*(1+'Billing Data'!O191)</f>
        <v>2520546.2480911105</v>
      </c>
      <c r="S64" s="33">
        <f>R64*(1+'Billing Data'!P191)*(1+S77)</f>
        <v>2736683.088864923</v>
      </c>
    </row>
    <row r="65" spans="1:19" x14ac:dyDescent="0.35">
      <c r="F65" s="117"/>
      <c r="G65" s="165"/>
      <c r="H65" s="128"/>
    </row>
    <row r="66" spans="1:19" x14ac:dyDescent="0.35">
      <c r="G66" s="204" t="s">
        <v>985</v>
      </c>
      <c r="H66" s="128">
        <f>H64</f>
        <v>2044482.6883448407</v>
      </c>
    </row>
    <row r="68" spans="1:19" x14ac:dyDescent="0.35">
      <c r="A68" s="25" t="s">
        <v>285</v>
      </c>
    </row>
    <row r="69" spans="1:19" ht="46.5" x14ac:dyDescent="0.35">
      <c r="A69" s="208" t="s">
        <v>281</v>
      </c>
      <c r="B69" s="206"/>
      <c r="C69" s="207"/>
      <c r="D69" s="207"/>
      <c r="E69" s="207"/>
      <c r="F69" s="114" t="s">
        <v>316</v>
      </c>
      <c r="G69" s="114" t="s">
        <v>488</v>
      </c>
      <c r="H69" s="114" t="s">
        <v>1673</v>
      </c>
    </row>
    <row r="70" spans="1:19" x14ac:dyDescent="0.35">
      <c r="A70" s="26" t="s">
        <v>286</v>
      </c>
      <c r="F70" s="594">
        <f>5.58*(1+G97)</f>
        <v>6.4016524210769177</v>
      </c>
      <c r="G70" s="165">
        <f>'Billing Data'!E175</f>
        <v>193960.7205</v>
      </c>
      <c r="H70" s="128">
        <f>F70*G70</f>
        <v>1241669.1159826482</v>
      </c>
      <c r="J70" s="128">
        <f>H70</f>
        <v>1241669.1159826482</v>
      </c>
      <c r="K70" s="33">
        <f>J70*(1+'Billing Data'!H188)</f>
        <v>1241669.1159826482</v>
      </c>
      <c r="L70" s="33">
        <f>K70*(1+'Billing Data'!I188)</f>
        <v>1247877.4615625613</v>
      </c>
      <c r="M70" s="33">
        <f>L70*(1+'Billing Data'!J188)*(1+M77)</f>
        <v>1351529.2832136017</v>
      </c>
      <c r="N70" s="33">
        <f>M70*(1+'Billing Data'!K188)</f>
        <v>1361665.7528377038</v>
      </c>
      <c r="O70" s="33">
        <f>N70*(1+'Billing Data'!L188)</f>
        <v>1371878.2459839866</v>
      </c>
      <c r="P70" s="33">
        <f>O70*(1+'Billing Data'!M188)*(1+P77)</f>
        <v>1485829.8827910314</v>
      </c>
      <c r="Q70" s="33">
        <f>P70*(1+'Billing Data'!N188)</f>
        <v>1496973.6069119642</v>
      </c>
      <c r="R70" s="33">
        <f>Q70*(1+'Billing Data'!O188)</f>
        <v>1508200.9089638041</v>
      </c>
      <c r="S70" s="33">
        <f>R70*(1+'Billing Data'!P188)*(1+S77)</f>
        <v>1633475.84696461</v>
      </c>
    </row>
    <row r="71" spans="1:19" x14ac:dyDescent="0.35">
      <c r="A71" s="26" t="s">
        <v>287</v>
      </c>
      <c r="F71" s="595">
        <f>F70*G95</f>
        <v>5.7614871789692259</v>
      </c>
      <c r="G71" s="203">
        <f>'Billing Data'!E176</f>
        <v>113927.9105</v>
      </c>
      <c r="H71" s="35">
        <f>F71*G71</f>
        <v>656394.19567250344</v>
      </c>
      <c r="I71" s="167"/>
      <c r="J71" s="35">
        <f>H71</f>
        <v>656394.19567250344</v>
      </c>
      <c r="K71" s="35">
        <f>J71*(1+'Billing Data'!H189)</f>
        <v>656394.19567250344</v>
      </c>
      <c r="L71" s="35">
        <f>K71*(1+'Billing Data'!I189)</f>
        <v>659676.16665086593</v>
      </c>
      <c r="M71" s="35">
        <f>L71*(1+'Billing Data'!J189)*(1+M77)</f>
        <v>714470.51824330352</v>
      </c>
      <c r="N71" s="35">
        <f>M71*(1+'Billing Data'!K189)</f>
        <v>719829.04713012837</v>
      </c>
      <c r="O71" s="35">
        <f>N71*(1+'Billing Data'!L189)</f>
        <v>725227.76498360443</v>
      </c>
      <c r="P71" s="35">
        <f>O71*(1+'Billing Data'!M189)*(1+P77)</f>
        <v>785466.9962125551</v>
      </c>
      <c r="Q71" s="35">
        <f>P71*(1+'Billing Data'!N189)</f>
        <v>791357.99868414935</v>
      </c>
      <c r="R71" s="35">
        <f>Q71*(1+'Billing Data'!O189)</f>
        <v>797293.18367428053</v>
      </c>
      <c r="S71" s="35">
        <f>R71*(1+'Billing Data'!P189)*(1+S77)</f>
        <v>863518.34874322545</v>
      </c>
    </row>
    <row r="72" spans="1:19" x14ac:dyDescent="0.35">
      <c r="F72" s="117"/>
      <c r="G72" s="165"/>
      <c r="H72" s="128"/>
    </row>
    <row r="73" spans="1:19" x14ac:dyDescent="0.35">
      <c r="G73" s="204" t="s">
        <v>369</v>
      </c>
      <c r="H73" s="128">
        <f>SUM(H70:H71)</f>
        <v>1898063.3116551517</v>
      </c>
      <c r="I73" s="404"/>
      <c r="J73" s="128">
        <f>SUM(J70:J72)</f>
        <v>1898063.3116551517</v>
      </c>
      <c r="K73" s="128">
        <f>SUM(K70:K72)</f>
        <v>1898063.3116551517</v>
      </c>
      <c r="L73" s="128">
        <f t="shared" ref="L73:S73" si="0">SUM(L70:L72)</f>
        <v>1907553.6282134273</v>
      </c>
      <c r="M73" s="128">
        <f t="shared" si="0"/>
        <v>2065999.8014569052</v>
      </c>
      <c r="N73" s="128">
        <f t="shared" si="0"/>
        <v>2081494.7999678322</v>
      </c>
      <c r="O73" s="128">
        <f t="shared" si="0"/>
        <v>2097106.0109675911</v>
      </c>
      <c r="P73" s="128">
        <f t="shared" si="0"/>
        <v>2271296.8790035862</v>
      </c>
      <c r="Q73" s="128">
        <f t="shared" si="0"/>
        <v>2288331.6055961135</v>
      </c>
      <c r="R73" s="128">
        <f t="shared" si="0"/>
        <v>2305494.0926380847</v>
      </c>
      <c r="S73" s="128">
        <f t="shared" si="0"/>
        <v>2496994.1957078353</v>
      </c>
    </row>
    <row r="75" spans="1:19" x14ac:dyDescent="0.35">
      <c r="G75" s="204" t="s">
        <v>986</v>
      </c>
      <c r="H75" s="128">
        <f>H66+H73</f>
        <v>3942545.9999999925</v>
      </c>
      <c r="J75" s="128">
        <f>J64+J73</f>
        <v>3942545.9999999925</v>
      </c>
      <c r="K75" s="128">
        <f t="shared" ref="K75:S75" si="1">K64+K73</f>
        <v>3942545.9999999925</v>
      </c>
      <c r="L75" s="128">
        <f t="shared" si="1"/>
        <v>3962258.7299999921</v>
      </c>
      <c r="M75" s="128">
        <f t="shared" si="1"/>
        <v>4296895.8657216681</v>
      </c>
      <c r="N75" s="128">
        <f t="shared" si="1"/>
        <v>4334699.8248752421</v>
      </c>
      <c r="O75" s="128">
        <f t="shared" si="1"/>
        <v>4372843.0861240756</v>
      </c>
      <c r="P75" s="128">
        <f t="shared" si="1"/>
        <v>4742178.4083547387</v>
      </c>
      <c r="Q75" s="128">
        <f t="shared" si="1"/>
        <v>4783921.9502407778</v>
      </c>
      <c r="R75" s="128">
        <f t="shared" si="1"/>
        <v>4826040.3407291956</v>
      </c>
      <c r="S75" s="128">
        <f t="shared" si="1"/>
        <v>5233677.2845727578</v>
      </c>
    </row>
    <row r="76" spans="1:19" ht="16" thickBot="1" x14ac:dyDescent="0.4">
      <c r="K76" s="165"/>
    </row>
    <row r="77" spans="1:19" ht="16" thickBot="1" x14ac:dyDescent="0.4">
      <c r="G77" s="204" t="s">
        <v>293</v>
      </c>
      <c r="H77" s="33">
        <v>3942546</v>
      </c>
      <c r="K77" s="165"/>
      <c r="M77" s="583">
        <v>7.4999999999999997E-2</v>
      </c>
      <c r="N77" s="169"/>
      <c r="O77" s="169"/>
      <c r="P77" s="583">
        <v>7.4999999999999997E-2</v>
      </c>
      <c r="Q77" s="169"/>
      <c r="R77" s="169"/>
      <c r="S77" s="583">
        <v>7.4999999999999997E-2</v>
      </c>
    </row>
    <row r="79" spans="1:19" x14ac:dyDescent="0.35">
      <c r="G79" s="204" t="s">
        <v>325</v>
      </c>
      <c r="H79" s="33">
        <f>Summary!H32</f>
        <v>3371082.18</v>
      </c>
    </row>
    <row r="81" spans="1:8" x14ac:dyDescent="0.35">
      <c r="G81" s="50" t="s">
        <v>1674</v>
      </c>
      <c r="H81" s="158">
        <f>H77-H79</f>
        <v>571463.81999999983</v>
      </c>
    </row>
    <row r="83" spans="1:8" x14ac:dyDescent="0.35">
      <c r="G83" s="50" t="s">
        <v>294</v>
      </c>
      <c r="H83" s="130">
        <f>H77-H75</f>
        <v>7.4505805969238281E-9</v>
      </c>
    </row>
    <row r="88" spans="1:8" x14ac:dyDescent="0.35">
      <c r="G88" s="50" t="s">
        <v>295</v>
      </c>
      <c r="H88" s="409">
        <f>H83/H18</f>
        <v>2.2084747293198387E-15</v>
      </c>
    </row>
    <row r="89" spans="1:8" x14ac:dyDescent="0.35">
      <c r="A89" s="26" t="s">
        <v>313</v>
      </c>
      <c r="G89" s="50"/>
      <c r="H89" s="212"/>
    </row>
    <row r="92" spans="1:8" x14ac:dyDescent="0.35">
      <c r="F92" s="204" t="s">
        <v>990</v>
      </c>
      <c r="G92" s="578">
        <f>G97</f>
        <v>0.14724953782740466</v>
      </c>
    </row>
    <row r="95" spans="1:8" x14ac:dyDescent="0.35">
      <c r="F95" s="204" t="s">
        <v>987</v>
      </c>
      <c r="G95" s="403">
        <v>0.9</v>
      </c>
    </row>
    <row r="97" spans="1:16" x14ac:dyDescent="0.35">
      <c r="F97" s="204" t="s">
        <v>989</v>
      </c>
      <c r="G97" s="408">
        <v>0.14724953782740466</v>
      </c>
    </row>
    <row r="99" spans="1:16" x14ac:dyDescent="0.35">
      <c r="F99" s="204" t="s">
        <v>992</v>
      </c>
      <c r="G99" s="410">
        <v>2</v>
      </c>
      <c r="H99" s="26" t="s">
        <v>991</v>
      </c>
    </row>
    <row r="100" spans="1:16" x14ac:dyDescent="0.35">
      <c r="F100" s="204"/>
      <c r="G100" s="580"/>
    </row>
    <row r="101" spans="1:16" x14ac:dyDescent="0.35">
      <c r="F101" s="204"/>
      <c r="G101" s="580"/>
    </row>
    <row r="102" spans="1:16" s="122" customFormat="1" ht="7.9" customHeight="1" x14ac:dyDescent="0.35"/>
    <row r="103" spans="1:16" x14ac:dyDescent="0.35">
      <c r="A103" s="134" t="s">
        <v>1578</v>
      </c>
    </row>
    <row r="105" spans="1:16" x14ac:dyDescent="0.35">
      <c r="F105" s="51" t="s">
        <v>37</v>
      </c>
      <c r="G105" s="51">
        <v>2013</v>
      </c>
      <c r="H105" s="51">
        <v>2014</v>
      </c>
      <c r="I105" s="51">
        <v>2015</v>
      </c>
      <c r="J105" s="51">
        <v>2016</v>
      </c>
      <c r="K105" s="51">
        <v>2017</v>
      </c>
      <c r="L105" s="51">
        <v>2018</v>
      </c>
      <c r="M105" s="51">
        <v>2019</v>
      </c>
      <c r="N105" s="51">
        <v>2020</v>
      </c>
      <c r="O105" s="51">
        <v>2021</v>
      </c>
      <c r="P105" s="51">
        <v>2022</v>
      </c>
    </row>
    <row r="106" spans="1:16" ht="7.9" customHeight="1" x14ac:dyDescent="0.35">
      <c r="F106" s="52"/>
    </row>
    <row r="107" spans="1:16" x14ac:dyDescent="0.35">
      <c r="A107" s="25" t="s">
        <v>302</v>
      </c>
      <c r="F107" s="52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</row>
    <row r="108" spans="1:16" x14ac:dyDescent="0.35">
      <c r="A108" s="26" t="s">
        <v>300</v>
      </c>
      <c r="F108" s="33">
        <f>Categories!D22</f>
        <v>948831.36700123665</v>
      </c>
      <c r="G108" s="33">
        <f>Categories!E40+Categories!E41+Categories!E39</f>
        <v>982040.46484627982</v>
      </c>
      <c r="H108" s="33">
        <f>Categories!F40+Categories!F41+Categories!F39</f>
        <v>1012491.0522759899</v>
      </c>
      <c r="I108" s="33">
        <f>Categories!G40+Categories!G41+Categories!G39</f>
        <v>1043889.7854005422</v>
      </c>
      <c r="J108" s="33">
        <f>Categories!H40+Categories!H41+Categories!H39</f>
        <v>1076266.3205733008</v>
      </c>
      <c r="K108" s="33">
        <f>Categories!I40+Categories!I41+Categories!I39</f>
        <v>1109651.2462576181</v>
      </c>
      <c r="L108" s="33">
        <f>Categories!J40+Categories!J41+Categories!J39</f>
        <v>1144076.1124748145</v>
      </c>
      <c r="M108" s="33">
        <f>Categories!K40+Categories!K41+Categories!K39</f>
        <v>1179573.4611875573</v>
      </c>
      <c r="N108" s="33">
        <f>Categories!L40+Categories!L41+Categories!L39</f>
        <v>1216176.857648531</v>
      </c>
      <c r="O108" s="33">
        <f>Categories!M40+Categories!M41+Categories!M39</f>
        <v>1253920.9227452194</v>
      </c>
      <c r="P108" s="33">
        <f>Categories!N40+Categories!N41+Categories!N39</f>
        <v>1292841.3663726628</v>
      </c>
    </row>
    <row r="109" spans="1:16" x14ac:dyDescent="0.35"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</row>
    <row r="110" spans="1:16" x14ac:dyDescent="0.35">
      <c r="A110" s="26" t="s">
        <v>276</v>
      </c>
      <c r="F110" s="165">
        <f>'Billing Data'!E171</f>
        <v>104153.90000000001</v>
      </c>
      <c r="G110" s="165">
        <f>'Billing Data'!G171</f>
        <v>104153.90000000001</v>
      </c>
      <c r="H110" s="165">
        <f>'Billing Data'!H171</f>
        <v>104153.90000000001</v>
      </c>
      <c r="I110" s="165">
        <f>'Billing Data'!I171</f>
        <v>104674.6695</v>
      </c>
      <c r="J110" s="165">
        <f>'Billing Data'!J171</f>
        <v>105721.416195</v>
      </c>
      <c r="K110" s="165">
        <f>'Billing Data'!K171</f>
        <v>106778.63035695</v>
      </c>
      <c r="L110" s="165">
        <f>'Billing Data'!L171</f>
        <v>107846.41666051951</v>
      </c>
      <c r="M110" s="165">
        <f>'Billing Data'!M171</f>
        <v>108924.8808271247</v>
      </c>
      <c r="N110" s="165">
        <f>'Billing Data'!N171</f>
        <v>110014.12963539595</v>
      </c>
      <c r="O110" s="165">
        <f>'Billing Data'!O171</f>
        <v>111114.27093174991</v>
      </c>
      <c r="P110" s="165">
        <f>'Billing Data'!P171</f>
        <v>112225.41364106741</v>
      </c>
    </row>
    <row r="112" spans="1:16" x14ac:dyDescent="0.35">
      <c r="A112" s="26" t="s">
        <v>299</v>
      </c>
      <c r="F112" s="305">
        <f>F108/F110</f>
        <v>9.1098976322656817</v>
      </c>
      <c r="G112" s="305">
        <f t="shared" ref="G112:P112" si="2">G108/G110</f>
        <v>9.4287440493949788</v>
      </c>
      <c r="H112" s="305">
        <f t="shared" si="2"/>
        <v>9.7211055205420998</v>
      </c>
      <c r="I112" s="305">
        <f t="shared" si="2"/>
        <v>9.9727067722009117</v>
      </c>
      <c r="J112" s="305">
        <f t="shared" si="2"/>
        <v>10.180210966793707</v>
      </c>
      <c r="K112" s="305">
        <f t="shared" si="2"/>
        <v>10.392072295253909</v>
      </c>
      <c r="L112" s="305">
        <f t="shared" si="2"/>
        <v>10.60838317953719</v>
      </c>
      <c r="M112" s="305">
        <f t="shared" si="2"/>
        <v>10.829238023768555</v>
      </c>
      <c r="N112" s="305">
        <f t="shared" si="2"/>
        <v>11.054733257256423</v>
      </c>
      <c r="O112" s="305">
        <f t="shared" si="2"/>
        <v>11.284967378451499</v>
      </c>
      <c r="P112" s="305">
        <f t="shared" si="2"/>
        <v>11.52004099987175</v>
      </c>
    </row>
    <row r="113" spans="1:16" ht="4.1500000000000004" customHeight="1" x14ac:dyDescent="0.35"/>
    <row r="114" spans="1:16" x14ac:dyDescent="0.35">
      <c r="A114" s="26" t="s">
        <v>671</v>
      </c>
      <c r="F114" s="235">
        <f>F108/F110</f>
        <v>9.1098976322656817</v>
      </c>
      <c r="G114" s="452">
        <f>F114</f>
        <v>9.1098976322656817</v>
      </c>
      <c r="H114" s="452">
        <f>G114</f>
        <v>9.1098976322656817</v>
      </c>
      <c r="I114" s="235">
        <f t="shared" ref="I114:O114" si="3">IF(I108/I110&lt;H114,H114,ROUNDUP(I108/I110,2))</f>
        <v>9.98</v>
      </c>
      <c r="J114" s="452">
        <f>I114</f>
        <v>9.98</v>
      </c>
      <c r="K114" s="452">
        <f>J114</f>
        <v>9.98</v>
      </c>
      <c r="L114" s="235">
        <f t="shared" si="3"/>
        <v>10.61</v>
      </c>
      <c r="M114" s="452">
        <f>L114</f>
        <v>10.61</v>
      </c>
      <c r="N114" s="452">
        <f>M114</f>
        <v>10.61</v>
      </c>
      <c r="O114" s="235">
        <f t="shared" si="3"/>
        <v>11.29</v>
      </c>
      <c r="P114" s="452">
        <f>O114</f>
        <v>11.29</v>
      </c>
    </row>
    <row r="115" spans="1:16" s="40" customFormat="1" x14ac:dyDescent="0.35">
      <c r="A115" s="40" t="s">
        <v>33</v>
      </c>
      <c r="F115" s="299"/>
      <c r="G115" s="41">
        <f>(G114-F114)/F114</f>
        <v>0</v>
      </c>
      <c r="H115" s="41">
        <f t="shared" ref="H115:P115" si="4">(H114-G114)/G114</f>
        <v>0</v>
      </c>
      <c r="I115" s="41">
        <f t="shared" si="4"/>
        <v>9.5511761257620134E-2</v>
      </c>
      <c r="J115" s="41">
        <f t="shared" si="4"/>
        <v>0</v>
      </c>
      <c r="K115" s="41">
        <f t="shared" si="4"/>
        <v>0</v>
      </c>
      <c r="L115" s="41">
        <f t="shared" si="4"/>
        <v>6.3126252505009917E-2</v>
      </c>
      <c r="M115" s="41">
        <f t="shared" si="4"/>
        <v>0</v>
      </c>
      <c r="N115" s="41">
        <f t="shared" si="4"/>
        <v>0</v>
      </c>
      <c r="O115" s="41">
        <f t="shared" si="4"/>
        <v>6.4090480678605066E-2</v>
      </c>
      <c r="P115" s="41">
        <f t="shared" si="4"/>
        <v>0</v>
      </c>
    </row>
    <row r="116" spans="1:16" x14ac:dyDescent="0.35">
      <c r="F116" s="117"/>
    </row>
    <row r="117" spans="1:16" x14ac:dyDescent="0.35">
      <c r="A117" s="26" t="s">
        <v>489</v>
      </c>
      <c r="F117" s="33">
        <f>F114*F110</f>
        <v>948831.36700123665</v>
      </c>
      <c r="G117" s="33">
        <f t="shared" ref="G117:P117" si="5">G114*G110</f>
        <v>948831.36700123665</v>
      </c>
      <c r="H117" s="33">
        <f t="shared" si="5"/>
        <v>948831.36700123665</v>
      </c>
      <c r="I117" s="33">
        <f t="shared" si="5"/>
        <v>1044653.2016100001</v>
      </c>
      <c r="J117" s="33">
        <f t="shared" si="5"/>
        <v>1055099.7336261</v>
      </c>
      <c r="K117" s="33">
        <f t="shared" si="5"/>
        <v>1065650.730962361</v>
      </c>
      <c r="L117" s="33">
        <f t="shared" si="5"/>
        <v>1144250.480768112</v>
      </c>
      <c r="M117" s="33">
        <f t="shared" si="5"/>
        <v>1155692.9855757931</v>
      </c>
      <c r="N117" s="33">
        <f t="shared" si="5"/>
        <v>1167249.9154315509</v>
      </c>
      <c r="O117" s="33">
        <f t="shared" si="5"/>
        <v>1254480.1188194563</v>
      </c>
      <c r="P117" s="33">
        <f t="shared" si="5"/>
        <v>1267024.920007651</v>
      </c>
    </row>
    <row r="118" spans="1:16" s="40" customFormat="1" x14ac:dyDescent="0.35">
      <c r="A118" s="40" t="s">
        <v>232</v>
      </c>
      <c r="F118" s="144">
        <f>F117-F108</f>
        <v>0</v>
      </c>
      <c r="G118" s="144">
        <f t="shared" ref="G118:P118" si="6">G117-G108</f>
        <v>-33209.097845043172</v>
      </c>
      <c r="H118" s="144">
        <f t="shared" si="6"/>
        <v>-63659.685274753254</v>
      </c>
      <c r="I118" s="144">
        <f t="shared" si="6"/>
        <v>763.41620945790783</v>
      </c>
      <c r="J118" s="144">
        <f t="shared" si="6"/>
        <v>-21166.58694720082</v>
      </c>
      <c r="K118" s="144">
        <f t="shared" si="6"/>
        <v>-44000.515295257093</v>
      </c>
      <c r="L118" s="144">
        <f t="shared" si="6"/>
        <v>174.36829329747707</v>
      </c>
      <c r="M118" s="144">
        <f t="shared" si="6"/>
        <v>-23880.475611764239</v>
      </c>
      <c r="N118" s="144">
        <f t="shared" si="6"/>
        <v>-48926.942216980038</v>
      </c>
      <c r="O118" s="144">
        <f t="shared" si="6"/>
        <v>559.19607423688285</v>
      </c>
      <c r="P118" s="144">
        <f t="shared" si="6"/>
        <v>-25816.446365011856</v>
      </c>
    </row>
    <row r="120" spans="1:16" x14ac:dyDescent="0.35">
      <c r="A120" s="26" t="s">
        <v>301</v>
      </c>
    </row>
    <row r="124" spans="1:16" x14ac:dyDescent="0.35">
      <c r="A124" s="25" t="s">
        <v>303</v>
      </c>
    </row>
    <row r="125" spans="1:16" x14ac:dyDescent="0.35">
      <c r="A125" s="26" t="s">
        <v>305</v>
      </c>
      <c r="F125" s="33">
        <f>Categories!C22</f>
        <v>3044255.1188265877</v>
      </c>
      <c r="G125" s="33">
        <f>Categories!E38</f>
        <v>3150891.5608029743</v>
      </c>
      <c r="H125" s="33">
        <f>Categories!F38</f>
        <v>3250281.0831020325</v>
      </c>
      <c r="I125" s="33">
        <f>Categories!G38</f>
        <v>3340301.5207417184</v>
      </c>
      <c r="J125" s="33">
        <f>Categories!H38</f>
        <v>3436865.0606721081</v>
      </c>
      <c r="K125" s="33">
        <f>Categories!I38</f>
        <v>3535151.9834410679</v>
      </c>
      <c r="L125" s="33">
        <f>Categories!J38</f>
        <v>3633207.8694670363</v>
      </c>
      <c r="M125" s="33">
        <f>Categories!K38</f>
        <v>3747907.6435869131</v>
      </c>
      <c r="N125" s="33">
        <f>Categories!L38</f>
        <v>3860564.8534087138</v>
      </c>
      <c r="O125" s="33">
        <f>Categories!M38</f>
        <v>3626226.7960940255</v>
      </c>
      <c r="P125" s="33">
        <f>Categories!N38</f>
        <v>3744046.9502655892</v>
      </c>
    </row>
    <row r="127" spans="1:16" x14ac:dyDescent="0.35">
      <c r="A127" s="26" t="s">
        <v>311</v>
      </c>
      <c r="F127" s="165">
        <f>'Billing Data'!E173</f>
        <v>472724.73975000001</v>
      </c>
      <c r="G127" s="165">
        <f>'Billing Data'!G178</f>
        <v>472724.73975000001</v>
      </c>
      <c r="H127" s="165">
        <f>'Billing Data'!H178</f>
        <v>472724.73975000001</v>
      </c>
      <c r="I127" s="165">
        <f>'Billing Data'!I178</f>
        <v>475088.36344874994</v>
      </c>
      <c r="J127" s="165">
        <f>'Billing Data'!J178</f>
        <v>478651.5261746156</v>
      </c>
      <c r="K127" s="165">
        <f>'Billing Data'!K178</f>
        <v>482241.41262092523</v>
      </c>
      <c r="L127" s="165">
        <f>'Billing Data'!L178</f>
        <v>485858.22321558226</v>
      </c>
      <c r="M127" s="165">
        <f>'Billing Data'!M178</f>
        <v>489502.15988969913</v>
      </c>
      <c r="N127" s="165">
        <f>'Billing Data'!N178</f>
        <v>493173.4260888719</v>
      </c>
      <c r="O127" s="165">
        <f>'Billing Data'!O178</f>
        <v>496872.22678453848</v>
      </c>
      <c r="P127" s="165">
        <f>'Billing Data'!P178</f>
        <v>500598.7684854226</v>
      </c>
    </row>
    <row r="128" spans="1:16" ht="15" customHeight="1" x14ac:dyDescent="0.35"/>
    <row r="129" spans="1:16" ht="15" customHeight="1" x14ac:dyDescent="0.35">
      <c r="A129" s="26" t="s">
        <v>304</v>
      </c>
      <c r="F129" s="305">
        <f>F125/F127</f>
        <v>6.4398049495707355</v>
      </c>
      <c r="G129" s="305">
        <f t="shared" ref="G129:P129" si="7">G125/G127</f>
        <v>6.6653832470653427</v>
      </c>
      <c r="H129" s="305">
        <f t="shared" si="7"/>
        <v>6.8756314400235121</v>
      </c>
      <c r="I129" s="305">
        <f t="shared" si="7"/>
        <v>7.030905780335015</v>
      </c>
      <c r="J129" s="305">
        <f t="shared" si="7"/>
        <v>7.1803073274194773</v>
      </c>
      <c r="K129" s="305">
        <f t="shared" si="7"/>
        <v>7.3306686048133729</v>
      </c>
      <c r="L129" s="305">
        <f t="shared" si="7"/>
        <v>7.4779178284174677</v>
      </c>
      <c r="M129" s="305">
        <f t="shared" si="7"/>
        <v>7.6565701863939468</v>
      </c>
      <c r="N129" s="305">
        <f t="shared" si="7"/>
        <v>7.8280066386079445</v>
      </c>
      <c r="O129" s="305">
        <f t="shared" si="7"/>
        <v>7.2981072408913024</v>
      </c>
      <c r="P129" s="305">
        <f t="shared" si="7"/>
        <v>7.4791373570360982</v>
      </c>
    </row>
    <row r="130" spans="1:16" ht="5.65" customHeight="1" x14ac:dyDescent="0.35">
      <c r="F130" s="305"/>
    </row>
    <row r="131" spans="1:16" x14ac:dyDescent="0.35">
      <c r="A131" s="26" t="s">
        <v>670</v>
      </c>
      <c r="F131" s="235">
        <f>F125/F127</f>
        <v>6.4398049495707355</v>
      </c>
      <c r="G131" s="452">
        <f>F131</f>
        <v>6.4398049495707355</v>
      </c>
      <c r="H131" s="452">
        <f>G131</f>
        <v>6.4398049495707355</v>
      </c>
      <c r="I131" s="235">
        <f t="shared" ref="I131:O131" si="8">IF(I125/I127&lt;H131,H131,ROUNDUP(I125/I127,2))</f>
        <v>7.04</v>
      </c>
      <c r="J131" s="452">
        <f>I131</f>
        <v>7.04</v>
      </c>
      <c r="K131" s="452">
        <f>J131</f>
        <v>7.04</v>
      </c>
      <c r="L131" s="235">
        <f t="shared" si="8"/>
        <v>7.4799999999999995</v>
      </c>
      <c r="M131" s="452">
        <f>L131</f>
        <v>7.4799999999999995</v>
      </c>
      <c r="N131" s="452">
        <f>M131</f>
        <v>7.4799999999999995</v>
      </c>
      <c r="O131" s="235">
        <f t="shared" si="8"/>
        <v>7.4799999999999995</v>
      </c>
      <c r="P131" s="452">
        <f>O131</f>
        <v>7.4799999999999995</v>
      </c>
    </row>
    <row r="132" spans="1:16" s="40" customFormat="1" x14ac:dyDescent="0.35">
      <c r="A132" s="40" t="s">
        <v>33</v>
      </c>
      <c r="F132" s="299"/>
      <c r="G132" s="41">
        <f t="shared" ref="G132:P132" si="9">(G131-F131)/F131</f>
        <v>0</v>
      </c>
      <c r="H132" s="41">
        <f t="shared" si="9"/>
        <v>0</v>
      </c>
      <c r="I132" s="41">
        <f t="shared" si="9"/>
        <v>9.3200812001188391E-2</v>
      </c>
      <c r="J132" s="41">
        <f t="shared" si="9"/>
        <v>0</v>
      </c>
      <c r="K132" s="41">
        <f t="shared" si="9"/>
        <v>0</v>
      </c>
      <c r="L132" s="41">
        <f t="shared" si="9"/>
        <v>6.2499999999999931E-2</v>
      </c>
      <c r="M132" s="41">
        <f t="shared" si="9"/>
        <v>0</v>
      </c>
      <c r="N132" s="41">
        <f t="shared" si="9"/>
        <v>0</v>
      </c>
      <c r="O132" s="41">
        <f t="shared" si="9"/>
        <v>0</v>
      </c>
      <c r="P132" s="41">
        <f t="shared" si="9"/>
        <v>0</v>
      </c>
    </row>
    <row r="133" spans="1:16" ht="16.899999999999999" customHeight="1" x14ac:dyDescent="0.35"/>
    <row r="134" spans="1:16" x14ac:dyDescent="0.35">
      <c r="A134" s="26" t="s">
        <v>490</v>
      </c>
      <c r="F134" s="33">
        <f>F131*F127</f>
        <v>3044255.1188265877</v>
      </c>
      <c r="G134" s="33">
        <f t="shared" ref="G134:P134" si="10">G131*G127</f>
        <v>3044255.1188265877</v>
      </c>
      <c r="H134" s="33">
        <f t="shared" si="10"/>
        <v>3044255.1188265877</v>
      </c>
      <c r="I134" s="33">
        <f t="shared" si="10"/>
        <v>3344622.0786791998</v>
      </c>
      <c r="J134" s="33">
        <f t="shared" si="10"/>
        <v>3369706.7442692937</v>
      </c>
      <c r="K134" s="33">
        <f t="shared" si="10"/>
        <v>3394979.5448513138</v>
      </c>
      <c r="L134" s="33">
        <f t="shared" si="10"/>
        <v>3634219.509652555</v>
      </c>
      <c r="M134" s="33">
        <f t="shared" si="10"/>
        <v>3661476.1559749492</v>
      </c>
      <c r="N134" s="33">
        <f t="shared" si="10"/>
        <v>3688937.2271447615</v>
      </c>
      <c r="O134" s="33">
        <f t="shared" si="10"/>
        <v>3716604.2563483478</v>
      </c>
      <c r="P134" s="33">
        <f t="shared" si="10"/>
        <v>3744478.7882709606</v>
      </c>
    </row>
    <row r="135" spans="1:16" s="40" customFormat="1" x14ac:dyDescent="0.35">
      <c r="A135" s="40" t="s">
        <v>232</v>
      </c>
      <c r="F135" s="144">
        <f t="shared" ref="F135:P135" si="11">F134-F125</f>
        <v>0</v>
      </c>
      <c r="G135" s="144">
        <f t="shared" si="11"/>
        <v>-106636.44197638659</v>
      </c>
      <c r="H135" s="144">
        <f t="shared" si="11"/>
        <v>-206025.96427544486</v>
      </c>
      <c r="I135" s="144">
        <f t="shared" si="11"/>
        <v>4320.5579374814406</v>
      </c>
      <c r="J135" s="144">
        <f t="shared" si="11"/>
        <v>-67158.316402814351</v>
      </c>
      <c r="K135" s="144">
        <f t="shared" si="11"/>
        <v>-140172.43858975405</v>
      </c>
      <c r="L135" s="144">
        <f t="shared" si="11"/>
        <v>1011.6401855186559</v>
      </c>
      <c r="M135" s="144">
        <f t="shared" si="11"/>
        <v>-86431.487611963879</v>
      </c>
      <c r="N135" s="144">
        <f t="shared" si="11"/>
        <v>-171627.62626395235</v>
      </c>
      <c r="O135" s="144">
        <f t="shared" si="11"/>
        <v>90377.460254322272</v>
      </c>
      <c r="P135" s="144">
        <f t="shared" si="11"/>
        <v>431.83800537139177</v>
      </c>
    </row>
    <row r="137" spans="1:16" x14ac:dyDescent="0.35">
      <c r="A137" s="26" t="s">
        <v>306</v>
      </c>
    </row>
    <row r="139" spans="1:16" x14ac:dyDescent="0.35">
      <c r="A139" s="26" t="s">
        <v>114</v>
      </c>
      <c r="F139" s="33">
        <f>F108+F125</f>
        <v>3993086.4858278241</v>
      </c>
      <c r="G139" s="33">
        <f t="shared" ref="G139:P139" si="12">G108+G125</f>
        <v>4132932.0256492542</v>
      </c>
      <c r="H139" s="33">
        <f t="shared" si="12"/>
        <v>4262772.1353780227</v>
      </c>
      <c r="I139" s="33">
        <f t="shared" si="12"/>
        <v>4384191.3061422603</v>
      </c>
      <c r="J139" s="33">
        <f t="shared" si="12"/>
        <v>4513131.3812454091</v>
      </c>
      <c r="K139" s="33">
        <f t="shared" si="12"/>
        <v>4644803.2296986859</v>
      </c>
      <c r="L139" s="33">
        <f t="shared" si="12"/>
        <v>4777283.9819418509</v>
      </c>
      <c r="M139" s="33">
        <f t="shared" si="12"/>
        <v>4927481.1047744704</v>
      </c>
      <c r="N139" s="33">
        <f t="shared" si="12"/>
        <v>5076741.7110572448</v>
      </c>
      <c r="O139" s="33">
        <f t="shared" si="12"/>
        <v>4880147.7188392449</v>
      </c>
      <c r="P139" s="33">
        <f t="shared" si="12"/>
        <v>5036888.3166382518</v>
      </c>
    </row>
    <row r="140" spans="1:16" x14ac:dyDescent="0.35">
      <c r="A140" s="40" t="s">
        <v>33</v>
      </c>
    </row>
    <row r="142" spans="1:16" x14ac:dyDescent="0.35">
      <c r="A142" s="66" t="s">
        <v>975</v>
      </c>
    </row>
    <row r="143" spans="1:16" x14ac:dyDescent="0.35">
      <c r="A143" s="26" t="s">
        <v>967</v>
      </c>
    </row>
    <row r="144" spans="1:16" x14ac:dyDescent="0.35">
      <c r="A144" s="26" t="s">
        <v>286</v>
      </c>
    </row>
    <row r="145" spans="1:1" x14ac:dyDescent="0.35">
      <c r="A145" s="26" t="s">
        <v>287</v>
      </c>
    </row>
  </sheetData>
  <phoneticPr fontId="7" type="noConversion"/>
  <pageMargins left="0.75" right="0.75" top="1" bottom="1" header="0.5" footer="0.5"/>
  <pageSetup scale="94" orientation="portrait" blackAndWhite="1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52"/>
  </sheetPr>
  <dimension ref="A1:S279"/>
  <sheetViews>
    <sheetView topLeftCell="A153" zoomScale="75" workbookViewId="0">
      <selection activeCell="N16" sqref="N16"/>
    </sheetView>
  </sheetViews>
  <sheetFormatPr defaultColWidth="8.7265625" defaultRowHeight="15.5" x14ac:dyDescent="0.35"/>
  <cols>
    <col min="1" max="1" width="4.7265625" style="26" customWidth="1"/>
    <col min="2" max="2" width="21.26953125" style="26" customWidth="1"/>
    <col min="3" max="15" width="13.453125" style="26" customWidth="1"/>
    <col min="16" max="17" width="14" style="26" customWidth="1"/>
    <col min="18" max="18" width="11.7265625" style="26" customWidth="1"/>
    <col min="19" max="19" width="11" style="26" customWidth="1"/>
    <col min="20" max="16384" width="8.7265625" style="26"/>
  </cols>
  <sheetData>
    <row r="1" spans="1:19" x14ac:dyDescent="0.35">
      <c r="A1" s="25" t="s">
        <v>4</v>
      </c>
    </row>
    <row r="2" spans="1:19" x14ac:dyDescent="0.35">
      <c r="A2" s="25" t="s">
        <v>109</v>
      </c>
      <c r="P2" s="50"/>
      <c r="Q2" s="50"/>
    </row>
    <row r="3" spans="1:19" x14ac:dyDescent="0.35">
      <c r="A3" s="25" t="s">
        <v>270</v>
      </c>
    </row>
    <row r="4" spans="1:19" x14ac:dyDescent="0.35">
      <c r="O4" s="585"/>
      <c r="P4" s="28" t="s">
        <v>5</v>
      </c>
      <c r="Q4" s="27"/>
    </row>
    <row r="5" spans="1:19" ht="30" x14ac:dyDescent="0.35">
      <c r="C5" s="53">
        <v>40544</v>
      </c>
      <c r="D5" s="53">
        <v>40576</v>
      </c>
      <c r="E5" s="53">
        <v>40605</v>
      </c>
      <c r="F5" s="53">
        <v>40637</v>
      </c>
      <c r="G5" s="53">
        <v>40668</v>
      </c>
      <c r="H5" s="53">
        <v>40700</v>
      </c>
      <c r="I5" s="53">
        <v>40731</v>
      </c>
      <c r="J5" s="53">
        <v>40763</v>
      </c>
      <c r="K5" s="53">
        <v>40795</v>
      </c>
      <c r="L5" s="53">
        <v>40826</v>
      </c>
      <c r="M5" s="53">
        <v>40858</v>
      </c>
      <c r="N5" s="53">
        <v>40889</v>
      </c>
      <c r="O5" s="54" t="s">
        <v>32</v>
      </c>
      <c r="P5" s="46" t="s">
        <v>948</v>
      </c>
      <c r="Q5" s="154"/>
    </row>
    <row r="6" spans="1:19" ht="16.899999999999999" customHeight="1" x14ac:dyDescent="0.35">
      <c r="A6" s="25" t="s">
        <v>266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1"/>
      <c r="Q6" s="181"/>
    </row>
    <row r="7" spans="1:19" x14ac:dyDescent="0.35">
      <c r="B7" s="182" t="s">
        <v>265</v>
      </c>
    </row>
    <row r="8" spans="1:19" x14ac:dyDescent="0.35">
      <c r="B8" s="182">
        <v>0</v>
      </c>
      <c r="C8" s="90">
        <v>1376</v>
      </c>
      <c r="D8" s="91">
        <v>1260</v>
      </c>
      <c r="E8" s="91">
        <v>1006</v>
      </c>
      <c r="F8" s="91">
        <v>851</v>
      </c>
      <c r="G8" s="91">
        <v>748</v>
      </c>
      <c r="H8" s="91">
        <v>732</v>
      </c>
      <c r="I8" s="91">
        <v>718</v>
      </c>
      <c r="J8" s="91">
        <v>677</v>
      </c>
      <c r="K8" s="91">
        <v>661</v>
      </c>
      <c r="L8" s="91">
        <v>594</v>
      </c>
      <c r="M8" s="91">
        <v>516</v>
      </c>
      <c r="N8" s="309">
        <v>461</v>
      </c>
      <c r="O8" s="186">
        <f>SUM(C8:N8)</f>
        <v>9600</v>
      </c>
      <c r="P8" s="186">
        <f t="shared" ref="P8:P39" si="0">SUM(C8:N8)*(1-$L$160)</f>
        <v>9456</v>
      </c>
      <c r="Q8" s="182"/>
      <c r="R8" s="244">
        <f>P8/$P$68</f>
        <v>9.0788727066389199E-2</v>
      </c>
      <c r="S8" s="482">
        <f>+R8</f>
        <v>9.0788727066389199E-2</v>
      </c>
    </row>
    <row r="9" spans="1:19" x14ac:dyDescent="0.35">
      <c r="B9" s="182">
        <v>1000</v>
      </c>
      <c r="C9" s="183">
        <v>928</v>
      </c>
      <c r="D9" s="52">
        <v>908</v>
      </c>
      <c r="E9" s="52">
        <v>1061</v>
      </c>
      <c r="F9" s="52">
        <v>963</v>
      </c>
      <c r="G9" s="52">
        <v>1041</v>
      </c>
      <c r="H9" s="52">
        <v>909</v>
      </c>
      <c r="I9" s="52">
        <v>902</v>
      </c>
      <c r="J9" s="52">
        <v>878</v>
      </c>
      <c r="K9" s="52">
        <v>928</v>
      </c>
      <c r="L9" s="52">
        <v>988</v>
      </c>
      <c r="M9" s="52">
        <v>1103</v>
      </c>
      <c r="N9" s="310">
        <v>1063</v>
      </c>
      <c r="O9" s="187">
        <f t="shared" ref="O9:O66" si="1">SUM(C9:N9)</f>
        <v>11672</v>
      </c>
      <c r="P9" s="187">
        <f t="shared" si="0"/>
        <v>11496.92</v>
      </c>
      <c r="Q9" s="182"/>
      <c r="R9" s="244">
        <f t="shared" ref="R9:R66" si="2">P9/$P$68</f>
        <v>0.11038396065821821</v>
      </c>
      <c r="S9" s="482">
        <f>+S8+R9</f>
        <v>0.20117268772460739</v>
      </c>
    </row>
    <row r="10" spans="1:19" x14ac:dyDescent="0.35">
      <c r="B10" s="182">
        <v>2000</v>
      </c>
      <c r="C10" s="183">
        <v>1277</v>
      </c>
      <c r="D10" s="52">
        <v>1378</v>
      </c>
      <c r="E10" s="52">
        <v>1496</v>
      </c>
      <c r="F10" s="52">
        <v>1434</v>
      </c>
      <c r="G10" s="52">
        <v>1464</v>
      </c>
      <c r="H10" s="52">
        <v>1376</v>
      </c>
      <c r="I10" s="52">
        <v>1327</v>
      </c>
      <c r="J10" s="52">
        <v>1367</v>
      </c>
      <c r="K10" s="52">
        <v>1355</v>
      </c>
      <c r="L10" s="52">
        <v>1479</v>
      </c>
      <c r="M10" s="52">
        <v>1665</v>
      </c>
      <c r="N10" s="310">
        <v>1510</v>
      </c>
      <c r="O10" s="187">
        <f t="shared" si="1"/>
        <v>17128</v>
      </c>
      <c r="P10" s="187">
        <f t="shared" si="0"/>
        <v>16871.079999999998</v>
      </c>
      <c r="Q10" s="182"/>
      <c r="R10" s="244">
        <f t="shared" si="2"/>
        <v>0.16198222054094938</v>
      </c>
      <c r="S10" s="482">
        <f>+S9+R10</f>
        <v>0.36315490826555674</v>
      </c>
    </row>
    <row r="11" spans="1:19" x14ac:dyDescent="0.35">
      <c r="B11" s="182">
        <v>3000</v>
      </c>
      <c r="C11" s="183">
        <v>1289</v>
      </c>
      <c r="D11" s="52">
        <v>1417</v>
      </c>
      <c r="E11" s="52">
        <v>1480</v>
      </c>
      <c r="F11" s="52">
        <v>1385</v>
      </c>
      <c r="G11" s="52">
        <v>1536</v>
      </c>
      <c r="H11" s="52">
        <v>1388</v>
      </c>
      <c r="I11" s="52">
        <v>1376</v>
      </c>
      <c r="J11" s="52">
        <v>1389</v>
      </c>
      <c r="K11" s="52">
        <v>1428</v>
      </c>
      <c r="L11" s="52">
        <v>1540</v>
      </c>
      <c r="M11" s="52">
        <v>1647</v>
      </c>
      <c r="N11" s="310">
        <v>1558</v>
      </c>
      <c r="O11" s="187">
        <f t="shared" si="1"/>
        <v>17433</v>
      </c>
      <c r="P11" s="187">
        <f t="shared" si="0"/>
        <v>17171.505000000001</v>
      </c>
      <c r="Q11" s="182"/>
      <c r="R11" s="244">
        <f t="shared" si="2"/>
        <v>0.16486665405712114</v>
      </c>
      <c r="S11" s="482">
        <f t="shared" ref="S11:S66" si="3">+S10+R11</f>
        <v>0.52802156232267783</v>
      </c>
    </row>
    <row r="12" spans="1:19" x14ac:dyDescent="0.35">
      <c r="B12" s="182">
        <v>4000</v>
      </c>
      <c r="C12" s="183">
        <v>1194</v>
      </c>
      <c r="D12" s="52">
        <v>1184</v>
      </c>
      <c r="E12" s="52">
        <v>1258</v>
      </c>
      <c r="F12" s="52">
        <v>1219</v>
      </c>
      <c r="G12" s="52">
        <v>1259</v>
      </c>
      <c r="H12" s="52">
        <v>1200</v>
      </c>
      <c r="I12" s="52">
        <v>1179</v>
      </c>
      <c r="J12" s="52">
        <v>1176</v>
      </c>
      <c r="K12" s="52">
        <v>1217</v>
      </c>
      <c r="L12" s="52">
        <v>1301</v>
      </c>
      <c r="M12" s="52">
        <v>1321</v>
      </c>
      <c r="N12" s="310">
        <v>1274</v>
      </c>
      <c r="O12" s="187">
        <f t="shared" si="1"/>
        <v>14782</v>
      </c>
      <c r="P12" s="187">
        <f t="shared" si="0"/>
        <v>14560.27</v>
      </c>
      <c r="Q12" s="182"/>
      <c r="R12" s="244">
        <f t="shared" si="2"/>
        <v>0.13979572536410054</v>
      </c>
      <c r="S12" s="482">
        <f t="shared" si="3"/>
        <v>0.66781728768677839</v>
      </c>
    </row>
    <row r="13" spans="1:19" x14ac:dyDescent="0.35">
      <c r="B13" s="182">
        <v>5000</v>
      </c>
      <c r="C13" s="183">
        <v>899</v>
      </c>
      <c r="D13" s="52">
        <v>939</v>
      </c>
      <c r="E13" s="52">
        <v>931</v>
      </c>
      <c r="F13" s="52">
        <v>1000</v>
      </c>
      <c r="G13" s="52">
        <v>1009</v>
      </c>
      <c r="H13" s="52">
        <v>967</v>
      </c>
      <c r="I13" s="52">
        <v>978</v>
      </c>
      <c r="J13" s="52">
        <v>1011</v>
      </c>
      <c r="K13" s="52">
        <v>935</v>
      </c>
      <c r="L13" s="52">
        <v>924</v>
      </c>
      <c r="M13" s="52">
        <v>917</v>
      </c>
      <c r="N13" s="310">
        <v>936</v>
      </c>
      <c r="O13" s="187">
        <f t="shared" si="1"/>
        <v>11446</v>
      </c>
      <c r="P13" s="187">
        <f t="shared" si="0"/>
        <v>11274.31</v>
      </c>
      <c r="Q13" s="182"/>
      <c r="R13" s="244">
        <f t="shared" si="2"/>
        <v>0.10824664270853028</v>
      </c>
      <c r="S13" s="482">
        <f t="shared" si="3"/>
        <v>0.77606393039530863</v>
      </c>
    </row>
    <row r="14" spans="1:19" x14ac:dyDescent="0.35">
      <c r="B14" s="182">
        <v>6000</v>
      </c>
      <c r="C14" s="183">
        <v>601</v>
      </c>
      <c r="D14" s="52">
        <v>595</v>
      </c>
      <c r="E14" s="52">
        <v>560</v>
      </c>
      <c r="F14" s="52">
        <v>621</v>
      </c>
      <c r="G14" s="52">
        <v>621</v>
      </c>
      <c r="H14" s="52">
        <v>702</v>
      </c>
      <c r="I14" s="52">
        <v>641</v>
      </c>
      <c r="J14" s="52">
        <v>686</v>
      </c>
      <c r="K14" s="52">
        <v>697</v>
      </c>
      <c r="L14" s="52">
        <v>670</v>
      </c>
      <c r="M14" s="52">
        <v>583</v>
      </c>
      <c r="N14" s="310">
        <v>605</v>
      </c>
      <c r="O14" s="187">
        <f t="shared" si="1"/>
        <v>7582</v>
      </c>
      <c r="P14" s="187">
        <f t="shared" si="0"/>
        <v>7468.2699999999995</v>
      </c>
      <c r="Q14" s="182"/>
      <c r="R14" s="244">
        <f t="shared" si="2"/>
        <v>7.1704180064308634E-2</v>
      </c>
      <c r="S14" s="482">
        <f t="shared" si="3"/>
        <v>0.84776811045961731</v>
      </c>
    </row>
    <row r="15" spans="1:19" x14ac:dyDescent="0.35">
      <c r="B15" s="182">
        <v>7000</v>
      </c>
      <c r="C15" s="183">
        <v>402</v>
      </c>
      <c r="D15" s="52">
        <v>352</v>
      </c>
      <c r="E15" s="52">
        <v>354</v>
      </c>
      <c r="F15" s="52">
        <v>408</v>
      </c>
      <c r="G15" s="52">
        <v>366</v>
      </c>
      <c r="H15" s="52">
        <v>436</v>
      </c>
      <c r="I15" s="52">
        <v>434</v>
      </c>
      <c r="J15" s="52">
        <v>482</v>
      </c>
      <c r="K15" s="52">
        <v>473</v>
      </c>
      <c r="L15" s="52">
        <v>438</v>
      </c>
      <c r="M15" s="52">
        <v>355</v>
      </c>
      <c r="N15" s="310">
        <v>414</v>
      </c>
      <c r="O15" s="187">
        <f t="shared" si="1"/>
        <v>4914</v>
      </c>
      <c r="P15" s="187">
        <f t="shared" si="0"/>
        <v>4840.29</v>
      </c>
      <c r="Q15" s="182"/>
      <c r="R15" s="244">
        <f t="shared" si="2"/>
        <v>4.647247966710797E-2</v>
      </c>
      <c r="S15" s="482">
        <f t="shared" si="3"/>
        <v>0.8942405901267253</v>
      </c>
    </row>
    <row r="16" spans="1:19" x14ac:dyDescent="0.35">
      <c r="B16" s="182">
        <v>8000</v>
      </c>
      <c r="C16" s="183">
        <v>262</v>
      </c>
      <c r="D16" s="52">
        <v>238</v>
      </c>
      <c r="E16" s="52">
        <v>209</v>
      </c>
      <c r="F16" s="52">
        <v>238</v>
      </c>
      <c r="G16" s="52">
        <v>221</v>
      </c>
      <c r="H16" s="52">
        <v>285</v>
      </c>
      <c r="I16" s="52">
        <v>285</v>
      </c>
      <c r="J16" s="52">
        <v>300</v>
      </c>
      <c r="K16" s="52">
        <v>283</v>
      </c>
      <c r="L16" s="52">
        <v>256</v>
      </c>
      <c r="M16" s="52">
        <v>186</v>
      </c>
      <c r="N16" s="310">
        <v>258</v>
      </c>
      <c r="O16" s="187">
        <f t="shared" si="1"/>
        <v>3021</v>
      </c>
      <c r="P16" s="187">
        <f t="shared" si="0"/>
        <v>2975.6849999999999</v>
      </c>
      <c r="Q16" s="182"/>
      <c r="R16" s="244">
        <f t="shared" si="2"/>
        <v>2.8570077548704349E-2</v>
      </c>
      <c r="S16" s="482">
        <f t="shared" si="3"/>
        <v>0.92281066767542963</v>
      </c>
    </row>
    <row r="17" spans="2:19" x14ac:dyDescent="0.35">
      <c r="B17" s="182">
        <v>9000</v>
      </c>
      <c r="C17" s="183">
        <v>148</v>
      </c>
      <c r="D17" s="52">
        <v>129</v>
      </c>
      <c r="E17" s="52">
        <v>104</v>
      </c>
      <c r="F17" s="52">
        <v>166</v>
      </c>
      <c r="G17" s="52">
        <v>150</v>
      </c>
      <c r="H17" s="52">
        <v>207</v>
      </c>
      <c r="I17" s="52">
        <v>222</v>
      </c>
      <c r="J17" s="52">
        <v>189</v>
      </c>
      <c r="K17" s="52">
        <v>192</v>
      </c>
      <c r="L17" s="52">
        <v>146</v>
      </c>
      <c r="M17" s="52">
        <v>137</v>
      </c>
      <c r="N17" s="310">
        <v>166</v>
      </c>
      <c r="O17" s="187">
        <f t="shared" si="1"/>
        <v>1956</v>
      </c>
      <c r="P17" s="187">
        <f t="shared" si="0"/>
        <v>1926.66</v>
      </c>
      <c r="Q17" s="182"/>
      <c r="R17" s="244">
        <f t="shared" si="2"/>
        <v>1.8498203139776799E-2</v>
      </c>
      <c r="S17" s="482">
        <f t="shared" si="3"/>
        <v>0.94130887081520642</v>
      </c>
    </row>
    <row r="18" spans="2:19" x14ac:dyDescent="0.35">
      <c r="B18" s="182">
        <v>10000</v>
      </c>
      <c r="C18" s="183">
        <v>89</v>
      </c>
      <c r="D18" s="52">
        <v>83</v>
      </c>
      <c r="E18" s="52">
        <v>68</v>
      </c>
      <c r="F18" s="52">
        <v>110</v>
      </c>
      <c r="G18" s="52">
        <v>85</v>
      </c>
      <c r="H18" s="52">
        <v>126</v>
      </c>
      <c r="I18" s="52">
        <v>154</v>
      </c>
      <c r="J18" s="52">
        <v>142</v>
      </c>
      <c r="K18" s="52">
        <v>136</v>
      </c>
      <c r="L18" s="52">
        <v>99</v>
      </c>
      <c r="M18" s="52">
        <v>85</v>
      </c>
      <c r="N18" s="310">
        <v>114</v>
      </c>
      <c r="O18" s="187">
        <f t="shared" si="1"/>
        <v>1291</v>
      </c>
      <c r="P18" s="187">
        <f t="shared" si="0"/>
        <v>1271.635</v>
      </c>
      <c r="Q18" s="182"/>
      <c r="R18" s="244">
        <f t="shared" si="2"/>
        <v>1.2209192358615464E-2</v>
      </c>
      <c r="S18" s="482">
        <f t="shared" si="3"/>
        <v>0.95351806317382193</v>
      </c>
    </row>
    <row r="19" spans="2:19" x14ac:dyDescent="0.35">
      <c r="B19" s="182">
        <v>11000</v>
      </c>
      <c r="C19" s="183">
        <v>68</v>
      </c>
      <c r="D19" s="52">
        <v>48</v>
      </c>
      <c r="E19" s="52">
        <v>51</v>
      </c>
      <c r="F19" s="52">
        <v>76</v>
      </c>
      <c r="G19" s="52">
        <v>40</v>
      </c>
      <c r="H19" s="52">
        <v>99</v>
      </c>
      <c r="I19" s="52">
        <v>106</v>
      </c>
      <c r="J19" s="52">
        <v>86</v>
      </c>
      <c r="K19" s="52">
        <v>88</v>
      </c>
      <c r="L19" s="52">
        <v>61</v>
      </c>
      <c r="M19" s="52">
        <v>44</v>
      </c>
      <c r="N19" s="310">
        <v>80</v>
      </c>
      <c r="O19" s="187">
        <f t="shared" si="1"/>
        <v>847</v>
      </c>
      <c r="P19" s="187">
        <f t="shared" si="0"/>
        <v>834.29499999999996</v>
      </c>
      <c r="Q19" s="182"/>
      <c r="R19" s="244">
        <f t="shared" si="2"/>
        <v>8.0102137317949636E-3</v>
      </c>
      <c r="S19" s="482">
        <f t="shared" si="3"/>
        <v>0.96152827690561693</v>
      </c>
    </row>
    <row r="20" spans="2:19" x14ac:dyDescent="0.35">
      <c r="B20" s="182">
        <v>12000</v>
      </c>
      <c r="C20" s="183">
        <v>36</v>
      </c>
      <c r="D20" s="52">
        <v>36</v>
      </c>
      <c r="E20" s="52">
        <v>28</v>
      </c>
      <c r="F20" s="52">
        <v>39</v>
      </c>
      <c r="G20" s="52">
        <v>43</v>
      </c>
      <c r="H20" s="52">
        <v>63</v>
      </c>
      <c r="I20" s="52">
        <v>76</v>
      </c>
      <c r="J20" s="52">
        <v>63</v>
      </c>
      <c r="K20" s="52">
        <v>56</v>
      </c>
      <c r="L20" s="52">
        <v>37</v>
      </c>
      <c r="M20" s="52">
        <v>30</v>
      </c>
      <c r="N20" s="310">
        <v>59</v>
      </c>
      <c r="O20" s="187">
        <f t="shared" si="1"/>
        <v>566</v>
      </c>
      <c r="P20" s="187">
        <f t="shared" si="0"/>
        <v>557.51</v>
      </c>
      <c r="Q20" s="182"/>
      <c r="R20" s="244">
        <f t="shared" si="2"/>
        <v>5.3527520332891966E-3</v>
      </c>
      <c r="S20" s="482">
        <f t="shared" si="3"/>
        <v>0.96688102893890615</v>
      </c>
    </row>
    <row r="21" spans="2:19" x14ac:dyDescent="0.35">
      <c r="B21" s="182">
        <v>13000</v>
      </c>
      <c r="C21" s="183">
        <v>29</v>
      </c>
      <c r="D21" s="52">
        <v>38</v>
      </c>
      <c r="E21" s="52">
        <v>19</v>
      </c>
      <c r="F21" s="52">
        <v>48</v>
      </c>
      <c r="G21" s="52">
        <v>25</v>
      </c>
      <c r="H21" s="52">
        <v>29</v>
      </c>
      <c r="I21" s="52">
        <v>57</v>
      </c>
      <c r="J21" s="52">
        <v>50</v>
      </c>
      <c r="K21" s="52">
        <v>39</v>
      </c>
      <c r="L21" s="52">
        <v>35</v>
      </c>
      <c r="M21" s="52">
        <v>21</v>
      </c>
      <c r="N21" s="310">
        <v>52</v>
      </c>
      <c r="O21" s="187">
        <f t="shared" si="1"/>
        <v>442</v>
      </c>
      <c r="P21" s="187">
        <f t="shared" si="0"/>
        <v>435.37</v>
      </c>
      <c r="Q21" s="182"/>
      <c r="R21" s="244">
        <f t="shared" si="2"/>
        <v>4.1800643086816695E-3</v>
      </c>
      <c r="S21" s="482">
        <f t="shared" si="3"/>
        <v>0.97106109324758783</v>
      </c>
    </row>
    <row r="22" spans="2:19" x14ac:dyDescent="0.35">
      <c r="B22" s="182">
        <v>14000</v>
      </c>
      <c r="C22" s="183">
        <v>13</v>
      </c>
      <c r="D22" s="52">
        <v>18</v>
      </c>
      <c r="E22" s="52">
        <v>15</v>
      </c>
      <c r="F22" s="52">
        <v>35</v>
      </c>
      <c r="G22" s="52">
        <v>21</v>
      </c>
      <c r="H22" s="52">
        <v>32</v>
      </c>
      <c r="I22" s="52">
        <v>49</v>
      </c>
      <c r="J22" s="52">
        <v>40</v>
      </c>
      <c r="K22" s="52">
        <v>30</v>
      </c>
      <c r="L22" s="52">
        <v>20</v>
      </c>
      <c r="M22" s="52">
        <v>15</v>
      </c>
      <c r="N22" s="310">
        <v>35</v>
      </c>
      <c r="O22" s="187">
        <f t="shared" si="1"/>
        <v>323</v>
      </c>
      <c r="P22" s="187">
        <f t="shared" si="0"/>
        <v>318.15499999999997</v>
      </c>
      <c r="Q22" s="182"/>
      <c r="R22" s="244">
        <f t="shared" si="2"/>
        <v>3.0546623794212198E-3</v>
      </c>
      <c r="S22" s="482">
        <f t="shared" si="3"/>
        <v>0.97411575562700903</v>
      </c>
    </row>
    <row r="23" spans="2:19" x14ac:dyDescent="0.35">
      <c r="B23" s="182">
        <v>15000</v>
      </c>
      <c r="C23" s="183">
        <v>23</v>
      </c>
      <c r="D23" s="52">
        <v>21</v>
      </c>
      <c r="E23" s="52">
        <v>15</v>
      </c>
      <c r="F23" s="52">
        <v>20</v>
      </c>
      <c r="G23" s="52">
        <v>15</v>
      </c>
      <c r="H23" s="52">
        <v>28</v>
      </c>
      <c r="I23" s="52">
        <v>37</v>
      </c>
      <c r="J23" s="52">
        <v>29</v>
      </c>
      <c r="K23" s="52">
        <v>32</v>
      </c>
      <c r="L23" s="52">
        <v>28</v>
      </c>
      <c r="M23" s="52">
        <v>8</v>
      </c>
      <c r="N23" s="310">
        <v>26</v>
      </c>
      <c r="O23" s="187">
        <f t="shared" si="1"/>
        <v>282</v>
      </c>
      <c r="P23" s="187">
        <f>SUM(C23:N23)*(1-$L$160)</f>
        <v>277.77</v>
      </c>
      <c r="Q23" s="182"/>
      <c r="R23" s="244">
        <f t="shared" si="2"/>
        <v>2.6669188575751826E-3</v>
      </c>
      <c r="S23" s="482">
        <f t="shared" si="3"/>
        <v>0.97678267448458422</v>
      </c>
    </row>
    <row r="24" spans="2:19" x14ac:dyDescent="0.35">
      <c r="B24" s="182">
        <v>25000</v>
      </c>
      <c r="C24" s="183">
        <v>57</v>
      </c>
      <c r="D24" s="52">
        <v>67</v>
      </c>
      <c r="E24" s="52">
        <v>56</v>
      </c>
      <c r="F24" s="52">
        <v>95</v>
      </c>
      <c r="G24" s="52">
        <v>77</v>
      </c>
      <c r="H24" s="52">
        <v>128</v>
      </c>
      <c r="I24" s="52">
        <v>147</v>
      </c>
      <c r="J24" s="52">
        <v>130</v>
      </c>
      <c r="K24" s="52">
        <v>121</v>
      </c>
      <c r="L24" s="52">
        <v>84</v>
      </c>
      <c r="M24" s="52">
        <v>68</v>
      </c>
      <c r="N24" s="310">
        <v>81</v>
      </c>
      <c r="O24" s="187">
        <f t="shared" si="1"/>
        <v>1111</v>
      </c>
      <c r="P24" s="187">
        <f t="shared" si="0"/>
        <v>1094.335</v>
      </c>
      <c r="Q24" s="182"/>
      <c r="R24" s="244">
        <f t="shared" si="2"/>
        <v>1.0506903726120667E-2</v>
      </c>
      <c r="S24" s="482">
        <f t="shared" si="3"/>
        <v>0.98728957821070484</v>
      </c>
    </row>
    <row r="25" spans="2:19" x14ac:dyDescent="0.35">
      <c r="B25" s="182">
        <v>35000</v>
      </c>
      <c r="C25" s="183">
        <v>33</v>
      </c>
      <c r="D25" s="52">
        <v>21</v>
      </c>
      <c r="E25" s="52">
        <v>30</v>
      </c>
      <c r="F25" s="52">
        <v>31</v>
      </c>
      <c r="G25" s="52">
        <v>24</v>
      </c>
      <c r="H25" s="52">
        <v>31</v>
      </c>
      <c r="I25" s="52">
        <v>44</v>
      </c>
      <c r="J25" s="52">
        <v>29</v>
      </c>
      <c r="K25" s="52">
        <v>41</v>
      </c>
      <c r="L25" s="52">
        <v>24</v>
      </c>
      <c r="M25" s="52">
        <v>28</v>
      </c>
      <c r="N25" s="310">
        <v>26</v>
      </c>
      <c r="O25" s="187">
        <f t="shared" si="1"/>
        <v>362</v>
      </c>
      <c r="P25" s="187">
        <f t="shared" si="0"/>
        <v>356.57</v>
      </c>
      <c r="Q25" s="182"/>
      <c r="R25" s="244">
        <f t="shared" si="2"/>
        <v>3.423491583128426E-3</v>
      </c>
      <c r="S25" s="482">
        <f t="shared" si="3"/>
        <v>0.99071306979383322</v>
      </c>
    </row>
    <row r="26" spans="2:19" x14ac:dyDescent="0.35">
      <c r="B26" s="182">
        <v>45000</v>
      </c>
      <c r="C26" s="183">
        <v>19</v>
      </c>
      <c r="D26" s="52">
        <v>15</v>
      </c>
      <c r="E26" s="52">
        <v>17</v>
      </c>
      <c r="F26" s="52">
        <v>18</v>
      </c>
      <c r="G26" s="52">
        <v>20</v>
      </c>
      <c r="H26" s="52">
        <v>17</v>
      </c>
      <c r="I26" s="52">
        <v>21</v>
      </c>
      <c r="J26" s="52">
        <v>20</v>
      </c>
      <c r="K26" s="52">
        <v>28</v>
      </c>
      <c r="L26" s="52">
        <v>25</v>
      </c>
      <c r="M26" s="52">
        <v>23</v>
      </c>
      <c r="N26" s="310">
        <v>25</v>
      </c>
      <c r="O26" s="187">
        <f t="shared" si="1"/>
        <v>248</v>
      </c>
      <c r="P26" s="187">
        <f t="shared" si="0"/>
        <v>244.28</v>
      </c>
      <c r="Q26" s="182"/>
      <c r="R26" s="244">
        <f t="shared" si="2"/>
        <v>2.3453754492150543E-3</v>
      </c>
      <c r="S26" s="482">
        <f t="shared" si="3"/>
        <v>0.99305844524304832</v>
      </c>
    </row>
    <row r="27" spans="2:19" x14ac:dyDescent="0.35">
      <c r="B27" s="182">
        <v>55000</v>
      </c>
      <c r="C27" s="183">
        <v>16</v>
      </c>
      <c r="D27" s="52">
        <v>16</v>
      </c>
      <c r="E27" s="52">
        <v>12</v>
      </c>
      <c r="F27" s="52">
        <v>13</v>
      </c>
      <c r="G27" s="52">
        <v>10</v>
      </c>
      <c r="H27" s="52">
        <v>9</v>
      </c>
      <c r="I27" s="52">
        <v>14</v>
      </c>
      <c r="J27" s="52">
        <v>19</v>
      </c>
      <c r="K27" s="52">
        <v>16</v>
      </c>
      <c r="L27" s="52">
        <v>11</v>
      </c>
      <c r="M27" s="52">
        <v>11</v>
      </c>
      <c r="N27" s="310">
        <v>13</v>
      </c>
      <c r="O27" s="187">
        <f t="shared" si="1"/>
        <v>160</v>
      </c>
      <c r="P27" s="187">
        <f t="shared" si="0"/>
        <v>157.6</v>
      </c>
      <c r="Q27" s="182"/>
      <c r="R27" s="244">
        <f t="shared" si="2"/>
        <v>1.5131454511064866E-3</v>
      </c>
      <c r="S27" s="482">
        <f t="shared" si="3"/>
        <v>0.99457159069415479</v>
      </c>
    </row>
    <row r="28" spans="2:19" x14ac:dyDescent="0.35">
      <c r="B28" s="182">
        <v>65000</v>
      </c>
      <c r="C28" s="183">
        <v>7</v>
      </c>
      <c r="D28" s="52">
        <v>8</v>
      </c>
      <c r="E28" s="52">
        <v>5</v>
      </c>
      <c r="F28" s="52">
        <v>6</v>
      </c>
      <c r="G28" s="52">
        <v>9</v>
      </c>
      <c r="H28" s="52">
        <v>12</v>
      </c>
      <c r="I28" s="52">
        <v>11</v>
      </c>
      <c r="J28" s="52">
        <v>5</v>
      </c>
      <c r="K28" s="52">
        <v>11</v>
      </c>
      <c r="L28" s="52">
        <v>10</v>
      </c>
      <c r="M28" s="52">
        <v>5</v>
      </c>
      <c r="N28" s="310">
        <v>13</v>
      </c>
      <c r="O28" s="187">
        <f t="shared" si="1"/>
        <v>102</v>
      </c>
      <c r="P28" s="187">
        <f t="shared" si="0"/>
        <v>100.47</v>
      </c>
      <c r="Q28" s="182"/>
      <c r="R28" s="244">
        <f t="shared" si="2"/>
        <v>9.6463022508038517E-4</v>
      </c>
      <c r="S28" s="482">
        <f t="shared" si="3"/>
        <v>0.99553622091923522</v>
      </c>
    </row>
    <row r="29" spans="2:19" x14ac:dyDescent="0.35">
      <c r="B29" s="182">
        <v>75000</v>
      </c>
      <c r="C29" s="183">
        <v>2</v>
      </c>
      <c r="D29" s="52">
        <v>5</v>
      </c>
      <c r="E29" s="52">
        <v>8</v>
      </c>
      <c r="F29" s="52">
        <v>5</v>
      </c>
      <c r="G29" s="52">
        <v>4</v>
      </c>
      <c r="H29" s="52">
        <v>7</v>
      </c>
      <c r="I29" s="52">
        <v>9</v>
      </c>
      <c r="J29" s="52">
        <v>10</v>
      </c>
      <c r="K29" s="52">
        <v>9</v>
      </c>
      <c r="L29" s="52">
        <v>3</v>
      </c>
      <c r="M29" s="52">
        <v>9</v>
      </c>
      <c r="N29" s="310">
        <v>5</v>
      </c>
      <c r="O29" s="187">
        <f t="shared" si="1"/>
        <v>76</v>
      </c>
      <c r="P29" s="187">
        <f t="shared" si="0"/>
        <v>74.86</v>
      </c>
      <c r="Q29" s="182"/>
      <c r="R29" s="244">
        <f t="shared" si="2"/>
        <v>7.1874408927558118E-4</v>
      </c>
      <c r="S29" s="482">
        <f t="shared" si="3"/>
        <v>0.99625496500851085</v>
      </c>
    </row>
    <row r="30" spans="2:19" x14ac:dyDescent="0.35">
      <c r="B30" s="182">
        <v>85000</v>
      </c>
      <c r="C30" s="183">
        <v>5</v>
      </c>
      <c r="D30" s="52">
        <v>3</v>
      </c>
      <c r="E30" s="52">
        <v>3</v>
      </c>
      <c r="F30" s="52">
        <v>6</v>
      </c>
      <c r="G30" s="52">
        <v>1</v>
      </c>
      <c r="H30" s="52">
        <v>2</v>
      </c>
      <c r="I30" s="52">
        <v>2</v>
      </c>
      <c r="J30" s="52">
        <v>3</v>
      </c>
      <c r="K30" s="52">
        <v>4</v>
      </c>
      <c r="L30" s="52">
        <v>4</v>
      </c>
      <c r="M30" s="52">
        <v>2</v>
      </c>
      <c r="N30" s="310">
        <v>6</v>
      </c>
      <c r="O30" s="187">
        <f t="shared" si="1"/>
        <v>41</v>
      </c>
      <c r="P30" s="187">
        <f t="shared" si="0"/>
        <v>40.384999999999998</v>
      </c>
      <c r="Q30" s="182"/>
      <c r="R30" s="244">
        <f t="shared" si="2"/>
        <v>3.8774352184603716E-4</v>
      </c>
      <c r="S30" s="482">
        <f t="shared" si="3"/>
        <v>0.99664270853035686</v>
      </c>
    </row>
    <row r="31" spans="2:19" x14ac:dyDescent="0.35">
      <c r="B31" s="182">
        <v>95000</v>
      </c>
      <c r="C31" s="183">
        <v>3</v>
      </c>
      <c r="D31" s="52">
        <v>3</v>
      </c>
      <c r="E31" s="52">
        <v>2</v>
      </c>
      <c r="F31" s="52">
        <v>2</v>
      </c>
      <c r="G31" s="52">
        <v>0</v>
      </c>
      <c r="H31" s="52">
        <v>3</v>
      </c>
      <c r="I31" s="52">
        <v>0</v>
      </c>
      <c r="J31" s="52">
        <v>4</v>
      </c>
      <c r="K31" s="52">
        <v>3</v>
      </c>
      <c r="L31" s="52">
        <v>4</v>
      </c>
      <c r="M31" s="52">
        <v>3</v>
      </c>
      <c r="N31" s="310">
        <v>6</v>
      </c>
      <c r="O31" s="187">
        <f t="shared" si="1"/>
        <v>33</v>
      </c>
      <c r="P31" s="187">
        <f t="shared" si="0"/>
        <v>32.505000000000003</v>
      </c>
      <c r="Q31" s="182"/>
      <c r="R31" s="244">
        <f t="shared" si="2"/>
        <v>3.120862492907129E-4</v>
      </c>
      <c r="S31" s="482">
        <f t="shared" si="3"/>
        <v>0.99695479477964755</v>
      </c>
    </row>
    <row r="32" spans="2:19" x14ac:dyDescent="0.35">
      <c r="B32" s="182">
        <v>105000</v>
      </c>
      <c r="C32" s="183">
        <v>4</v>
      </c>
      <c r="D32" s="52">
        <v>3</v>
      </c>
      <c r="E32" s="52">
        <v>2</v>
      </c>
      <c r="F32" s="52">
        <v>0</v>
      </c>
      <c r="G32" s="52">
        <v>1</v>
      </c>
      <c r="H32" s="52">
        <v>1</v>
      </c>
      <c r="I32" s="52">
        <v>2</v>
      </c>
      <c r="J32" s="52">
        <v>2</v>
      </c>
      <c r="K32" s="52">
        <v>2</v>
      </c>
      <c r="L32" s="52">
        <v>2</v>
      </c>
      <c r="M32" s="52">
        <v>3</v>
      </c>
      <c r="N32" s="310">
        <v>5</v>
      </c>
      <c r="O32" s="187">
        <f t="shared" si="1"/>
        <v>27</v>
      </c>
      <c r="P32" s="187">
        <f t="shared" si="0"/>
        <v>26.594999999999999</v>
      </c>
      <c r="Q32" s="182"/>
      <c r="R32" s="244">
        <f t="shared" si="2"/>
        <v>2.553432948742196E-4</v>
      </c>
      <c r="S32" s="482">
        <f t="shared" si="3"/>
        <v>0.99721013807452175</v>
      </c>
    </row>
    <row r="33" spans="2:19" x14ac:dyDescent="0.35">
      <c r="B33" s="182">
        <v>115000</v>
      </c>
      <c r="C33" s="183">
        <v>2</v>
      </c>
      <c r="D33" s="52">
        <v>2</v>
      </c>
      <c r="E33" s="52">
        <v>3</v>
      </c>
      <c r="F33" s="52">
        <v>2</v>
      </c>
      <c r="G33" s="52">
        <v>2</v>
      </c>
      <c r="H33" s="52">
        <v>2</v>
      </c>
      <c r="I33" s="52">
        <v>1</v>
      </c>
      <c r="J33" s="52">
        <v>3</v>
      </c>
      <c r="K33" s="52">
        <v>4</v>
      </c>
      <c r="L33" s="52">
        <v>2</v>
      </c>
      <c r="M33" s="52">
        <v>3</v>
      </c>
      <c r="N33" s="310">
        <v>1</v>
      </c>
      <c r="O33" s="187">
        <f t="shared" si="1"/>
        <v>27</v>
      </c>
      <c r="P33" s="187">
        <f t="shared" si="0"/>
        <v>26.594999999999999</v>
      </c>
      <c r="Q33" s="182"/>
      <c r="R33" s="244">
        <f t="shared" si="2"/>
        <v>2.553432948742196E-4</v>
      </c>
      <c r="S33" s="482">
        <f t="shared" si="3"/>
        <v>0.99746548136939595</v>
      </c>
    </row>
    <row r="34" spans="2:19" x14ac:dyDescent="0.35">
      <c r="B34" s="182">
        <v>125000</v>
      </c>
      <c r="C34" s="183">
        <v>1</v>
      </c>
      <c r="D34" s="52">
        <v>4</v>
      </c>
      <c r="E34" s="52">
        <v>3</v>
      </c>
      <c r="F34" s="52">
        <v>2</v>
      </c>
      <c r="G34" s="52">
        <v>2</v>
      </c>
      <c r="H34" s="52">
        <v>3</v>
      </c>
      <c r="I34" s="52">
        <v>0</v>
      </c>
      <c r="J34" s="52">
        <v>2</v>
      </c>
      <c r="K34" s="52">
        <v>1</v>
      </c>
      <c r="L34" s="52">
        <v>1</v>
      </c>
      <c r="M34" s="52">
        <v>3</v>
      </c>
      <c r="N34" s="310">
        <v>1</v>
      </c>
      <c r="O34" s="187">
        <f t="shared" si="1"/>
        <v>23</v>
      </c>
      <c r="P34" s="187">
        <f t="shared" si="0"/>
        <v>22.655000000000001</v>
      </c>
      <c r="Q34" s="182"/>
      <c r="R34" s="244">
        <f t="shared" si="2"/>
        <v>2.1751465859655748E-4</v>
      </c>
      <c r="S34" s="482">
        <f t="shared" si="3"/>
        <v>0.99768299602799249</v>
      </c>
    </row>
    <row r="35" spans="2:19" x14ac:dyDescent="0.35">
      <c r="B35" s="182">
        <v>135000</v>
      </c>
      <c r="C35" s="183">
        <v>1</v>
      </c>
      <c r="D35" s="52">
        <v>1</v>
      </c>
      <c r="E35" s="52">
        <v>1</v>
      </c>
      <c r="F35" s="52">
        <v>1</v>
      </c>
      <c r="G35" s="52">
        <v>3</v>
      </c>
      <c r="H35" s="52">
        <v>1</v>
      </c>
      <c r="I35" s="52">
        <v>1</v>
      </c>
      <c r="J35" s="52">
        <v>1</v>
      </c>
      <c r="K35" s="52">
        <v>2</v>
      </c>
      <c r="L35" s="52">
        <v>4</v>
      </c>
      <c r="M35" s="52">
        <v>0</v>
      </c>
      <c r="N35" s="310">
        <v>2</v>
      </c>
      <c r="O35" s="187">
        <f t="shared" si="1"/>
        <v>18</v>
      </c>
      <c r="P35" s="187">
        <f t="shared" si="0"/>
        <v>17.73</v>
      </c>
      <c r="Q35" s="182"/>
      <c r="R35" s="244">
        <f t="shared" si="2"/>
        <v>1.7022886324947976E-4</v>
      </c>
      <c r="S35" s="482">
        <f t="shared" si="3"/>
        <v>0.99785322489124195</v>
      </c>
    </row>
    <row r="36" spans="2:19" x14ac:dyDescent="0.35">
      <c r="B36" s="182">
        <v>145000</v>
      </c>
      <c r="C36" s="183">
        <v>1</v>
      </c>
      <c r="D36" s="52">
        <v>1</v>
      </c>
      <c r="E36" s="52">
        <v>2</v>
      </c>
      <c r="F36" s="52">
        <v>1</v>
      </c>
      <c r="G36" s="52">
        <v>2</v>
      </c>
      <c r="H36" s="52">
        <v>2</v>
      </c>
      <c r="I36" s="52">
        <v>1</v>
      </c>
      <c r="J36" s="52">
        <v>1</v>
      </c>
      <c r="K36" s="52">
        <v>1</v>
      </c>
      <c r="L36" s="52">
        <v>3</v>
      </c>
      <c r="M36" s="52">
        <v>5</v>
      </c>
      <c r="N36" s="310">
        <v>2</v>
      </c>
      <c r="O36" s="187">
        <f t="shared" si="1"/>
        <v>22</v>
      </c>
      <c r="P36" s="187">
        <f t="shared" si="0"/>
        <v>21.669999999999998</v>
      </c>
      <c r="Q36" s="182"/>
      <c r="R36" s="244">
        <f t="shared" si="2"/>
        <v>2.0805749952714189E-4</v>
      </c>
      <c r="S36" s="482">
        <f t="shared" si="3"/>
        <v>0.99806128239076908</v>
      </c>
    </row>
    <row r="37" spans="2:19" x14ac:dyDescent="0.35">
      <c r="B37" s="182">
        <v>155000</v>
      </c>
      <c r="C37" s="183">
        <v>1</v>
      </c>
      <c r="D37" s="52">
        <v>4</v>
      </c>
      <c r="E37" s="52">
        <v>1</v>
      </c>
      <c r="F37" s="52">
        <v>3</v>
      </c>
      <c r="G37" s="52">
        <v>2</v>
      </c>
      <c r="H37" s="52">
        <v>3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310">
        <v>1</v>
      </c>
      <c r="O37" s="187">
        <f t="shared" si="1"/>
        <v>20</v>
      </c>
      <c r="P37" s="187">
        <f t="shared" si="0"/>
        <v>19.7</v>
      </c>
      <c r="Q37" s="182"/>
      <c r="R37" s="244">
        <f t="shared" si="2"/>
        <v>1.8914318138831083E-4</v>
      </c>
      <c r="S37" s="482">
        <f t="shared" si="3"/>
        <v>0.99825042557215737</v>
      </c>
    </row>
    <row r="38" spans="2:19" x14ac:dyDescent="0.35">
      <c r="B38" s="182">
        <v>165000</v>
      </c>
      <c r="C38" s="183">
        <v>1</v>
      </c>
      <c r="D38" s="52">
        <v>0</v>
      </c>
      <c r="E38" s="52">
        <v>1</v>
      </c>
      <c r="F38" s="52">
        <v>2</v>
      </c>
      <c r="G38" s="52">
        <v>1</v>
      </c>
      <c r="H38" s="52">
        <v>0</v>
      </c>
      <c r="I38" s="52">
        <v>2</v>
      </c>
      <c r="J38" s="52">
        <v>3</v>
      </c>
      <c r="K38" s="52">
        <v>2</v>
      </c>
      <c r="L38" s="52">
        <v>0</v>
      </c>
      <c r="M38" s="52">
        <v>0</v>
      </c>
      <c r="N38" s="310">
        <v>0</v>
      </c>
      <c r="O38" s="187">
        <f t="shared" si="1"/>
        <v>12</v>
      </c>
      <c r="P38" s="187">
        <f t="shared" si="0"/>
        <v>11.82</v>
      </c>
      <c r="Q38" s="182"/>
      <c r="R38" s="244">
        <f t="shared" si="2"/>
        <v>1.134859088329865E-4</v>
      </c>
      <c r="S38" s="482">
        <f t="shared" si="3"/>
        <v>0.99836391148099035</v>
      </c>
    </row>
    <row r="39" spans="2:19" x14ac:dyDescent="0.35">
      <c r="B39" s="182">
        <v>175000</v>
      </c>
      <c r="C39" s="183">
        <v>1</v>
      </c>
      <c r="D39" s="52">
        <v>1</v>
      </c>
      <c r="E39" s="52">
        <v>2</v>
      </c>
      <c r="F39" s="52">
        <v>1</v>
      </c>
      <c r="G39" s="52">
        <v>0</v>
      </c>
      <c r="H39" s="52">
        <v>0</v>
      </c>
      <c r="I39" s="52">
        <v>0</v>
      </c>
      <c r="J39" s="52">
        <v>4</v>
      </c>
      <c r="K39" s="52">
        <v>0</v>
      </c>
      <c r="L39" s="52">
        <v>2</v>
      </c>
      <c r="M39" s="52">
        <v>2</v>
      </c>
      <c r="N39" s="310">
        <v>0</v>
      </c>
      <c r="O39" s="187">
        <f t="shared" si="1"/>
        <v>13</v>
      </c>
      <c r="P39" s="187">
        <f t="shared" si="0"/>
        <v>12.805</v>
      </c>
      <c r="Q39" s="182"/>
      <c r="R39" s="244">
        <f t="shared" si="2"/>
        <v>1.2294306790240205E-4</v>
      </c>
      <c r="S39" s="482">
        <f t="shared" si="3"/>
        <v>0.99848685454889274</v>
      </c>
    </row>
    <row r="40" spans="2:19" x14ac:dyDescent="0.35">
      <c r="B40" s="182">
        <v>185000</v>
      </c>
      <c r="C40" s="183">
        <v>2</v>
      </c>
      <c r="D40" s="52">
        <v>0</v>
      </c>
      <c r="E40" s="52">
        <v>1</v>
      </c>
      <c r="F40" s="52">
        <v>1</v>
      </c>
      <c r="G40" s="52">
        <v>1</v>
      </c>
      <c r="H40" s="52">
        <v>0</v>
      </c>
      <c r="I40" s="52">
        <v>1</v>
      </c>
      <c r="J40" s="52">
        <v>0</v>
      </c>
      <c r="K40" s="52">
        <v>3</v>
      </c>
      <c r="L40" s="52">
        <v>1</v>
      </c>
      <c r="M40" s="52">
        <v>1</v>
      </c>
      <c r="N40" s="310">
        <v>1</v>
      </c>
      <c r="O40" s="187">
        <f t="shared" si="1"/>
        <v>12</v>
      </c>
      <c r="P40" s="187">
        <f t="shared" ref="P40:P66" si="4">SUM(C40:N40)*(1-$L$160)</f>
        <v>11.82</v>
      </c>
      <c r="Q40" s="182"/>
      <c r="R40" s="244">
        <f t="shared" si="2"/>
        <v>1.134859088329865E-4</v>
      </c>
      <c r="S40" s="482">
        <f t="shared" si="3"/>
        <v>0.99860034045772572</v>
      </c>
    </row>
    <row r="41" spans="2:19" x14ac:dyDescent="0.35">
      <c r="B41" s="182">
        <v>195000</v>
      </c>
      <c r="C41" s="183">
        <v>1</v>
      </c>
      <c r="D41" s="52">
        <v>2</v>
      </c>
      <c r="E41" s="52">
        <v>0</v>
      </c>
      <c r="F41" s="52">
        <v>0</v>
      </c>
      <c r="G41" s="52">
        <v>0</v>
      </c>
      <c r="H41" s="52">
        <v>0</v>
      </c>
      <c r="I41" s="52">
        <v>2</v>
      </c>
      <c r="J41" s="52">
        <v>0</v>
      </c>
      <c r="K41" s="52">
        <v>0</v>
      </c>
      <c r="L41" s="52">
        <v>2</v>
      </c>
      <c r="M41" s="52">
        <v>1</v>
      </c>
      <c r="N41" s="310">
        <v>2</v>
      </c>
      <c r="O41" s="187">
        <f t="shared" si="1"/>
        <v>10</v>
      </c>
      <c r="P41" s="187">
        <f t="shared" si="4"/>
        <v>9.85</v>
      </c>
      <c r="Q41" s="182"/>
      <c r="R41" s="244">
        <f t="shared" si="2"/>
        <v>9.4571590694155413E-5</v>
      </c>
      <c r="S41" s="482">
        <f t="shared" si="3"/>
        <v>0.99869491204841987</v>
      </c>
    </row>
    <row r="42" spans="2:19" x14ac:dyDescent="0.35">
      <c r="B42" s="182">
        <v>205000</v>
      </c>
      <c r="C42" s="183">
        <v>0</v>
      </c>
      <c r="D42" s="52">
        <v>1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2</v>
      </c>
      <c r="K42" s="52">
        <v>0</v>
      </c>
      <c r="L42" s="52">
        <v>1</v>
      </c>
      <c r="M42" s="52">
        <v>0</v>
      </c>
      <c r="N42" s="310">
        <v>1</v>
      </c>
      <c r="O42" s="187">
        <f t="shared" si="1"/>
        <v>5</v>
      </c>
      <c r="P42" s="187">
        <f t="shared" si="4"/>
        <v>4.9249999999999998</v>
      </c>
      <c r="Q42" s="182"/>
      <c r="R42" s="244">
        <f t="shared" si="2"/>
        <v>4.7285795347077707E-5</v>
      </c>
      <c r="S42" s="482">
        <f t="shared" si="3"/>
        <v>0.99874219784376694</v>
      </c>
    </row>
    <row r="43" spans="2:19" x14ac:dyDescent="0.35">
      <c r="B43" s="182">
        <v>215000</v>
      </c>
      <c r="C43" s="183">
        <v>0</v>
      </c>
      <c r="D43" s="52">
        <v>0</v>
      </c>
      <c r="E43" s="52">
        <v>0</v>
      </c>
      <c r="F43" s="52">
        <v>2</v>
      </c>
      <c r="G43" s="52">
        <v>1</v>
      </c>
      <c r="H43" s="52">
        <v>2</v>
      </c>
      <c r="I43" s="52">
        <v>3</v>
      </c>
      <c r="J43" s="52">
        <v>0</v>
      </c>
      <c r="K43" s="52">
        <v>1</v>
      </c>
      <c r="L43" s="52">
        <v>0</v>
      </c>
      <c r="M43" s="52">
        <v>1</v>
      </c>
      <c r="N43" s="310">
        <v>0</v>
      </c>
      <c r="O43" s="187">
        <f t="shared" si="1"/>
        <v>10</v>
      </c>
      <c r="P43" s="187">
        <f t="shared" si="4"/>
        <v>9.85</v>
      </c>
      <c r="Q43" s="182"/>
      <c r="R43" s="244">
        <f t="shared" si="2"/>
        <v>9.4571590694155413E-5</v>
      </c>
      <c r="S43" s="482">
        <f t="shared" si="3"/>
        <v>0.99883676943446109</v>
      </c>
    </row>
    <row r="44" spans="2:19" x14ac:dyDescent="0.35">
      <c r="B44" s="182">
        <v>225000</v>
      </c>
      <c r="C44" s="183">
        <v>0</v>
      </c>
      <c r="D44" s="52">
        <v>0</v>
      </c>
      <c r="E44" s="52">
        <v>0</v>
      </c>
      <c r="F44" s="52">
        <v>0</v>
      </c>
      <c r="G44" s="52">
        <v>1</v>
      </c>
      <c r="H44" s="52">
        <v>1</v>
      </c>
      <c r="I44" s="52">
        <v>0</v>
      </c>
      <c r="J44" s="52">
        <v>0</v>
      </c>
      <c r="K44" s="52">
        <v>0</v>
      </c>
      <c r="L44" s="52">
        <v>1</v>
      </c>
      <c r="M44" s="52">
        <v>0</v>
      </c>
      <c r="N44" s="310">
        <v>1</v>
      </c>
      <c r="O44" s="187">
        <f t="shared" si="1"/>
        <v>4</v>
      </c>
      <c r="P44" s="187">
        <f t="shared" si="4"/>
        <v>3.94</v>
      </c>
      <c r="Q44" s="182"/>
      <c r="R44" s="244">
        <f t="shared" si="2"/>
        <v>3.7828636277662168E-5</v>
      </c>
      <c r="S44" s="482">
        <f t="shared" si="3"/>
        <v>0.99887459807073875</v>
      </c>
    </row>
    <row r="45" spans="2:19" x14ac:dyDescent="0.35">
      <c r="B45" s="182">
        <v>235000</v>
      </c>
      <c r="C45" s="183">
        <v>1</v>
      </c>
      <c r="D45" s="52">
        <v>0</v>
      </c>
      <c r="E45" s="52">
        <v>0</v>
      </c>
      <c r="F45" s="52">
        <v>0</v>
      </c>
      <c r="G45" s="52">
        <v>0</v>
      </c>
      <c r="H45" s="52">
        <v>1</v>
      </c>
      <c r="I45" s="52">
        <v>1</v>
      </c>
      <c r="J45" s="52">
        <v>0</v>
      </c>
      <c r="K45" s="52">
        <v>2</v>
      </c>
      <c r="L45" s="52">
        <v>0</v>
      </c>
      <c r="M45" s="52">
        <v>0</v>
      </c>
      <c r="N45" s="310">
        <v>0</v>
      </c>
      <c r="O45" s="187">
        <f t="shared" si="1"/>
        <v>5</v>
      </c>
      <c r="P45" s="187">
        <f t="shared" si="4"/>
        <v>4.9249999999999998</v>
      </c>
      <c r="Q45" s="182"/>
      <c r="R45" s="244">
        <f t="shared" si="2"/>
        <v>4.7285795347077707E-5</v>
      </c>
      <c r="S45" s="482">
        <f t="shared" si="3"/>
        <v>0.99892188386608582</v>
      </c>
    </row>
    <row r="46" spans="2:19" x14ac:dyDescent="0.35">
      <c r="B46" s="182">
        <v>245000</v>
      </c>
      <c r="C46" s="183">
        <v>1</v>
      </c>
      <c r="D46" s="52">
        <v>1</v>
      </c>
      <c r="E46" s="52">
        <v>1</v>
      </c>
      <c r="F46" s="52">
        <v>1</v>
      </c>
      <c r="G46" s="52">
        <v>0</v>
      </c>
      <c r="H46" s="52">
        <v>0</v>
      </c>
      <c r="I46" s="52">
        <v>0</v>
      </c>
      <c r="J46" s="52">
        <v>1</v>
      </c>
      <c r="K46" s="52">
        <v>0</v>
      </c>
      <c r="L46" s="52">
        <v>0</v>
      </c>
      <c r="M46" s="52">
        <v>0</v>
      </c>
      <c r="N46" s="310">
        <v>0</v>
      </c>
      <c r="O46" s="187">
        <f t="shared" si="1"/>
        <v>5</v>
      </c>
      <c r="P46" s="187">
        <f t="shared" si="4"/>
        <v>4.9249999999999998</v>
      </c>
      <c r="Q46" s="182"/>
      <c r="R46" s="244">
        <f t="shared" si="2"/>
        <v>4.7285795347077707E-5</v>
      </c>
      <c r="S46" s="482">
        <f t="shared" si="3"/>
        <v>0.9989691696614329</v>
      </c>
    </row>
    <row r="47" spans="2:19" x14ac:dyDescent="0.35">
      <c r="B47" s="182">
        <v>255000</v>
      </c>
      <c r="C47" s="183">
        <v>0</v>
      </c>
      <c r="D47" s="52">
        <v>0</v>
      </c>
      <c r="E47" s="52">
        <v>1</v>
      </c>
      <c r="F47" s="52">
        <v>1</v>
      </c>
      <c r="G47" s="52">
        <v>0</v>
      </c>
      <c r="H47" s="52">
        <v>0</v>
      </c>
      <c r="I47" s="52">
        <v>1</v>
      </c>
      <c r="J47" s="52">
        <v>0</v>
      </c>
      <c r="K47" s="52">
        <v>1</v>
      </c>
      <c r="L47" s="52">
        <v>0</v>
      </c>
      <c r="M47" s="52">
        <v>0</v>
      </c>
      <c r="N47" s="310">
        <v>0</v>
      </c>
      <c r="O47" s="187">
        <f t="shared" si="1"/>
        <v>4</v>
      </c>
      <c r="P47" s="187">
        <f t="shared" si="4"/>
        <v>3.94</v>
      </c>
      <c r="Q47" s="182"/>
      <c r="R47" s="244">
        <f t="shared" si="2"/>
        <v>3.7828636277662168E-5</v>
      </c>
      <c r="S47" s="482">
        <f t="shared" si="3"/>
        <v>0.99900699829771056</v>
      </c>
    </row>
    <row r="48" spans="2:19" x14ac:dyDescent="0.35">
      <c r="B48" s="182">
        <v>265000</v>
      </c>
      <c r="C48" s="183">
        <v>0</v>
      </c>
      <c r="D48" s="52">
        <v>1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1</v>
      </c>
      <c r="M48" s="52">
        <v>0</v>
      </c>
      <c r="N48" s="310">
        <v>0</v>
      </c>
      <c r="O48" s="187">
        <f t="shared" si="1"/>
        <v>2</v>
      </c>
      <c r="P48" s="187">
        <f t="shared" si="4"/>
        <v>1.97</v>
      </c>
      <c r="Q48" s="182"/>
      <c r="R48" s="244">
        <f t="shared" si="2"/>
        <v>1.8914318138831084E-5</v>
      </c>
      <c r="S48" s="482">
        <f t="shared" si="3"/>
        <v>0.99902591261584939</v>
      </c>
    </row>
    <row r="49" spans="2:19" x14ac:dyDescent="0.35">
      <c r="B49" s="182">
        <v>275000</v>
      </c>
      <c r="C49" s="183">
        <v>0</v>
      </c>
      <c r="D49" s="52">
        <v>0</v>
      </c>
      <c r="E49" s="52">
        <v>0</v>
      </c>
      <c r="F49" s="52">
        <v>0</v>
      </c>
      <c r="G49" s="52">
        <v>0</v>
      </c>
      <c r="H49" s="52">
        <v>2</v>
      </c>
      <c r="I49" s="52">
        <v>1</v>
      </c>
      <c r="J49" s="52">
        <v>0</v>
      </c>
      <c r="K49" s="52">
        <v>1</v>
      </c>
      <c r="L49" s="52">
        <v>0</v>
      </c>
      <c r="M49" s="52">
        <v>0</v>
      </c>
      <c r="N49" s="310">
        <v>0</v>
      </c>
      <c r="O49" s="187">
        <f t="shared" si="1"/>
        <v>4</v>
      </c>
      <c r="P49" s="187">
        <f t="shared" si="4"/>
        <v>3.94</v>
      </c>
      <c r="Q49" s="182"/>
      <c r="R49" s="244">
        <f t="shared" si="2"/>
        <v>3.7828636277662168E-5</v>
      </c>
      <c r="S49" s="482">
        <f t="shared" si="3"/>
        <v>0.99906374125212705</v>
      </c>
    </row>
    <row r="50" spans="2:19" x14ac:dyDescent="0.35">
      <c r="B50" s="182">
        <v>285000</v>
      </c>
      <c r="C50" s="183">
        <v>1</v>
      </c>
      <c r="D50" s="52">
        <v>0</v>
      </c>
      <c r="E50" s="52">
        <v>1</v>
      </c>
      <c r="F50" s="52">
        <v>0</v>
      </c>
      <c r="G50" s="52">
        <v>1</v>
      </c>
      <c r="H50" s="52">
        <v>1</v>
      </c>
      <c r="I50" s="52">
        <v>0</v>
      </c>
      <c r="J50" s="52">
        <v>1</v>
      </c>
      <c r="K50" s="52">
        <v>0</v>
      </c>
      <c r="L50" s="52">
        <v>2</v>
      </c>
      <c r="M50" s="52">
        <v>0</v>
      </c>
      <c r="N50" s="310">
        <v>1</v>
      </c>
      <c r="O50" s="187">
        <f t="shared" si="1"/>
        <v>8</v>
      </c>
      <c r="P50" s="187">
        <f t="shared" si="4"/>
        <v>7.88</v>
      </c>
      <c r="Q50" s="182"/>
      <c r="R50" s="244">
        <f t="shared" si="2"/>
        <v>7.5657272555324336E-5</v>
      </c>
      <c r="S50" s="482">
        <f t="shared" si="3"/>
        <v>0.99913939852468237</v>
      </c>
    </row>
    <row r="51" spans="2:19" x14ac:dyDescent="0.35">
      <c r="B51" s="182">
        <v>295000</v>
      </c>
      <c r="C51" s="183">
        <v>0</v>
      </c>
      <c r="D51" s="52">
        <v>0</v>
      </c>
      <c r="E51" s="52">
        <v>1</v>
      </c>
      <c r="F51" s="52">
        <v>0</v>
      </c>
      <c r="G51" s="52">
        <v>2</v>
      </c>
      <c r="H51" s="52">
        <v>0</v>
      </c>
      <c r="I51" s="52">
        <v>0</v>
      </c>
      <c r="J51" s="52">
        <v>0</v>
      </c>
      <c r="K51" s="52">
        <v>1</v>
      </c>
      <c r="L51" s="52">
        <v>0</v>
      </c>
      <c r="M51" s="52">
        <v>1</v>
      </c>
      <c r="N51" s="310">
        <v>0</v>
      </c>
      <c r="O51" s="187">
        <f t="shared" si="1"/>
        <v>5</v>
      </c>
      <c r="P51" s="187">
        <f t="shared" si="4"/>
        <v>4.9249999999999998</v>
      </c>
      <c r="Q51" s="182"/>
      <c r="R51" s="244">
        <f t="shared" si="2"/>
        <v>4.7285795347077707E-5</v>
      </c>
      <c r="S51" s="482">
        <f t="shared" si="3"/>
        <v>0.99918668432002944</v>
      </c>
    </row>
    <row r="52" spans="2:19" x14ac:dyDescent="0.35">
      <c r="B52" s="182">
        <v>305000</v>
      </c>
      <c r="C52" s="183">
        <v>0</v>
      </c>
      <c r="D52" s="52">
        <v>2</v>
      </c>
      <c r="E52" s="52">
        <v>1</v>
      </c>
      <c r="F52" s="52">
        <v>0</v>
      </c>
      <c r="G52" s="52">
        <v>1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1</v>
      </c>
      <c r="N52" s="310">
        <v>0</v>
      </c>
      <c r="O52" s="187">
        <f t="shared" si="1"/>
        <v>5</v>
      </c>
      <c r="P52" s="187">
        <f t="shared" si="4"/>
        <v>4.9249999999999998</v>
      </c>
      <c r="Q52" s="182"/>
      <c r="R52" s="244">
        <f t="shared" si="2"/>
        <v>4.7285795347077707E-5</v>
      </c>
      <c r="S52" s="482">
        <f t="shared" si="3"/>
        <v>0.99923397011537651</v>
      </c>
    </row>
    <row r="53" spans="2:19" x14ac:dyDescent="0.35">
      <c r="B53" s="182">
        <v>315000</v>
      </c>
      <c r="C53" s="183">
        <v>0</v>
      </c>
      <c r="D53" s="52">
        <v>1</v>
      </c>
      <c r="E53" s="52">
        <v>0</v>
      </c>
      <c r="F53" s="52">
        <v>1</v>
      </c>
      <c r="G53" s="52">
        <v>0</v>
      </c>
      <c r="H53" s="52">
        <v>1</v>
      </c>
      <c r="I53" s="52">
        <v>1</v>
      </c>
      <c r="J53" s="52">
        <v>1</v>
      </c>
      <c r="K53" s="52">
        <v>1</v>
      </c>
      <c r="L53" s="52">
        <v>0</v>
      </c>
      <c r="M53" s="52">
        <v>0</v>
      </c>
      <c r="N53" s="310">
        <v>1</v>
      </c>
      <c r="O53" s="187">
        <f t="shared" si="1"/>
        <v>7</v>
      </c>
      <c r="P53" s="187">
        <f t="shared" si="4"/>
        <v>6.8949999999999996</v>
      </c>
      <c r="Q53" s="182"/>
      <c r="R53" s="244">
        <f t="shared" si="2"/>
        <v>6.6200113485908791E-5</v>
      </c>
      <c r="S53" s="482">
        <f t="shared" si="3"/>
        <v>0.99930017022886242</v>
      </c>
    </row>
    <row r="54" spans="2:19" x14ac:dyDescent="0.35">
      <c r="B54" s="182">
        <v>325000</v>
      </c>
      <c r="C54" s="183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1</v>
      </c>
      <c r="K54" s="52">
        <v>0</v>
      </c>
      <c r="L54" s="52">
        <v>0</v>
      </c>
      <c r="M54" s="52">
        <v>1</v>
      </c>
      <c r="N54" s="310">
        <v>1</v>
      </c>
      <c r="O54" s="187">
        <f t="shared" si="1"/>
        <v>3</v>
      </c>
      <c r="P54" s="187">
        <f t="shared" si="4"/>
        <v>2.9550000000000001</v>
      </c>
      <c r="Q54" s="182"/>
      <c r="R54" s="244">
        <f t="shared" si="2"/>
        <v>2.8371477208246626E-5</v>
      </c>
      <c r="S54" s="482">
        <f t="shared" si="3"/>
        <v>0.99932854170607066</v>
      </c>
    </row>
    <row r="55" spans="2:19" x14ac:dyDescent="0.35">
      <c r="B55" s="182">
        <v>335000</v>
      </c>
      <c r="C55" s="183">
        <v>1</v>
      </c>
      <c r="D55" s="52">
        <v>0</v>
      </c>
      <c r="E55" s="52">
        <v>0</v>
      </c>
      <c r="F55" s="52">
        <v>1</v>
      </c>
      <c r="G55" s="52">
        <v>0</v>
      </c>
      <c r="H55" s="52">
        <v>0</v>
      </c>
      <c r="I55" s="52">
        <v>0</v>
      </c>
      <c r="J55" s="52">
        <v>0</v>
      </c>
      <c r="K55" s="52">
        <v>1</v>
      </c>
      <c r="L55" s="52">
        <v>1</v>
      </c>
      <c r="M55" s="52">
        <v>2</v>
      </c>
      <c r="N55" s="310">
        <v>1</v>
      </c>
      <c r="O55" s="187">
        <f t="shared" si="1"/>
        <v>7</v>
      </c>
      <c r="P55" s="187">
        <f t="shared" si="4"/>
        <v>6.8949999999999996</v>
      </c>
      <c r="Q55" s="182"/>
      <c r="R55" s="244">
        <f t="shared" si="2"/>
        <v>6.6200113485908791E-5</v>
      </c>
      <c r="S55" s="482">
        <f t="shared" si="3"/>
        <v>0.99939474181955656</v>
      </c>
    </row>
    <row r="56" spans="2:19" x14ac:dyDescent="0.35">
      <c r="B56" s="182">
        <v>345000</v>
      </c>
      <c r="C56" s="183">
        <v>1</v>
      </c>
      <c r="D56" s="52">
        <v>0</v>
      </c>
      <c r="E56" s="52">
        <v>0</v>
      </c>
      <c r="F56" s="52">
        <v>0</v>
      </c>
      <c r="G56" s="52">
        <v>0</v>
      </c>
      <c r="H56" s="52">
        <v>1</v>
      </c>
      <c r="I56" s="52">
        <v>1</v>
      </c>
      <c r="J56" s="52">
        <v>0</v>
      </c>
      <c r="K56" s="52">
        <v>0</v>
      </c>
      <c r="L56" s="52">
        <v>0</v>
      </c>
      <c r="M56" s="52">
        <v>0</v>
      </c>
      <c r="N56" s="310">
        <v>1</v>
      </c>
      <c r="O56" s="187">
        <f t="shared" si="1"/>
        <v>4</v>
      </c>
      <c r="P56" s="187">
        <f t="shared" si="4"/>
        <v>3.94</v>
      </c>
      <c r="Q56" s="182"/>
      <c r="R56" s="244">
        <f t="shared" si="2"/>
        <v>3.7828636277662168E-5</v>
      </c>
      <c r="S56" s="482">
        <f t="shared" si="3"/>
        <v>0.99943257045583422</v>
      </c>
    </row>
    <row r="57" spans="2:19" x14ac:dyDescent="0.35">
      <c r="B57" s="182">
        <v>355000</v>
      </c>
      <c r="C57" s="183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310">
        <v>0</v>
      </c>
      <c r="O57" s="187">
        <f t="shared" si="1"/>
        <v>0</v>
      </c>
      <c r="P57" s="187">
        <f t="shared" si="4"/>
        <v>0</v>
      </c>
      <c r="Q57" s="182"/>
      <c r="R57" s="244">
        <f t="shared" si="2"/>
        <v>0</v>
      </c>
      <c r="S57" s="482">
        <f t="shared" si="3"/>
        <v>0.99943257045583422</v>
      </c>
    </row>
    <row r="58" spans="2:19" x14ac:dyDescent="0.35">
      <c r="B58" s="182">
        <v>375000</v>
      </c>
      <c r="C58" s="183">
        <v>0</v>
      </c>
      <c r="D58" s="52">
        <v>0</v>
      </c>
      <c r="E58" s="52">
        <v>0</v>
      </c>
      <c r="F58" s="52">
        <v>1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3</v>
      </c>
      <c r="N58" s="310">
        <v>0</v>
      </c>
      <c r="O58" s="187">
        <f t="shared" si="1"/>
        <v>4</v>
      </c>
      <c r="P58" s="187">
        <f t="shared" si="4"/>
        <v>3.94</v>
      </c>
      <c r="Q58" s="182"/>
      <c r="R58" s="244">
        <f t="shared" si="2"/>
        <v>3.7828636277662168E-5</v>
      </c>
      <c r="S58" s="482">
        <f t="shared" si="3"/>
        <v>0.99947039909211188</v>
      </c>
    </row>
    <row r="59" spans="2:19" x14ac:dyDescent="0.35">
      <c r="B59" s="182">
        <v>385000</v>
      </c>
      <c r="C59" s="183">
        <v>1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1</v>
      </c>
      <c r="M59" s="52">
        <v>0</v>
      </c>
      <c r="N59" s="310">
        <v>0</v>
      </c>
      <c r="O59" s="187">
        <f t="shared" si="1"/>
        <v>2</v>
      </c>
      <c r="P59" s="187">
        <f t="shared" si="4"/>
        <v>1.97</v>
      </c>
      <c r="Q59" s="182"/>
      <c r="R59" s="244">
        <f t="shared" si="2"/>
        <v>1.8914318138831084E-5</v>
      </c>
      <c r="S59" s="482">
        <f t="shared" si="3"/>
        <v>0.99948931341025071</v>
      </c>
    </row>
    <row r="60" spans="2:19" x14ac:dyDescent="0.35">
      <c r="B60" s="182">
        <v>405000</v>
      </c>
      <c r="C60" s="183">
        <v>0</v>
      </c>
      <c r="D60" s="52">
        <v>1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2</v>
      </c>
      <c r="M60" s="52">
        <v>0</v>
      </c>
      <c r="N60" s="310">
        <v>0</v>
      </c>
      <c r="O60" s="187">
        <f t="shared" si="1"/>
        <v>3</v>
      </c>
      <c r="P60" s="187">
        <f t="shared" si="4"/>
        <v>2.9550000000000001</v>
      </c>
      <c r="Q60" s="182"/>
      <c r="R60" s="244">
        <f t="shared" si="2"/>
        <v>2.8371477208246626E-5</v>
      </c>
      <c r="S60" s="482">
        <f t="shared" si="3"/>
        <v>0.99951768488745896</v>
      </c>
    </row>
    <row r="61" spans="2:19" x14ac:dyDescent="0.35">
      <c r="B61" s="182">
        <v>425000</v>
      </c>
      <c r="C61" s="183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1</v>
      </c>
      <c r="M61" s="52">
        <v>0</v>
      </c>
      <c r="N61" s="310">
        <v>0</v>
      </c>
      <c r="O61" s="187">
        <f t="shared" si="1"/>
        <v>1</v>
      </c>
      <c r="P61" s="187">
        <f t="shared" si="4"/>
        <v>0.98499999999999999</v>
      </c>
      <c r="Q61" s="182"/>
      <c r="R61" s="244">
        <f t="shared" si="2"/>
        <v>9.457159069415542E-6</v>
      </c>
      <c r="S61" s="482">
        <f t="shared" si="3"/>
        <v>0.99952714204652837</v>
      </c>
    </row>
    <row r="62" spans="2:19" x14ac:dyDescent="0.35">
      <c r="B62" s="182">
        <v>465000</v>
      </c>
      <c r="C62" s="183">
        <v>1</v>
      </c>
      <c r="D62" s="52">
        <v>1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1</v>
      </c>
      <c r="K62" s="52">
        <v>1</v>
      </c>
      <c r="L62" s="52">
        <v>0</v>
      </c>
      <c r="M62" s="52">
        <v>0</v>
      </c>
      <c r="N62" s="310">
        <v>1</v>
      </c>
      <c r="O62" s="187">
        <f t="shared" si="1"/>
        <v>5</v>
      </c>
      <c r="P62" s="187">
        <f t="shared" si="4"/>
        <v>4.9249999999999998</v>
      </c>
      <c r="Q62" s="182"/>
      <c r="R62" s="244">
        <f t="shared" si="2"/>
        <v>4.7285795347077707E-5</v>
      </c>
      <c r="S62" s="482">
        <f t="shared" si="3"/>
        <v>0.99957442784187545</v>
      </c>
    </row>
    <row r="63" spans="2:19" x14ac:dyDescent="0.35">
      <c r="B63" s="182">
        <v>625000</v>
      </c>
      <c r="C63" s="183">
        <v>0</v>
      </c>
      <c r="D63" s="52">
        <v>0</v>
      </c>
      <c r="E63" s="52">
        <v>2</v>
      </c>
      <c r="F63" s="52">
        <v>2</v>
      </c>
      <c r="G63" s="52">
        <v>2</v>
      </c>
      <c r="H63" s="52">
        <v>2</v>
      </c>
      <c r="I63" s="52">
        <v>1</v>
      </c>
      <c r="J63" s="52">
        <v>1</v>
      </c>
      <c r="K63" s="52">
        <v>0</v>
      </c>
      <c r="L63" s="52">
        <v>0</v>
      </c>
      <c r="M63" s="52">
        <v>1</v>
      </c>
      <c r="N63" s="310">
        <v>2</v>
      </c>
      <c r="O63" s="187">
        <f t="shared" si="1"/>
        <v>13</v>
      </c>
      <c r="P63" s="187">
        <f t="shared" si="4"/>
        <v>12.805</v>
      </c>
      <c r="Q63" s="182"/>
      <c r="R63" s="244">
        <f t="shared" si="2"/>
        <v>1.2294306790240205E-4</v>
      </c>
      <c r="S63" s="482">
        <f t="shared" si="3"/>
        <v>0.99969737090977784</v>
      </c>
    </row>
    <row r="64" spans="2:19" x14ac:dyDescent="0.35">
      <c r="B64" s="182">
        <v>655000</v>
      </c>
      <c r="C64" s="183">
        <v>0</v>
      </c>
      <c r="D64" s="52">
        <v>0</v>
      </c>
      <c r="E64" s="52">
        <v>0</v>
      </c>
      <c r="F64" s="52">
        <v>0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1</v>
      </c>
      <c r="N64" s="310">
        <v>0</v>
      </c>
      <c r="O64" s="187">
        <f t="shared" si="1"/>
        <v>2</v>
      </c>
      <c r="P64" s="187">
        <f t="shared" si="4"/>
        <v>1.97</v>
      </c>
      <c r="Q64" s="182"/>
      <c r="R64" s="244">
        <f t="shared" si="2"/>
        <v>1.8914318138831084E-5</v>
      </c>
      <c r="S64" s="482">
        <f t="shared" si="3"/>
        <v>0.99971628522791667</v>
      </c>
    </row>
    <row r="65" spans="1:19" x14ac:dyDescent="0.35">
      <c r="B65" s="182">
        <v>715000</v>
      </c>
      <c r="C65" s="183">
        <v>0</v>
      </c>
      <c r="D65" s="52">
        <v>0</v>
      </c>
      <c r="E65" s="52">
        <v>1</v>
      </c>
      <c r="F65" s="52">
        <v>1</v>
      </c>
      <c r="G65" s="52">
        <v>0</v>
      </c>
      <c r="H65" s="52">
        <v>1</v>
      </c>
      <c r="I65" s="52">
        <v>1</v>
      </c>
      <c r="J65" s="52">
        <v>0</v>
      </c>
      <c r="K65" s="52">
        <v>2</v>
      </c>
      <c r="L65" s="52">
        <v>1</v>
      </c>
      <c r="M65" s="52">
        <v>0</v>
      </c>
      <c r="N65" s="310">
        <v>1</v>
      </c>
      <c r="O65" s="187">
        <f t="shared" si="1"/>
        <v>8</v>
      </c>
      <c r="P65" s="187">
        <f t="shared" si="4"/>
        <v>7.88</v>
      </c>
      <c r="Q65" s="182"/>
      <c r="R65" s="244">
        <f t="shared" si="2"/>
        <v>7.5657272555324336E-5</v>
      </c>
      <c r="S65" s="482">
        <f t="shared" si="3"/>
        <v>0.99979194250047199</v>
      </c>
    </row>
    <row r="66" spans="1:19" x14ac:dyDescent="0.35">
      <c r="B66" s="182">
        <v>845000</v>
      </c>
      <c r="C66" s="184">
        <v>3</v>
      </c>
      <c r="D66" s="185">
        <v>3</v>
      </c>
      <c r="E66" s="185">
        <v>1</v>
      </c>
      <c r="F66" s="185">
        <v>1</v>
      </c>
      <c r="G66" s="185">
        <v>1</v>
      </c>
      <c r="H66" s="185">
        <v>1</v>
      </c>
      <c r="I66" s="185">
        <v>3</v>
      </c>
      <c r="J66" s="185">
        <v>3</v>
      </c>
      <c r="K66" s="185">
        <v>2</v>
      </c>
      <c r="L66" s="185">
        <v>2</v>
      </c>
      <c r="M66" s="185">
        <v>1</v>
      </c>
      <c r="N66" s="311">
        <v>1</v>
      </c>
      <c r="O66" s="188">
        <f t="shared" si="1"/>
        <v>22</v>
      </c>
      <c r="P66" s="188">
        <f t="shared" si="4"/>
        <v>21.669999999999998</v>
      </c>
      <c r="Q66" s="182"/>
      <c r="R66" s="244">
        <f t="shared" si="2"/>
        <v>2.0805749952714189E-4</v>
      </c>
      <c r="S66" s="482">
        <f t="shared" si="3"/>
        <v>0.99999999999999911</v>
      </c>
    </row>
    <row r="67" spans="1:19" ht="10.15" customHeight="1" x14ac:dyDescent="0.35"/>
    <row r="68" spans="1:19" x14ac:dyDescent="0.35">
      <c r="B68" s="26" t="s">
        <v>44</v>
      </c>
      <c r="C68" s="182">
        <f>SUM(C8:C67)</f>
        <v>8801</v>
      </c>
      <c r="D68" s="182">
        <f t="shared" ref="D68:N68" si="5">SUM(D8:D67)</f>
        <v>8811</v>
      </c>
      <c r="E68" s="182">
        <f t="shared" si="5"/>
        <v>8813</v>
      </c>
      <c r="F68" s="182">
        <f t="shared" si="5"/>
        <v>8813</v>
      </c>
      <c r="G68" s="182">
        <f t="shared" si="5"/>
        <v>8813</v>
      </c>
      <c r="H68" s="182">
        <f t="shared" si="5"/>
        <v>8813</v>
      </c>
      <c r="I68" s="182">
        <f t="shared" si="5"/>
        <v>8813</v>
      </c>
      <c r="J68" s="182">
        <f t="shared" si="5"/>
        <v>8813</v>
      </c>
      <c r="K68" s="182">
        <f t="shared" si="5"/>
        <v>8812</v>
      </c>
      <c r="L68" s="182">
        <f t="shared" si="5"/>
        <v>8812</v>
      </c>
      <c r="M68" s="182">
        <f t="shared" si="5"/>
        <v>8813</v>
      </c>
      <c r="N68" s="182">
        <f t="shared" si="5"/>
        <v>8813</v>
      </c>
      <c r="O68" s="182">
        <f>SUM(O8:O67)</f>
        <v>105740</v>
      </c>
      <c r="P68" s="182">
        <f>SUM(P8:P67)</f>
        <v>104153.90000000007</v>
      </c>
      <c r="Q68" s="182"/>
    </row>
    <row r="69" spans="1:19" ht="10.15" customHeight="1" x14ac:dyDescent="0.3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P69" s="182"/>
      <c r="Q69" s="182"/>
    </row>
    <row r="70" spans="1:19" x14ac:dyDescent="0.35">
      <c r="B70" s="159" t="s">
        <v>267</v>
      </c>
      <c r="C70" s="189">
        <f>C68/$O$68</f>
        <v>8.3232456969926233E-2</v>
      </c>
      <c r="D70" s="190">
        <f t="shared" ref="D70:N70" si="6">D68/$O$68</f>
        <v>8.3327028560620395E-2</v>
      </c>
      <c r="E70" s="190">
        <f t="shared" si="6"/>
        <v>8.3345942878759224E-2</v>
      </c>
      <c r="F70" s="190">
        <f t="shared" si="6"/>
        <v>8.3345942878759224E-2</v>
      </c>
      <c r="G70" s="190">
        <f t="shared" si="6"/>
        <v>8.3345942878759224E-2</v>
      </c>
      <c r="H70" s="190">
        <f t="shared" si="6"/>
        <v>8.3345942878759224E-2</v>
      </c>
      <c r="I70" s="190">
        <f t="shared" si="6"/>
        <v>8.3345942878759224E-2</v>
      </c>
      <c r="J70" s="190">
        <f t="shared" si="6"/>
        <v>8.3345942878759224E-2</v>
      </c>
      <c r="K70" s="190">
        <f t="shared" si="6"/>
        <v>8.333648571968981E-2</v>
      </c>
      <c r="L70" s="190">
        <f t="shared" si="6"/>
        <v>8.333648571968981E-2</v>
      </c>
      <c r="M70" s="190">
        <f t="shared" si="6"/>
        <v>8.3345942878759224E-2</v>
      </c>
      <c r="N70" s="376">
        <f t="shared" si="6"/>
        <v>8.3345942878759224E-2</v>
      </c>
      <c r="O70" s="170">
        <f>SUM(C70:N70)</f>
        <v>0.99999999999999989</v>
      </c>
      <c r="P70" s="380"/>
      <c r="Q70" s="377"/>
    </row>
    <row r="71" spans="1:19" x14ac:dyDescent="0.35">
      <c r="B71" s="159" t="s">
        <v>268</v>
      </c>
      <c r="C71" s="191"/>
      <c r="D71" s="192">
        <f>D68-C68</f>
        <v>10</v>
      </c>
      <c r="E71" s="192">
        <f t="shared" ref="E71:N71" si="7">E68-D68</f>
        <v>2</v>
      </c>
      <c r="F71" s="192">
        <f t="shared" si="7"/>
        <v>0</v>
      </c>
      <c r="G71" s="192">
        <f t="shared" si="7"/>
        <v>0</v>
      </c>
      <c r="H71" s="192">
        <f t="shared" si="7"/>
        <v>0</v>
      </c>
      <c r="I71" s="192">
        <f t="shared" si="7"/>
        <v>0</v>
      </c>
      <c r="J71" s="192">
        <f t="shared" si="7"/>
        <v>0</v>
      </c>
      <c r="K71" s="192">
        <f t="shared" si="7"/>
        <v>-1</v>
      </c>
      <c r="L71" s="192">
        <f t="shared" si="7"/>
        <v>0</v>
      </c>
      <c r="M71" s="192">
        <f t="shared" si="7"/>
        <v>1</v>
      </c>
      <c r="N71" s="192">
        <f t="shared" si="7"/>
        <v>0</v>
      </c>
      <c r="O71" s="379">
        <f>SUM(C71:N71)</f>
        <v>12</v>
      </c>
      <c r="P71" s="381"/>
      <c r="Q71" s="182"/>
    </row>
    <row r="73" spans="1:19" x14ac:dyDescent="0.35">
      <c r="A73" s="84">
        <v>-1</v>
      </c>
      <c r="B73" s="26" t="s">
        <v>950</v>
      </c>
      <c r="P73" s="545">
        <f>P68/12</f>
        <v>8679.4916666666722</v>
      </c>
      <c r="Q73" s="545"/>
    </row>
    <row r="75" spans="1:19" s="122" customFormat="1" ht="5.65" customHeight="1" x14ac:dyDescent="0.35"/>
    <row r="76" spans="1:19" x14ac:dyDescent="0.35">
      <c r="A76" s="25" t="s">
        <v>4</v>
      </c>
    </row>
    <row r="77" spans="1:19" x14ac:dyDescent="0.35">
      <c r="A77" s="25" t="s">
        <v>109</v>
      </c>
      <c r="P77" s="50"/>
      <c r="Q77" s="50"/>
    </row>
    <row r="78" spans="1:19" x14ac:dyDescent="0.35">
      <c r="A78" s="25" t="s">
        <v>271</v>
      </c>
    </row>
    <row r="79" spans="1:19" x14ac:dyDescent="0.35">
      <c r="O79" s="585"/>
      <c r="P79" s="28" t="s">
        <v>5</v>
      </c>
      <c r="Q79" s="27"/>
    </row>
    <row r="80" spans="1:19" ht="30" x14ac:dyDescent="0.35">
      <c r="C80" s="53">
        <v>40544</v>
      </c>
      <c r="D80" s="53">
        <v>40576</v>
      </c>
      <c r="E80" s="53">
        <v>40605</v>
      </c>
      <c r="F80" s="53">
        <v>40637</v>
      </c>
      <c r="G80" s="53">
        <v>40668</v>
      </c>
      <c r="H80" s="53">
        <v>40700</v>
      </c>
      <c r="I80" s="53">
        <v>40731</v>
      </c>
      <c r="J80" s="53">
        <v>40763</v>
      </c>
      <c r="K80" s="53">
        <v>40795</v>
      </c>
      <c r="L80" s="53">
        <v>40826</v>
      </c>
      <c r="M80" s="53">
        <v>40858</v>
      </c>
      <c r="N80" s="53">
        <v>40889</v>
      </c>
      <c r="O80" s="54" t="s">
        <v>32</v>
      </c>
      <c r="P80" s="46" t="s">
        <v>949</v>
      </c>
      <c r="Q80" s="154"/>
    </row>
    <row r="81" spans="1:19" x14ac:dyDescent="0.35">
      <c r="A81" s="25" t="s">
        <v>269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P81" s="181"/>
      <c r="Q81" s="181"/>
    </row>
    <row r="82" spans="1:19" x14ac:dyDescent="0.35">
      <c r="B82" s="182" t="s">
        <v>265</v>
      </c>
    </row>
    <row r="83" spans="1:19" x14ac:dyDescent="0.35">
      <c r="B83" s="182">
        <v>0</v>
      </c>
      <c r="C83" s="193">
        <v>0</v>
      </c>
      <c r="D83" s="194">
        <v>0</v>
      </c>
      <c r="E83" s="194">
        <v>0</v>
      </c>
      <c r="F83" s="194">
        <v>0</v>
      </c>
      <c r="G83" s="194">
        <v>0</v>
      </c>
      <c r="H83" s="194">
        <v>0</v>
      </c>
      <c r="I83" s="194">
        <v>0</v>
      </c>
      <c r="J83" s="194">
        <v>0</v>
      </c>
      <c r="K83" s="194">
        <v>0</v>
      </c>
      <c r="L83" s="194">
        <v>0</v>
      </c>
      <c r="M83" s="194">
        <v>0</v>
      </c>
      <c r="N83" s="312">
        <v>0</v>
      </c>
      <c r="O83" s="373">
        <f>SUM(C83:N83)</f>
        <v>0</v>
      </c>
      <c r="P83" s="186">
        <f>SUM(C83:N83)*(1-$L$161)</f>
        <v>0</v>
      </c>
      <c r="Q83" s="182"/>
    </row>
    <row r="84" spans="1:19" x14ac:dyDescent="0.35">
      <c r="B84" s="182">
        <v>1000</v>
      </c>
      <c r="C84" s="195">
        <v>543200</v>
      </c>
      <c r="D84" s="196">
        <v>529900</v>
      </c>
      <c r="E84" s="196">
        <v>624700</v>
      </c>
      <c r="F84" s="196">
        <v>554700</v>
      </c>
      <c r="G84" s="196">
        <v>607300</v>
      </c>
      <c r="H84" s="196">
        <v>522300</v>
      </c>
      <c r="I84" s="196">
        <v>522500</v>
      </c>
      <c r="J84" s="196">
        <v>505500</v>
      </c>
      <c r="K84" s="196">
        <v>542500</v>
      </c>
      <c r="L84" s="196">
        <v>564800</v>
      </c>
      <c r="M84" s="196">
        <v>655900</v>
      </c>
      <c r="N84" s="313">
        <v>625000</v>
      </c>
      <c r="O84" s="374">
        <f t="shared" ref="O84:O141" si="8">SUM(C84:N84)</f>
        <v>6798300</v>
      </c>
      <c r="P84" s="187">
        <f>SUM(C84:N84)*(1-$L$161)</f>
        <v>6509372.25</v>
      </c>
      <c r="Q84" s="182"/>
      <c r="R84" s="244">
        <f>+P84/$P$143</f>
        <v>1.3769899695629374E-2</v>
      </c>
      <c r="S84" s="482">
        <f>+R84</f>
        <v>1.3769899695629374E-2</v>
      </c>
    </row>
    <row r="85" spans="1:19" x14ac:dyDescent="0.35">
      <c r="B85" s="182">
        <v>2000</v>
      </c>
      <c r="C85" s="195">
        <v>1992900</v>
      </c>
      <c r="D85" s="196">
        <v>2150300</v>
      </c>
      <c r="E85" s="196">
        <v>2330800</v>
      </c>
      <c r="F85" s="196">
        <v>2239500</v>
      </c>
      <c r="G85" s="196">
        <v>2297000</v>
      </c>
      <c r="H85" s="196">
        <v>2167300</v>
      </c>
      <c r="I85" s="196">
        <v>2069100</v>
      </c>
      <c r="J85" s="196">
        <v>2137500</v>
      </c>
      <c r="K85" s="196">
        <v>2120000</v>
      </c>
      <c r="L85" s="196">
        <v>2323300</v>
      </c>
      <c r="M85" s="196">
        <v>2612900</v>
      </c>
      <c r="N85" s="313">
        <v>2365600</v>
      </c>
      <c r="O85" s="374">
        <f t="shared" si="8"/>
        <v>26806200</v>
      </c>
      <c r="P85" s="187">
        <f t="shared" ref="P85:P141" si="9">SUM(C85:N85)*(1-$L$161)</f>
        <v>25666936.5</v>
      </c>
      <c r="Q85" s="182"/>
      <c r="R85" s="244">
        <f t="shared" ref="R85:R141" si="10">+P85/$P$143</f>
        <v>5.4295733524701781E-2</v>
      </c>
      <c r="S85" s="482">
        <f>+S84+R85</f>
        <v>6.8065633220331156E-2</v>
      </c>
    </row>
    <row r="86" spans="1:19" x14ac:dyDescent="0.35">
      <c r="B86" s="182">
        <v>3000</v>
      </c>
      <c r="C86" s="195">
        <v>3286400</v>
      </c>
      <c r="D86" s="196">
        <v>3612100</v>
      </c>
      <c r="E86" s="196">
        <v>3765800</v>
      </c>
      <c r="F86" s="196">
        <v>3517300</v>
      </c>
      <c r="G86" s="196">
        <v>3906200</v>
      </c>
      <c r="H86" s="196">
        <v>3541000</v>
      </c>
      <c r="I86" s="196">
        <v>3522200</v>
      </c>
      <c r="J86" s="196">
        <v>3538500</v>
      </c>
      <c r="K86" s="196">
        <v>3623400</v>
      </c>
      <c r="L86" s="196">
        <v>3910400</v>
      </c>
      <c r="M86" s="196">
        <v>4185000</v>
      </c>
      <c r="N86" s="313">
        <v>3973100</v>
      </c>
      <c r="O86" s="374">
        <f t="shared" si="8"/>
        <v>44381400</v>
      </c>
      <c r="P86" s="187">
        <f t="shared" si="9"/>
        <v>42495190.5</v>
      </c>
      <c r="Q86" s="182"/>
      <c r="R86" s="244">
        <f t="shared" si="10"/>
        <v>8.9894153884295405E-2</v>
      </c>
      <c r="S86" s="482">
        <f t="shared" ref="S86:S141" si="11">+S85+R86</f>
        <v>0.15795978710462655</v>
      </c>
    </row>
    <row r="87" spans="1:19" x14ac:dyDescent="0.35">
      <c r="B87" s="182">
        <v>4000</v>
      </c>
      <c r="C87" s="195">
        <v>4217300</v>
      </c>
      <c r="D87" s="196">
        <v>4177800</v>
      </c>
      <c r="E87" s="196">
        <v>4437500</v>
      </c>
      <c r="F87" s="196">
        <v>4303500</v>
      </c>
      <c r="G87" s="196">
        <v>4435800</v>
      </c>
      <c r="H87" s="196">
        <v>4238100</v>
      </c>
      <c r="I87" s="196">
        <v>4168500</v>
      </c>
      <c r="J87" s="196">
        <v>4155500</v>
      </c>
      <c r="K87" s="196">
        <v>4299900</v>
      </c>
      <c r="L87" s="196">
        <v>4578600</v>
      </c>
      <c r="M87" s="196">
        <v>4651200</v>
      </c>
      <c r="N87" s="313">
        <v>4491300</v>
      </c>
      <c r="O87" s="374">
        <f t="shared" si="8"/>
        <v>52155000</v>
      </c>
      <c r="P87" s="187">
        <f t="shared" si="9"/>
        <v>49938412.5</v>
      </c>
      <c r="Q87" s="182"/>
      <c r="R87" s="244">
        <f t="shared" si="10"/>
        <v>0.10563951555911771</v>
      </c>
      <c r="S87" s="482">
        <f t="shared" si="11"/>
        <v>0.26359930266374426</v>
      </c>
    </row>
    <row r="88" spans="1:19" x14ac:dyDescent="0.35">
      <c r="B88" s="182">
        <v>5000</v>
      </c>
      <c r="C88" s="195">
        <v>4082900</v>
      </c>
      <c r="D88" s="196">
        <v>4237400</v>
      </c>
      <c r="E88" s="196">
        <v>4213000</v>
      </c>
      <c r="F88" s="196">
        <v>4520400</v>
      </c>
      <c r="G88" s="196">
        <v>4563500</v>
      </c>
      <c r="H88" s="196">
        <v>4378800</v>
      </c>
      <c r="I88" s="196">
        <v>4444200</v>
      </c>
      <c r="J88" s="196">
        <v>4575700</v>
      </c>
      <c r="K88" s="196">
        <v>4235600</v>
      </c>
      <c r="L88" s="196">
        <v>4189400</v>
      </c>
      <c r="M88" s="196">
        <v>4136100</v>
      </c>
      <c r="N88" s="313">
        <v>4225400</v>
      </c>
      <c r="O88" s="374">
        <f t="shared" si="8"/>
        <v>51802400</v>
      </c>
      <c r="P88" s="187">
        <f t="shared" si="9"/>
        <v>49600798</v>
      </c>
      <c r="Q88" s="182"/>
      <c r="R88" s="244">
        <f t="shared" si="10"/>
        <v>0.10492532721310785</v>
      </c>
      <c r="S88" s="482">
        <f t="shared" si="11"/>
        <v>0.36852462987685208</v>
      </c>
    </row>
    <row r="89" spans="1:19" x14ac:dyDescent="0.35">
      <c r="B89" s="182">
        <v>6000</v>
      </c>
      <c r="C89" s="195">
        <v>3317900</v>
      </c>
      <c r="D89" s="196">
        <v>3278500</v>
      </c>
      <c r="E89" s="196">
        <v>3094500</v>
      </c>
      <c r="F89" s="196">
        <v>3420700</v>
      </c>
      <c r="G89" s="196">
        <v>3423400</v>
      </c>
      <c r="H89" s="196">
        <v>3877000</v>
      </c>
      <c r="I89" s="196">
        <v>3540400</v>
      </c>
      <c r="J89" s="196">
        <v>3782100</v>
      </c>
      <c r="K89" s="196">
        <v>3847800</v>
      </c>
      <c r="L89" s="196">
        <v>3700000</v>
      </c>
      <c r="M89" s="196">
        <v>3218300</v>
      </c>
      <c r="N89" s="313">
        <v>3328300</v>
      </c>
      <c r="O89" s="374">
        <f t="shared" si="8"/>
        <v>41828900</v>
      </c>
      <c r="P89" s="187">
        <f t="shared" si="9"/>
        <v>40051171.75</v>
      </c>
      <c r="Q89" s="182"/>
      <c r="R89" s="244">
        <f t="shared" si="10"/>
        <v>8.4724086518469549E-2</v>
      </c>
      <c r="S89" s="482">
        <f t="shared" si="11"/>
        <v>0.4532487163953216</v>
      </c>
    </row>
    <row r="90" spans="1:19" x14ac:dyDescent="0.35">
      <c r="B90" s="182">
        <v>7000</v>
      </c>
      <c r="C90" s="195">
        <v>2624500</v>
      </c>
      <c r="D90" s="196">
        <v>2281800</v>
      </c>
      <c r="E90" s="196">
        <v>2307900</v>
      </c>
      <c r="F90" s="196">
        <v>2650300</v>
      </c>
      <c r="G90" s="196">
        <v>2377800</v>
      </c>
      <c r="H90" s="196">
        <v>2838900</v>
      </c>
      <c r="I90" s="196">
        <v>2832800</v>
      </c>
      <c r="J90" s="196">
        <v>3151800</v>
      </c>
      <c r="K90" s="196">
        <v>3070200</v>
      </c>
      <c r="L90" s="196">
        <v>2851400</v>
      </c>
      <c r="M90" s="196">
        <v>2304600</v>
      </c>
      <c r="N90" s="313">
        <v>2695300</v>
      </c>
      <c r="O90" s="374">
        <f t="shared" si="8"/>
        <v>31987300</v>
      </c>
      <c r="P90" s="187">
        <f t="shared" si="9"/>
        <v>30627839.75</v>
      </c>
      <c r="Q90" s="182"/>
      <c r="R90" s="244">
        <f t="shared" si="10"/>
        <v>6.4790008168807714E-2</v>
      </c>
      <c r="S90" s="482">
        <f t="shared" si="11"/>
        <v>0.51803872456412936</v>
      </c>
    </row>
    <row r="91" spans="1:19" x14ac:dyDescent="0.35">
      <c r="B91" s="182">
        <v>8000</v>
      </c>
      <c r="C91" s="195">
        <v>1972000</v>
      </c>
      <c r="D91" s="196">
        <v>1781500</v>
      </c>
      <c r="E91" s="196">
        <v>1571400</v>
      </c>
      <c r="F91" s="196">
        <v>1788000</v>
      </c>
      <c r="G91" s="196">
        <v>1657900</v>
      </c>
      <c r="H91" s="196">
        <v>2141700</v>
      </c>
      <c r="I91" s="196">
        <v>2145100</v>
      </c>
      <c r="J91" s="196">
        <v>2253000</v>
      </c>
      <c r="K91" s="196">
        <v>2121800</v>
      </c>
      <c r="L91" s="196">
        <v>1921900</v>
      </c>
      <c r="M91" s="196">
        <v>1392000</v>
      </c>
      <c r="N91" s="313">
        <v>1937300</v>
      </c>
      <c r="O91" s="374">
        <f t="shared" si="8"/>
        <v>22683600</v>
      </c>
      <c r="P91" s="187">
        <f t="shared" si="9"/>
        <v>21719547</v>
      </c>
      <c r="Q91" s="182"/>
      <c r="R91" s="244">
        <f t="shared" si="10"/>
        <v>4.5945441762761052E-2</v>
      </c>
      <c r="S91" s="482">
        <f t="shared" si="11"/>
        <v>0.56398416632689041</v>
      </c>
    </row>
    <row r="92" spans="1:19" x14ac:dyDescent="0.35">
      <c r="B92" s="182">
        <v>9000</v>
      </c>
      <c r="C92" s="195">
        <v>1258300</v>
      </c>
      <c r="D92" s="196">
        <v>1098600</v>
      </c>
      <c r="E92" s="196">
        <v>884900</v>
      </c>
      <c r="F92" s="196">
        <v>1411600</v>
      </c>
      <c r="G92" s="196">
        <v>1274200</v>
      </c>
      <c r="H92" s="196">
        <v>1767700</v>
      </c>
      <c r="I92" s="196">
        <v>1900900</v>
      </c>
      <c r="J92" s="196">
        <v>1608100</v>
      </c>
      <c r="K92" s="196">
        <v>1639600</v>
      </c>
      <c r="L92" s="196">
        <v>1243700</v>
      </c>
      <c r="M92" s="196">
        <v>1166600</v>
      </c>
      <c r="N92" s="313">
        <v>1420700</v>
      </c>
      <c r="O92" s="374">
        <f t="shared" si="8"/>
        <v>16674900</v>
      </c>
      <c r="P92" s="187">
        <f t="shared" si="9"/>
        <v>15966216.75</v>
      </c>
      <c r="Q92" s="182"/>
      <c r="R92" s="244">
        <f t="shared" si="10"/>
        <v>3.3774870252070405E-2</v>
      </c>
      <c r="S92" s="482">
        <f t="shared" si="11"/>
        <v>0.59775903657896079</v>
      </c>
    </row>
    <row r="93" spans="1:19" x14ac:dyDescent="0.35">
      <c r="B93" s="182">
        <v>10000</v>
      </c>
      <c r="C93" s="195">
        <v>847000</v>
      </c>
      <c r="D93" s="196">
        <v>786200</v>
      </c>
      <c r="E93" s="196">
        <v>646800</v>
      </c>
      <c r="F93" s="196">
        <v>1048500</v>
      </c>
      <c r="G93" s="196">
        <v>810500</v>
      </c>
      <c r="H93" s="196">
        <v>1194900</v>
      </c>
      <c r="I93" s="196">
        <v>1469000</v>
      </c>
      <c r="J93" s="196">
        <v>1348500</v>
      </c>
      <c r="K93" s="196">
        <v>1294200</v>
      </c>
      <c r="L93" s="196">
        <v>940300</v>
      </c>
      <c r="M93" s="196">
        <v>806900</v>
      </c>
      <c r="N93" s="313">
        <v>1083700</v>
      </c>
      <c r="O93" s="374">
        <f t="shared" si="8"/>
        <v>12276500</v>
      </c>
      <c r="P93" s="187">
        <f t="shared" si="9"/>
        <v>11754748.75</v>
      </c>
      <c r="Q93" s="182"/>
      <c r="R93" s="244">
        <f t="shared" si="10"/>
        <v>2.486594790070959E-2</v>
      </c>
      <c r="S93" s="482">
        <f t="shared" si="11"/>
        <v>0.62262498447967041</v>
      </c>
    </row>
    <row r="94" spans="1:19" x14ac:dyDescent="0.35">
      <c r="B94" s="182">
        <v>11000</v>
      </c>
      <c r="C94" s="195">
        <v>715700</v>
      </c>
      <c r="D94" s="196">
        <v>505600</v>
      </c>
      <c r="E94" s="196">
        <v>534200</v>
      </c>
      <c r="F94" s="196">
        <v>802500</v>
      </c>
      <c r="G94" s="196">
        <v>420600</v>
      </c>
      <c r="H94" s="196">
        <v>1042700</v>
      </c>
      <c r="I94" s="196">
        <v>1120500</v>
      </c>
      <c r="J94" s="196">
        <v>903400</v>
      </c>
      <c r="K94" s="196">
        <v>929600</v>
      </c>
      <c r="L94" s="196">
        <v>638800</v>
      </c>
      <c r="M94" s="196">
        <v>464700</v>
      </c>
      <c r="N94" s="313">
        <v>845300</v>
      </c>
      <c r="O94" s="374">
        <f t="shared" si="8"/>
        <v>8923600</v>
      </c>
      <c r="P94" s="187">
        <f t="shared" si="9"/>
        <v>8544347</v>
      </c>
      <c r="Q94" s="182"/>
      <c r="R94" s="244">
        <f t="shared" si="10"/>
        <v>1.807467704042456E-2</v>
      </c>
      <c r="S94" s="482">
        <f t="shared" si="11"/>
        <v>0.64069966152009494</v>
      </c>
    </row>
    <row r="95" spans="1:19" x14ac:dyDescent="0.35">
      <c r="B95" s="182">
        <v>12000</v>
      </c>
      <c r="C95" s="195">
        <v>413400</v>
      </c>
      <c r="D95" s="196">
        <v>413600</v>
      </c>
      <c r="E95" s="196">
        <v>323600</v>
      </c>
      <c r="F95" s="196">
        <v>450500</v>
      </c>
      <c r="G95" s="196">
        <v>498200</v>
      </c>
      <c r="H95" s="196">
        <v>726100</v>
      </c>
      <c r="I95" s="196">
        <v>878900</v>
      </c>
      <c r="J95" s="196">
        <v>728400</v>
      </c>
      <c r="K95" s="196">
        <v>645600</v>
      </c>
      <c r="L95" s="196">
        <v>426500</v>
      </c>
      <c r="M95" s="196">
        <v>346700</v>
      </c>
      <c r="N95" s="313">
        <v>678800</v>
      </c>
      <c r="O95" s="374">
        <f t="shared" si="8"/>
        <v>6530300</v>
      </c>
      <c r="P95" s="187">
        <f t="shared" si="9"/>
        <v>6252762.25</v>
      </c>
      <c r="Q95" s="182"/>
      <c r="R95" s="244">
        <f t="shared" si="10"/>
        <v>1.3227067940862937E-2</v>
      </c>
      <c r="S95" s="482">
        <f t="shared" si="11"/>
        <v>0.65392672946095787</v>
      </c>
    </row>
    <row r="96" spans="1:19" x14ac:dyDescent="0.35">
      <c r="B96" s="182">
        <v>13000</v>
      </c>
      <c r="C96" s="195">
        <v>361100</v>
      </c>
      <c r="D96" s="196">
        <v>480600</v>
      </c>
      <c r="E96" s="196">
        <v>238800</v>
      </c>
      <c r="F96" s="196">
        <v>600300</v>
      </c>
      <c r="G96" s="196">
        <v>311800</v>
      </c>
      <c r="H96" s="196">
        <v>360500</v>
      </c>
      <c r="I96" s="196">
        <v>717900</v>
      </c>
      <c r="J96" s="196">
        <v>624000</v>
      </c>
      <c r="K96" s="196">
        <v>487900</v>
      </c>
      <c r="L96" s="196">
        <v>438100</v>
      </c>
      <c r="M96" s="196">
        <v>262200</v>
      </c>
      <c r="N96" s="313">
        <v>650700</v>
      </c>
      <c r="O96" s="374">
        <f t="shared" si="8"/>
        <v>5533900</v>
      </c>
      <c r="P96" s="187">
        <f t="shared" si="9"/>
        <v>5298709.25</v>
      </c>
      <c r="Q96" s="182"/>
      <c r="R96" s="244">
        <f t="shared" si="10"/>
        <v>1.1208868088440255E-2</v>
      </c>
      <c r="S96" s="482">
        <f t="shared" si="11"/>
        <v>0.66513559754939811</v>
      </c>
    </row>
    <row r="97" spans="2:19" x14ac:dyDescent="0.35">
      <c r="B97" s="182">
        <v>14000</v>
      </c>
      <c r="C97" s="195">
        <v>175500</v>
      </c>
      <c r="D97" s="196">
        <v>240800</v>
      </c>
      <c r="E97" s="196">
        <v>202600</v>
      </c>
      <c r="F97" s="196">
        <v>474200</v>
      </c>
      <c r="G97" s="196">
        <v>283200</v>
      </c>
      <c r="H97" s="196">
        <v>432700</v>
      </c>
      <c r="I97" s="196">
        <v>663800</v>
      </c>
      <c r="J97" s="196">
        <v>541700</v>
      </c>
      <c r="K97" s="196">
        <v>404700</v>
      </c>
      <c r="L97" s="196">
        <v>269200</v>
      </c>
      <c r="M97" s="196">
        <v>203500</v>
      </c>
      <c r="N97" s="313">
        <v>471900</v>
      </c>
      <c r="O97" s="374">
        <f t="shared" si="8"/>
        <v>4363800</v>
      </c>
      <c r="P97" s="187">
        <f t="shared" si="9"/>
        <v>4178338.5</v>
      </c>
      <c r="Q97" s="182"/>
      <c r="R97" s="244">
        <f t="shared" si="10"/>
        <v>8.8388403412305219E-3</v>
      </c>
      <c r="S97" s="482">
        <f t="shared" si="11"/>
        <v>0.67397443789062861</v>
      </c>
    </row>
    <row r="98" spans="2:19" x14ac:dyDescent="0.35">
      <c r="B98" s="182">
        <v>15000</v>
      </c>
      <c r="C98" s="195">
        <v>331500</v>
      </c>
      <c r="D98" s="196">
        <v>307200</v>
      </c>
      <c r="E98" s="196">
        <v>219000</v>
      </c>
      <c r="F98" s="196">
        <v>288800</v>
      </c>
      <c r="G98" s="196">
        <v>218600</v>
      </c>
      <c r="H98" s="196">
        <v>407600</v>
      </c>
      <c r="I98" s="196">
        <v>538300</v>
      </c>
      <c r="J98" s="196">
        <v>417800</v>
      </c>
      <c r="K98" s="196">
        <v>464400</v>
      </c>
      <c r="L98" s="196">
        <v>405900</v>
      </c>
      <c r="M98" s="196">
        <v>115700</v>
      </c>
      <c r="N98" s="313">
        <v>379000</v>
      </c>
      <c r="O98" s="374">
        <f t="shared" si="8"/>
        <v>4093800</v>
      </c>
      <c r="P98" s="187">
        <f t="shared" si="9"/>
        <v>3919813.5</v>
      </c>
      <c r="Q98" s="182"/>
      <c r="R98" s="244">
        <f t="shared" si="10"/>
        <v>8.2919576032195602E-3</v>
      </c>
      <c r="S98" s="482">
        <f t="shared" si="11"/>
        <v>0.68226639549384815</v>
      </c>
    </row>
    <row r="99" spans="2:19" x14ac:dyDescent="0.35">
      <c r="B99" s="182">
        <v>25000</v>
      </c>
      <c r="C99" s="195">
        <v>1106800</v>
      </c>
      <c r="D99" s="196">
        <v>1278400</v>
      </c>
      <c r="E99" s="196">
        <v>1032700</v>
      </c>
      <c r="F99" s="196">
        <v>1787100</v>
      </c>
      <c r="G99" s="196">
        <v>1445100</v>
      </c>
      <c r="H99" s="196">
        <v>2362400</v>
      </c>
      <c r="I99" s="196">
        <v>2761300</v>
      </c>
      <c r="J99" s="196">
        <v>2507500</v>
      </c>
      <c r="K99" s="196">
        <v>2308300</v>
      </c>
      <c r="L99" s="196">
        <v>1605700</v>
      </c>
      <c r="M99" s="196">
        <v>1267300</v>
      </c>
      <c r="N99" s="313">
        <v>1526000</v>
      </c>
      <c r="O99" s="374">
        <f t="shared" si="8"/>
        <v>20988600</v>
      </c>
      <c r="P99" s="187">
        <f t="shared" si="9"/>
        <v>20096584.5</v>
      </c>
      <c r="Q99" s="182"/>
      <c r="R99" s="244">
        <f t="shared" si="10"/>
        <v>4.2512233463025559E-2</v>
      </c>
      <c r="S99" s="482">
        <f t="shared" si="11"/>
        <v>0.72477862895687373</v>
      </c>
    </row>
    <row r="100" spans="2:19" x14ac:dyDescent="0.35">
      <c r="B100" s="182">
        <v>35000</v>
      </c>
      <c r="C100" s="195">
        <v>970700</v>
      </c>
      <c r="D100" s="196">
        <v>601500</v>
      </c>
      <c r="E100" s="196">
        <v>874300</v>
      </c>
      <c r="F100" s="196">
        <v>900000</v>
      </c>
      <c r="G100" s="196">
        <v>699800</v>
      </c>
      <c r="H100" s="196">
        <v>912600</v>
      </c>
      <c r="I100" s="196">
        <v>1303000</v>
      </c>
      <c r="J100" s="196">
        <v>851500</v>
      </c>
      <c r="K100" s="196">
        <v>1207700</v>
      </c>
      <c r="L100" s="196">
        <v>720800</v>
      </c>
      <c r="M100" s="196">
        <v>845000</v>
      </c>
      <c r="N100" s="313">
        <v>778400</v>
      </c>
      <c r="O100" s="374">
        <f t="shared" si="8"/>
        <v>10665300</v>
      </c>
      <c r="P100" s="187">
        <f t="shared" si="9"/>
        <v>10212024.75</v>
      </c>
      <c r="Q100" s="182"/>
      <c r="R100" s="244">
        <f t="shared" si="10"/>
        <v>2.1602475798919725E-2</v>
      </c>
      <c r="S100" s="482">
        <f t="shared" si="11"/>
        <v>0.74638110475579345</v>
      </c>
    </row>
    <row r="101" spans="2:19" x14ac:dyDescent="0.35">
      <c r="B101" s="182">
        <v>45000</v>
      </c>
      <c r="C101" s="195">
        <v>749800</v>
      </c>
      <c r="D101" s="196">
        <v>597500</v>
      </c>
      <c r="E101" s="196">
        <v>678500</v>
      </c>
      <c r="F101" s="196">
        <v>728400</v>
      </c>
      <c r="G101" s="196">
        <v>799300</v>
      </c>
      <c r="H101" s="196">
        <v>653500</v>
      </c>
      <c r="I101" s="196">
        <v>828800</v>
      </c>
      <c r="J101" s="196">
        <v>798700</v>
      </c>
      <c r="K101" s="196">
        <v>1102900</v>
      </c>
      <c r="L101" s="196">
        <v>1005500</v>
      </c>
      <c r="M101" s="196">
        <v>913100</v>
      </c>
      <c r="N101" s="313">
        <v>989700</v>
      </c>
      <c r="O101" s="374">
        <f t="shared" si="8"/>
        <v>9845700</v>
      </c>
      <c r="P101" s="187">
        <f t="shared" si="9"/>
        <v>9427257.75</v>
      </c>
      <c r="Q101" s="182"/>
      <c r="R101" s="244">
        <f t="shared" si="10"/>
        <v>1.9942382865313111E-2</v>
      </c>
      <c r="S101" s="482">
        <f t="shared" si="11"/>
        <v>0.76632348762110658</v>
      </c>
    </row>
    <row r="102" spans="2:19" x14ac:dyDescent="0.35">
      <c r="B102" s="182">
        <v>55000</v>
      </c>
      <c r="C102" s="195">
        <v>806400</v>
      </c>
      <c r="D102" s="196">
        <v>794400</v>
      </c>
      <c r="E102" s="196">
        <v>596900</v>
      </c>
      <c r="F102" s="196">
        <v>659900</v>
      </c>
      <c r="G102" s="196">
        <v>503000</v>
      </c>
      <c r="H102" s="196">
        <v>449700</v>
      </c>
      <c r="I102" s="196">
        <v>702800</v>
      </c>
      <c r="J102" s="196">
        <v>939500</v>
      </c>
      <c r="K102" s="196">
        <v>789100</v>
      </c>
      <c r="L102" s="196">
        <v>561500</v>
      </c>
      <c r="M102" s="196">
        <v>534700</v>
      </c>
      <c r="N102" s="313">
        <v>632100</v>
      </c>
      <c r="O102" s="374">
        <f t="shared" si="8"/>
        <v>7970000</v>
      </c>
      <c r="P102" s="187">
        <f t="shared" si="9"/>
        <v>7631275</v>
      </c>
      <c r="Q102" s="182"/>
      <c r="R102" s="244">
        <f t="shared" si="10"/>
        <v>1.6143168229434728E-2</v>
      </c>
      <c r="S102" s="482">
        <f t="shared" si="11"/>
        <v>0.78246665585054131</v>
      </c>
    </row>
    <row r="103" spans="2:19" x14ac:dyDescent="0.35">
      <c r="B103" s="182">
        <v>65000</v>
      </c>
      <c r="C103" s="195">
        <v>412800</v>
      </c>
      <c r="D103" s="196">
        <v>476800</v>
      </c>
      <c r="E103" s="196">
        <v>295200</v>
      </c>
      <c r="F103" s="196">
        <v>349700</v>
      </c>
      <c r="G103" s="196">
        <v>524800</v>
      </c>
      <c r="H103" s="196">
        <v>711800</v>
      </c>
      <c r="I103" s="196">
        <v>639600</v>
      </c>
      <c r="J103" s="196">
        <v>299800</v>
      </c>
      <c r="K103" s="196">
        <v>652100</v>
      </c>
      <c r="L103" s="196">
        <v>611700</v>
      </c>
      <c r="M103" s="196">
        <v>291000</v>
      </c>
      <c r="N103" s="313">
        <v>784400</v>
      </c>
      <c r="O103" s="374">
        <f t="shared" si="8"/>
        <v>6049700</v>
      </c>
      <c r="P103" s="187">
        <f t="shared" si="9"/>
        <v>5792587.75</v>
      </c>
      <c r="Q103" s="182"/>
      <c r="R103" s="244">
        <f t="shared" si="10"/>
        <v>1.2253616667203421E-2</v>
      </c>
      <c r="S103" s="482">
        <f t="shared" si="11"/>
        <v>0.79472027251774469</v>
      </c>
    </row>
    <row r="104" spans="2:19" x14ac:dyDescent="0.35">
      <c r="B104" s="182">
        <v>75000</v>
      </c>
      <c r="C104" s="195">
        <v>143400</v>
      </c>
      <c r="D104" s="196">
        <v>352300</v>
      </c>
      <c r="E104" s="196">
        <v>570300</v>
      </c>
      <c r="F104" s="196">
        <v>349800</v>
      </c>
      <c r="G104" s="196">
        <v>281400</v>
      </c>
      <c r="H104" s="196">
        <v>485400</v>
      </c>
      <c r="I104" s="196">
        <v>628900</v>
      </c>
      <c r="J104" s="196">
        <v>699600</v>
      </c>
      <c r="K104" s="196">
        <v>624000</v>
      </c>
      <c r="L104" s="196">
        <v>217000</v>
      </c>
      <c r="M104" s="196">
        <v>630600</v>
      </c>
      <c r="N104" s="313">
        <v>350300</v>
      </c>
      <c r="O104" s="374">
        <f t="shared" si="8"/>
        <v>5333000</v>
      </c>
      <c r="P104" s="187">
        <f t="shared" si="9"/>
        <v>5106347.5</v>
      </c>
      <c r="Q104" s="182"/>
      <c r="R104" s="244">
        <f t="shared" si="10"/>
        <v>1.0801946821527655E-2</v>
      </c>
      <c r="S104" s="482">
        <f t="shared" si="11"/>
        <v>0.80552221933927237</v>
      </c>
    </row>
    <row r="105" spans="2:19" x14ac:dyDescent="0.35">
      <c r="B105" s="182">
        <v>85000</v>
      </c>
      <c r="C105" s="195">
        <v>400700</v>
      </c>
      <c r="D105" s="196">
        <v>244200</v>
      </c>
      <c r="E105" s="196">
        <v>230900</v>
      </c>
      <c r="F105" s="196">
        <v>481800</v>
      </c>
      <c r="G105" s="196">
        <v>83300</v>
      </c>
      <c r="H105" s="196">
        <v>159700</v>
      </c>
      <c r="I105" s="196">
        <v>164500</v>
      </c>
      <c r="J105" s="196">
        <v>239600</v>
      </c>
      <c r="K105" s="196">
        <v>318100</v>
      </c>
      <c r="L105" s="196">
        <v>321800</v>
      </c>
      <c r="M105" s="196">
        <v>168200</v>
      </c>
      <c r="N105" s="313">
        <v>478800</v>
      </c>
      <c r="O105" s="374">
        <f t="shared" si="8"/>
        <v>3291600</v>
      </c>
      <c r="P105" s="187">
        <f t="shared" si="9"/>
        <v>3151707</v>
      </c>
      <c r="Q105" s="182"/>
      <c r="R105" s="244">
        <f t="shared" si="10"/>
        <v>6.6671082238403201E-3</v>
      </c>
      <c r="S105" s="482">
        <f t="shared" si="11"/>
        <v>0.81218932756311268</v>
      </c>
    </row>
    <row r="106" spans="2:19" x14ac:dyDescent="0.35">
      <c r="B106" s="182">
        <v>95000</v>
      </c>
      <c r="C106" s="195">
        <v>275300</v>
      </c>
      <c r="D106" s="196">
        <v>277700</v>
      </c>
      <c r="E106" s="196">
        <v>184600</v>
      </c>
      <c r="F106" s="196">
        <v>176100</v>
      </c>
      <c r="G106" s="196">
        <v>0</v>
      </c>
      <c r="H106" s="196">
        <v>267600</v>
      </c>
      <c r="I106" s="196">
        <v>0</v>
      </c>
      <c r="J106" s="196">
        <v>359400</v>
      </c>
      <c r="K106" s="196">
        <v>268000</v>
      </c>
      <c r="L106" s="196">
        <v>360700</v>
      </c>
      <c r="M106" s="196">
        <v>266800</v>
      </c>
      <c r="N106" s="313">
        <v>537700</v>
      </c>
      <c r="O106" s="374">
        <f t="shared" si="8"/>
        <v>2973900</v>
      </c>
      <c r="P106" s="187">
        <f t="shared" si="9"/>
        <v>2847509.25</v>
      </c>
      <c r="Q106" s="182"/>
      <c r="R106" s="244">
        <f t="shared" si="10"/>
        <v>6.02360953544742E-3</v>
      </c>
      <c r="S106" s="482">
        <f t="shared" si="11"/>
        <v>0.81821293709856013</v>
      </c>
    </row>
    <row r="107" spans="2:19" x14ac:dyDescent="0.35">
      <c r="B107" s="182">
        <v>105000</v>
      </c>
      <c r="C107" s="195">
        <v>408400</v>
      </c>
      <c r="D107" s="196">
        <v>296000</v>
      </c>
      <c r="E107" s="196">
        <v>205200</v>
      </c>
      <c r="F107" s="196">
        <v>0</v>
      </c>
      <c r="G107" s="196">
        <v>100000</v>
      </c>
      <c r="H107" s="196">
        <v>97000</v>
      </c>
      <c r="I107" s="196">
        <v>196900</v>
      </c>
      <c r="J107" s="196">
        <v>199900</v>
      </c>
      <c r="K107" s="196">
        <v>197700</v>
      </c>
      <c r="L107" s="196">
        <v>198900</v>
      </c>
      <c r="M107" s="196">
        <v>294600</v>
      </c>
      <c r="N107" s="313">
        <v>493900</v>
      </c>
      <c r="O107" s="374">
        <f t="shared" si="8"/>
        <v>2688500</v>
      </c>
      <c r="P107" s="187">
        <f t="shared" si="9"/>
        <v>2574238.75</v>
      </c>
      <c r="Q107" s="182"/>
      <c r="R107" s="244">
        <f t="shared" si="10"/>
        <v>5.4455342264536095E-3</v>
      </c>
      <c r="S107" s="482">
        <f t="shared" si="11"/>
        <v>0.8236584713250138</v>
      </c>
    </row>
    <row r="108" spans="2:19" x14ac:dyDescent="0.35">
      <c r="B108" s="182">
        <v>115000</v>
      </c>
      <c r="C108" s="195">
        <v>226300</v>
      </c>
      <c r="D108" s="196">
        <v>218000</v>
      </c>
      <c r="E108" s="196">
        <v>327000</v>
      </c>
      <c r="F108" s="196">
        <v>227300</v>
      </c>
      <c r="G108" s="196">
        <v>216000</v>
      </c>
      <c r="H108" s="196">
        <v>215500</v>
      </c>
      <c r="I108" s="196">
        <v>111500</v>
      </c>
      <c r="J108" s="196">
        <v>326100</v>
      </c>
      <c r="K108" s="196">
        <v>436400</v>
      </c>
      <c r="L108" s="196">
        <v>225200</v>
      </c>
      <c r="M108" s="196">
        <v>327900</v>
      </c>
      <c r="N108" s="313">
        <v>108700</v>
      </c>
      <c r="O108" s="374">
        <f t="shared" si="8"/>
        <v>2965900</v>
      </c>
      <c r="P108" s="187">
        <f t="shared" si="9"/>
        <v>2839849.25</v>
      </c>
      <c r="Q108" s="182"/>
      <c r="R108" s="244">
        <f t="shared" si="10"/>
        <v>6.007405602469317E-3</v>
      </c>
      <c r="S108" s="482">
        <f t="shared" si="11"/>
        <v>0.82966587692748306</v>
      </c>
    </row>
    <row r="109" spans="2:19" x14ac:dyDescent="0.35">
      <c r="B109" s="182">
        <v>125000</v>
      </c>
      <c r="C109" s="195">
        <v>122600</v>
      </c>
      <c r="D109" s="196">
        <v>484800</v>
      </c>
      <c r="E109" s="196">
        <v>351200</v>
      </c>
      <c r="F109" s="196">
        <v>237900</v>
      </c>
      <c r="G109" s="196">
        <v>241300</v>
      </c>
      <c r="H109" s="196">
        <v>361100</v>
      </c>
      <c r="I109" s="196">
        <v>0</v>
      </c>
      <c r="J109" s="196">
        <v>234000</v>
      </c>
      <c r="K109" s="196">
        <v>124100</v>
      </c>
      <c r="L109" s="196">
        <v>122300</v>
      </c>
      <c r="M109" s="196">
        <v>359800</v>
      </c>
      <c r="N109" s="313">
        <v>115600</v>
      </c>
      <c r="O109" s="374">
        <f t="shared" si="8"/>
        <v>2754700</v>
      </c>
      <c r="P109" s="187">
        <f t="shared" si="9"/>
        <v>2637625.25</v>
      </c>
      <c r="Q109" s="182"/>
      <c r="R109" s="244">
        <f t="shared" si="10"/>
        <v>5.5796217718474088E-3</v>
      </c>
      <c r="S109" s="482">
        <f t="shared" si="11"/>
        <v>0.83524549869933051</v>
      </c>
    </row>
    <row r="110" spans="2:19" x14ac:dyDescent="0.35">
      <c r="B110" s="182">
        <v>135000</v>
      </c>
      <c r="C110" s="195">
        <v>129000</v>
      </c>
      <c r="D110" s="196">
        <v>127800</v>
      </c>
      <c r="E110" s="196">
        <v>129900</v>
      </c>
      <c r="F110" s="196">
        <v>130500</v>
      </c>
      <c r="G110" s="196">
        <v>390100</v>
      </c>
      <c r="H110" s="196">
        <v>127500</v>
      </c>
      <c r="I110" s="196">
        <v>125700</v>
      </c>
      <c r="J110" s="196">
        <v>132600</v>
      </c>
      <c r="K110" s="196">
        <v>257600</v>
      </c>
      <c r="L110" s="196">
        <v>521900</v>
      </c>
      <c r="M110" s="196">
        <v>0</v>
      </c>
      <c r="N110" s="313">
        <v>265300</v>
      </c>
      <c r="O110" s="374">
        <f t="shared" si="8"/>
        <v>2337900</v>
      </c>
      <c r="P110" s="187">
        <f t="shared" si="9"/>
        <v>2238539.25</v>
      </c>
      <c r="Q110" s="182"/>
      <c r="R110" s="244">
        <f t="shared" si="10"/>
        <v>4.7353968636882626E-3</v>
      </c>
      <c r="S110" s="482">
        <f t="shared" si="11"/>
        <v>0.8399808955630188</v>
      </c>
    </row>
    <row r="111" spans="2:19" x14ac:dyDescent="0.35">
      <c r="B111" s="182">
        <v>145000</v>
      </c>
      <c r="C111" s="195">
        <v>142400</v>
      </c>
      <c r="D111" s="196">
        <v>144000</v>
      </c>
      <c r="E111" s="196">
        <v>282200</v>
      </c>
      <c r="F111" s="196">
        <v>136800</v>
      </c>
      <c r="G111" s="196">
        <v>277900</v>
      </c>
      <c r="H111" s="196">
        <v>285400</v>
      </c>
      <c r="I111" s="196">
        <v>143200</v>
      </c>
      <c r="J111" s="196">
        <v>143100</v>
      </c>
      <c r="K111" s="196">
        <v>141800</v>
      </c>
      <c r="L111" s="196">
        <v>421300</v>
      </c>
      <c r="M111" s="196">
        <v>708200</v>
      </c>
      <c r="N111" s="313">
        <v>282700</v>
      </c>
      <c r="O111" s="374">
        <f t="shared" si="8"/>
        <v>3109000</v>
      </c>
      <c r="P111" s="187">
        <f t="shared" si="9"/>
        <v>2976867.5</v>
      </c>
      <c r="Q111" s="182"/>
      <c r="R111" s="244">
        <f t="shared" si="10"/>
        <v>6.2972534536151282E-3</v>
      </c>
      <c r="S111" s="482">
        <f t="shared" si="11"/>
        <v>0.8462781490166339</v>
      </c>
    </row>
    <row r="112" spans="2:19" x14ac:dyDescent="0.35">
      <c r="B112" s="182">
        <v>155000</v>
      </c>
      <c r="C112" s="195">
        <v>149300</v>
      </c>
      <c r="D112" s="196">
        <v>599300</v>
      </c>
      <c r="E112" s="196">
        <v>146000</v>
      </c>
      <c r="F112" s="196">
        <v>447700</v>
      </c>
      <c r="G112" s="196">
        <v>295200</v>
      </c>
      <c r="H112" s="196">
        <v>451500</v>
      </c>
      <c r="I112" s="196">
        <v>152500</v>
      </c>
      <c r="J112" s="196">
        <v>147000</v>
      </c>
      <c r="K112" s="196">
        <v>155000</v>
      </c>
      <c r="L112" s="196">
        <v>150100</v>
      </c>
      <c r="M112" s="196">
        <v>146200</v>
      </c>
      <c r="N112" s="313">
        <v>146100</v>
      </c>
      <c r="O112" s="374">
        <f t="shared" si="8"/>
        <v>2985900</v>
      </c>
      <c r="P112" s="187">
        <f t="shared" si="9"/>
        <v>2858999.25</v>
      </c>
      <c r="Q112" s="182"/>
      <c r="R112" s="244">
        <f t="shared" si="10"/>
        <v>6.047915434914574E-3</v>
      </c>
      <c r="S112" s="482">
        <f t="shared" si="11"/>
        <v>0.85232606445154846</v>
      </c>
    </row>
    <row r="113" spans="2:19" x14ac:dyDescent="0.35">
      <c r="B113" s="182">
        <v>165000</v>
      </c>
      <c r="C113" s="195">
        <v>159100</v>
      </c>
      <c r="D113" s="196">
        <v>0</v>
      </c>
      <c r="E113" s="196">
        <v>157800</v>
      </c>
      <c r="F113" s="196">
        <v>320300</v>
      </c>
      <c r="G113" s="196">
        <v>158000</v>
      </c>
      <c r="H113" s="196">
        <v>0</v>
      </c>
      <c r="I113" s="196">
        <v>319800</v>
      </c>
      <c r="J113" s="196">
        <v>488100</v>
      </c>
      <c r="K113" s="196">
        <v>319000</v>
      </c>
      <c r="L113" s="196">
        <v>0</v>
      </c>
      <c r="M113" s="196">
        <v>0</v>
      </c>
      <c r="N113" s="313">
        <v>0</v>
      </c>
      <c r="O113" s="374">
        <f t="shared" si="8"/>
        <v>1922100</v>
      </c>
      <c r="P113" s="187">
        <f t="shared" si="9"/>
        <v>1840410.75</v>
      </c>
      <c r="Q113" s="182"/>
      <c r="R113" s="244">
        <f t="shared" si="10"/>
        <v>3.893197447151379E-3</v>
      </c>
      <c r="S113" s="482">
        <f t="shared" si="11"/>
        <v>0.85621926189869979</v>
      </c>
    </row>
    <row r="114" spans="2:19" x14ac:dyDescent="0.35">
      <c r="B114" s="182">
        <v>175000</v>
      </c>
      <c r="C114" s="195">
        <v>175000</v>
      </c>
      <c r="D114" s="196">
        <v>171600</v>
      </c>
      <c r="E114" s="196">
        <v>344500</v>
      </c>
      <c r="F114" s="196">
        <v>172800</v>
      </c>
      <c r="G114" s="196">
        <v>0</v>
      </c>
      <c r="H114" s="196">
        <v>0</v>
      </c>
      <c r="I114" s="196">
        <v>0</v>
      </c>
      <c r="J114" s="196">
        <v>683100</v>
      </c>
      <c r="K114" s="196">
        <v>0</v>
      </c>
      <c r="L114" s="196">
        <v>334600</v>
      </c>
      <c r="M114" s="196">
        <v>338200</v>
      </c>
      <c r="N114" s="313">
        <v>0</v>
      </c>
      <c r="O114" s="374">
        <f t="shared" si="8"/>
        <v>2219800</v>
      </c>
      <c r="P114" s="187">
        <f t="shared" si="9"/>
        <v>2125458.5</v>
      </c>
      <c r="Q114" s="182"/>
      <c r="R114" s="244">
        <f t="shared" si="10"/>
        <v>4.4961863030990225E-3</v>
      </c>
      <c r="S114" s="482">
        <f t="shared" si="11"/>
        <v>0.86071544820179879</v>
      </c>
    </row>
    <row r="115" spans="2:19" x14ac:dyDescent="0.35">
      <c r="B115" s="182">
        <v>185000</v>
      </c>
      <c r="C115" s="195">
        <v>357200</v>
      </c>
      <c r="D115" s="196">
        <v>0</v>
      </c>
      <c r="E115" s="196">
        <v>183500</v>
      </c>
      <c r="F115" s="196">
        <v>178500</v>
      </c>
      <c r="G115" s="196">
        <v>184700</v>
      </c>
      <c r="H115" s="196">
        <v>0</v>
      </c>
      <c r="I115" s="196">
        <v>179900</v>
      </c>
      <c r="J115" s="196">
        <v>0</v>
      </c>
      <c r="K115" s="196">
        <v>548200</v>
      </c>
      <c r="L115" s="196">
        <v>179100</v>
      </c>
      <c r="M115" s="196">
        <v>177900</v>
      </c>
      <c r="N115" s="313">
        <v>178800</v>
      </c>
      <c r="O115" s="374">
        <f t="shared" si="8"/>
        <v>2167800</v>
      </c>
      <c r="P115" s="187">
        <f t="shared" si="9"/>
        <v>2075668.5</v>
      </c>
      <c r="Q115" s="182"/>
      <c r="R115" s="244">
        <f t="shared" si="10"/>
        <v>4.3908607387413553E-3</v>
      </c>
      <c r="S115" s="482">
        <f t="shared" si="11"/>
        <v>0.86510630894054019</v>
      </c>
    </row>
    <row r="116" spans="2:19" x14ac:dyDescent="0.35">
      <c r="B116" s="182">
        <v>195000</v>
      </c>
      <c r="C116" s="195">
        <v>190700</v>
      </c>
      <c r="D116" s="196">
        <v>381500</v>
      </c>
      <c r="E116" s="196">
        <v>0</v>
      </c>
      <c r="F116" s="196">
        <v>0</v>
      </c>
      <c r="G116" s="196">
        <v>0</v>
      </c>
      <c r="H116" s="196">
        <v>0</v>
      </c>
      <c r="I116" s="196">
        <v>374400</v>
      </c>
      <c r="J116" s="196">
        <v>0</v>
      </c>
      <c r="K116" s="196">
        <v>0</v>
      </c>
      <c r="L116" s="196">
        <v>383000</v>
      </c>
      <c r="M116" s="196">
        <v>189900</v>
      </c>
      <c r="N116" s="313">
        <v>384300</v>
      </c>
      <c r="O116" s="374">
        <f t="shared" si="8"/>
        <v>1903800</v>
      </c>
      <c r="P116" s="187">
        <f t="shared" si="9"/>
        <v>1822888.5</v>
      </c>
      <c r="Q116" s="182"/>
      <c r="R116" s="244">
        <f t="shared" si="10"/>
        <v>3.8561309504639694E-3</v>
      </c>
      <c r="S116" s="482">
        <f t="shared" si="11"/>
        <v>0.86896243989100419</v>
      </c>
    </row>
    <row r="117" spans="2:19" x14ac:dyDescent="0.35">
      <c r="B117" s="182">
        <v>205000</v>
      </c>
      <c r="C117" s="195">
        <v>0</v>
      </c>
      <c r="D117" s="196">
        <v>195600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  <c r="J117" s="196">
        <v>408800</v>
      </c>
      <c r="K117" s="196">
        <v>0</v>
      </c>
      <c r="L117" s="196">
        <v>203500</v>
      </c>
      <c r="M117" s="196">
        <v>0</v>
      </c>
      <c r="N117" s="313">
        <v>199400</v>
      </c>
      <c r="O117" s="374">
        <f t="shared" si="8"/>
        <v>1007300</v>
      </c>
      <c r="P117" s="187">
        <f t="shared" si="9"/>
        <v>964489.75</v>
      </c>
      <c r="Q117" s="182"/>
      <c r="R117" s="244">
        <f t="shared" si="10"/>
        <v>2.0402777111053452E-3</v>
      </c>
      <c r="S117" s="482">
        <f t="shared" si="11"/>
        <v>0.87100271760210957</v>
      </c>
    </row>
    <row r="118" spans="2:19" x14ac:dyDescent="0.35">
      <c r="B118" s="182">
        <v>215000</v>
      </c>
      <c r="C118" s="195">
        <v>0</v>
      </c>
      <c r="D118" s="196">
        <v>0</v>
      </c>
      <c r="E118" s="196">
        <v>0</v>
      </c>
      <c r="F118" s="196">
        <v>414300</v>
      </c>
      <c r="G118" s="196">
        <v>210000</v>
      </c>
      <c r="H118" s="196">
        <v>420300</v>
      </c>
      <c r="I118" s="196">
        <v>627200</v>
      </c>
      <c r="J118" s="196">
        <v>0</v>
      </c>
      <c r="K118" s="196">
        <v>213500</v>
      </c>
      <c r="L118" s="196">
        <v>0</v>
      </c>
      <c r="M118" s="196">
        <v>214800</v>
      </c>
      <c r="N118" s="313">
        <v>0</v>
      </c>
      <c r="O118" s="374">
        <f t="shared" si="8"/>
        <v>2100100</v>
      </c>
      <c r="P118" s="187">
        <f t="shared" si="9"/>
        <v>2010845.75</v>
      </c>
      <c r="Q118" s="182"/>
      <c r="R118" s="244">
        <f t="shared" si="10"/>
        <v>4.2537349559141624E-3</v>
      </c>
      <c r="S118" s="482">
        <f t="shared" si="11"/>
        <v>0.87525645255802376</v>
      </c>
    </row>
    <row r="119" spans="2:19" x14ac:dyDescent="0.35">
      <c r="B119" s="182">
        <v>225000</v>
      </c>
      <c r="C119" s="195">
        <v>0</v>
      </c>
      <c r="D119" s="196">
        <v>0</v>
      </c>
      <c r="E119" s="196">
        <v>0</v>
      </c>
      <c r="F119" s="196">
        <v>0</v>
      </c>
      <c r="G119" s="196">
        <v>216700</v>
      </c>
      <c r="H119" s="196">
        <v>217000</v>
      </c>
      <c r="I119" s="196">
        <v>0</v>
      </c>
      <c r="J119" s="196">
        <v>0</v>
      </c>
      <c r="K119" s="196">
        <v>0</v>
      </c>
      <c r="L119" s="196">
        <v>221600</v>
      </c>
      <c r="M119" s="196">
        <v>0</v>
      </c>
      <c r="N119" s="313">
        <v>217000</v>
      </c>
      <c r="O119" s="374">
        <f t="shared" si="8"/>
        <v>872300</v>
      </c>
      <c r="P119" s="187">
        <f t="shared" si="9"/>
        <v>835227.25</v>
      </c>
      <c r="Q119" s="182"/>
      <c r="R119" s="244">
        <f t="shared" si="10"/>
        <v>1.7668363420998636E-3</v>
      </c>
      <c r="S119" s="482">
        <f t="shared" si="11"/>
        <v>0.8770232889001236</v>
      </c>
    </row>
    <row r="120" spans="2:19" x14ac:dyDescent="0.35">
      <c r="B120" s="182">
        <v>235000</v>
      </c>
      <c r="C120" s="195">
        <v>233500</v>
      </c>
      <c r="D120" s="196">
        <v>0</v>
      </c>
      <c r="E120" s="196">
        <v>0</v>
      </c>
      <c r="F120" s="196">
        <v>0</v>
      </c>
      <c r="G120" s="196">
        <v>0</v>
      </c>
      <c r="H120" s="196">
        <v>227500</v>
      </c>
      <c r="I120" s="196">
        <v>231600</v>
      </c>
      <c r="J120" s="196">
        <v>0</v>
      </c>
      <c r="K120" s="196">
        <v>457200</v>
      </c>
      <c r="L120" s="196">
        <v>0</v>
      </c>
      <c r="M120" s="196">
        <v>0</v>
      </c>
      <c r="N120" s="313">
        <v>0</v>
      </c>
      <c r="O120" s="374">
        <f t="shared" si="8"/>
        <v>1149800</v>
      </c>
      <c r="P120" s="187">
        <f t="shared" si="9"/>
        <v>1100933.5</v>
      </c>
      <c r="Q120" s="182"/>
      <c r="R120" s="244">
        <f t="shared" si="10"/>
        <v>2.328910267277798E-3</v>
      </c>
      <c r="S120" s="482">
        <f t="shared" si="11"/>
        <v>0.87935219916740137</v>
      </c>
    </row>
    <row r="121" spans="2:19" x14ac:dyDescent="0.35">
      <c r="B121" s="182">
        <v>245000</v>
      </c>
      <c r="C121" s="195">
        <v>243900</v>
      </c>
      <c r="D121" s="196">
        <v>239500</v>
      </c>
      <c r="E121" s="196">
        <v>238200</v>
      </c>
      <c r="F121" s="196">
        <v>235900</v>
      </c>
      <c r="G121" s="196">
        <v>0</v>
      </c>
      <c r="H121" s="196">
        <v>0</v>
      </c>
      <c r="I121" s="196">
        <v>0</v>
      </c>
      <c r="J121" s="196">
        <v>239600</v>
      </c>
      <c r="K121" s="196">
        <v>0</v>
      </c>
      <c r="L121" s="196">
        <v>0</v>
      </c>
      <c r="M121" s="196">
        <v>0</v>
      </c>
      <c r="N121" s="313">
        <v>0</v>
      </c>
      <c r="O121" s="374">
        <f t="shared" si="8"/>
        <v>1197100</v>
      </c>
      <c r="P121" s="187">
        <f t="shared" si="9"/>
        <v>1146223.25</v>
      </c>
      <c r="Q121" s="182"/>
      <c r="R121" s="244">
        <f t="shared" si="10"/>
        <v>2.4247160210108297E-3</v>
      </c>
      <c r="S121" s="482">
        <f t="shared" si="11"/>
        <v>0.88177691518841217</v>
      </c>
    </row>
    <row r="122" spans="2:19" x14ac:dyDescent="0.35">
      <c r="B122" s="182">
        <v>255000</v>
      </c>
      <c r="C122" s="195">
        <v>0</v>
      </c>
      <c r="D122" s="196">
        <v>0</v>
      </c>
      <c r="E122" s="196">
        <v>245500</v>
      </c>
      <c r="F122" s="196">
        <v>254200</v>
      </c>
      <c r="G122" s="196">
        <v>0</v>
      </c>
      <c r="H122" s="196">
        <v>0</v>
      </c>
      <c r="I122" s="196">
        <v>246200</v>
      </c>
      <c r="J122" s="196">
        <v>0</v>
      </c>
      <c r="K122" s="196">
        <v>253700</v>
      </c>
      <c r="L122" s="196">
        <v>0</v>
      </c>
      <c r="M122" s="196">
        <v>0</v>
      </c>
      <c r="N122" s="313">
        <v>0</v>
      </c>
      <c r="O122" s="374">
        <f t="shared" si="8"/>
        <v>999600</v>
      </c>
      <c r="P122" s="187">
        <f t="shared" si="9"/>
        <v>957117</v>
      </c>
      <c r="Q122" s="182"/>
      <c r="R122" s="244">
        <f t="shared" si="10"/>
        <v>2.0246814256139212E-3</v>
      </c>
      <c r="S122" s="482">
        <f t="shared" si="11"/>
        <v>0.88380159661402613</v>
      </c>
    </row>
    <row r="123" spans="2:19" x14ac:dyDescent="0.35">
      <c r="B123" s="182">
        <v>265000</v>
      </c>
      <c r="C123" s="195">
        <v>0</v>
      </c>
      <c r="D123" s="196">
        <v>260300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0</v>
      </c>
      <c r="K123" s="196">
        <v>0</v>
      </c>
      <c r="L123" s="196">
        <v>258500</v>
      </c>
      <c r="M123" s="196">
        <v>0</v>
      </c>
      <c r="N123" s="313">
        <v>0</v>
      </c>
      <c r="O123" s="374">
        <f t="shared" si="8"/>
        <v>518800</v>
      </c>
      <c r="P123" s="187">
        <f t="shared" si="9"/>
        <v>496751</v>
      </c>
      <c r="Q123" s="182"/>
      <c r="R123" s="244">
        <f t="shared" si="10"/>
        <v>1.0508250536299544E-3</v>
      </c>
      <c r="S123" s="482">
        <f t="shared" si="11"/>
        <v>0.8848524216676561</v>
      </c>
    </row>
    <row r="124" spans="2:19" x14ac:dyDescent="0.35">
      <c r="B124" s="182">
        <v>275000</v>
      </c>
      <c r="C124" s="195">
        <v>0</v>
      </c>
      <c r="D124" s="196">
        <v>0</v>
      </c>
      <c r="E124" s="196">
        <v>0</v>
      </c>
      <c r="F124" s="196">
        <v>0</v>
      </c>
      <c r="G124" s="196">
        <v>0</v>
      </c>
      <c r="H124" s="196">
        <v>536700</v>
      </c>
      <c r="I124" s="196">
        <v>270200</v>
      </c>
      <c r="J124" s="196">
        <v>0</v>
      </c>
      <c r="K124" s="196">
        <v>269800</v>
      </c>
      <c r="L124" s="196">
        <v>0</v>
      </c>
      <c r="M124" s="196">
        <v>0</v>
      </c>
      <c r="N124" s="313">
        <v>0</v>
      </c>
      <c r="O124" s="374">
        <f t="shared" si="8"/>
        <v>1076700</v>
      </c>
      <c r="P124" s="187">
        <f t="shared" si="9"/>
        <v>1030940.25</v>
      </c>
      <c r="Q124" s="182"/>
      <c r="R124" s="244">
        <f t="shared" si="10"/>
        <v>2.1808468296903856E-3</v>
      </c>
      <c r="S124" s="482">
        <f t="shared" si="11"/>
        <v>0.88703326849734643</v>
      </c>
    </row>
    <row r="125" spans="2:19" x14ac:dyDescent="0.35">
      <c r="B125" s="182">
        <v>285000</v>
      </c>
      <c r="C125" s="195">
        <v>281700</v>
      </c>
      <c r="D125" s="196">
        <v>0</v>
      </c>
      <c r="E125" s="196">
        <v>284200</v>
      </c>
      <c r="F125" s="196">
        <v>0</v>
      </c>
      <c r="G125" s="196">
        <v>277800</v>
      </c>
      <c r="H125" s="196">
        <v>283100</v>
      </c>
      <c r="I125" s="196">
        <v>0</v>
      </c>
      <c r="J125" s="196">
        <v>281500</v>
      </c>
      <c r="K125" s="196">
        <v>0</v>
      </c>
      <c r="L125" s="196">
        <v>559900</v>
      </c>
      <c r="M125" s="196">
        <v>0</v>
      </c>
      <c r="N125" s="313">
        <v>277800</v>
      </c>
      <c r="O125" s="374">
        <f t="shared" si="8"/>
        <v>2246000</v>
      </c>
      <c r="P125" s="187">
        <f t="shared" si="9"/>
        <v>2150545</v>
      </c>
      <c r="Q125" s="182"/>
      <c r="R125" s="244">
        <f t="shared" si="10"/>
        <v>4.5492541836023087E-3</v>
      </c>
      <c r="S125" s="482">
        <f t="shared" si="11"/>
        <v>0.89158252268094873</v>
      </c>
    </row>
    <row r="126" spans="2:19" x14ac:dyDescent="0.35">
      <c r="B126" s="182">
        <v>295000</v>
      </c>
      <c r="C126" s="195">
        <v>0</v>
      </c>
      <c r="D126" s="196">
        <v>0</v>
      </c>
      <c r="E126" s="196">
        <v>292900</v>
      </c>
      <c r="F126" s="196">
        <v>0</v>
      </c>
      <c r="G126" s="196">
        <v>579300</v>
      </c>
      <c r="H126" s="196">
        <v>0</v>
      </c>
      <c r="I126" s="196">
        <v>0</v>
      </c>
      <c r="J126" s="196">
        <v>0</v>
      </c>
      <c r="K126" s="196">
        <v>293800</v>
      </c>
      <c r="L126" s="196">
        <v>0</v>
      </c>
      <c r="M126" s="196">
        <v>286400</v>
      </c>
      <c r="N126" s="313">
        <v>0</v>
      </c>
      <c r="O126" s="374">
        <f t="shared" si="8"/>
        <v>1452400</v>
      </c>
      <c r="P126" s="187">
        <f t="shared" si="9"/>
        <v>1390673</v>
      </c>
      <c r="Q126" s="182"/>
      <c r="R126" s="244">
        <f t="shared" si="10"/>
        <v>2.9418240321745295E-3</v>
      </c>
      <c r="S126" s="482">
        <f t="shared" si="11"/>
        <v>0.89452434671312331</v>
      </c>
    </row>
    <row r="127" spans="2:19" x14ac:dyDescent="0.35">
      <c r="B127" s="182">
        <v>305000</v>
      </c>
      <c r="C127" s="195">
        <v>0</v>
      </c>
      <c r="D127" s="196">
        <v>599500</v>
      </c>
      <c r="E127" s="196">
        <v>297400</v>
      </c>
      <c r="F127" s="196">
        <v>0</v>
      </c>
      <c r="G127" s="196">
        <v>296600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302900</v>
      </c>
      <c r="N127" s="313">
        <v>0</v>
      </c>
      <c r="O127" s="374">
        <f t="shared" si="8"/>
        <v>1496400</v>
      </c>
      <c r="P127" s="187">
        <f t="shared" si="9"/>
        <v>1432803</v>
      </c>
      <c r="Q127" s="182"/>
      <c r="R127" s="244">
        <f t="shared" si="10"/>
        <v>3.0309456635540938E-3</v>
      </c>
      <c r="S127" s="482">
        <f t="shared" si="11"/>
        <v>0.89755529237667742</v>
      </c>
    </row>
    <row r="128" spans="2:19" x14ac:dyDescent="0.35">
      <c r="B128" s="182">
        <v>315000</v>
      </c>
      <c r="C128" s="195">
        <v>0</v>
      </c>
      <c r="D128" s="196">
        <v>311800</v>
      </c>
      <c r="E128" s="196">
        <v>0</v>
      </c>
      <c r="F128" s="196">
        <v>309700</v>
      </c>
      <c r="G128" s="196">
        <v>0</v>
      </c>
      <c r="H128" s="196">
        <v>312200</v>
      </c>
      <c r="I128" s="196">
        <v>308700</v>
      </c>
      <c r="J128" s="196">
        <v>312200</v>
      </c>
      <c r="K128" s="196">
        <v>309200</v>
      </c>
      <c r="L128" s="196">
        <v>0</v>
      </c>
      <c r="M128" s="196">
        <v>0</v>
      </c>
      <c r="N128" s="313">
        <v>315000</v>
      </c>
      <c r="O128" s="374">
        <f t="shared" si="8"/>
        <v>2178800</v>
      </c>
      <c r="P128" s="187">
        <f t="shared" si="9"/>
        <v>2086201</v>
      </c>
      <c r="Q128" s="182"/>
      <c r="R128" s="244">
        <f t="shared" si="10"/>
        <v>4.4131411465862464E-3</v>
      </c>
      <c r="S128" s="482">
        <f t="shared" si="11"/>
        <v>0.90196843352326361</v>
      </c>
    </row>
    <row r="129" spans="2:19" x14ac:dyDescent="0.35">
      <c r="B129" s="182">
        <v>325000</v>
      </c>
      <c r="C129" s="195">
        <v>0</v>
      </c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  <c r="J129" s="196">
        <v>323100</v>
      </c>
      <c r="K129" s="196">
        <v>0</v>
      </c>
      <c r="L129" s="196">
        <v>0</v>
      </c>
      <c r="M129" s="196">
        <v>318800</v>
      </c>
      <c r="N129" s="313">
        <v>321700</v>
      </c>
      <c r="O129" s="374">
        <f t="shared" si="8"/>
        <v>963600</v>
      </c>
      <c r="P129" s="187">
        <f t="shared" si="9"/>
        <v>922647</v>
      </c>
      <c r="Q129" s="182"/>
      <c r="R129" s="244">
        <f t="shared" si="10"/>
        <v>1.9517637272124598E-3</v>
      </c>
      <c r="S129" s="482">
        <f t="shared" si="11"/>
        <v>0.90392019725047612</v>
      </c>
    </row>
    <row r="130" spans="2:19" x14ac:dyDescent="0.35">
      <c r="B130" s="182">
        <v>335000</v>
      </c>
      <c r="C130" s="195">
        <v>331700</v>
      </c>
      <c r="D130" s="196">
        <v>0</v>
      </c>
      <c r="E130" s="196">
        <v>0</v>
      </c>
      <c r="F130" s="196">
        <v>327800</v>
      </c>
      <c r="G130" s="196">
        <v>0</v>
      </c>
      <c r="H130" s="196">
        <v>0</v>
      </c>
      <c r="I130" s="196">
        <v>0</v>
      </c>
      <c r="J130" s="196">
        <v>0</v>
      </c>
      <c r="K130" s="196">
        <v>330800</v>
      </c>
      <c r="L130" s="196">
        <v>333700</v>
      </c>
      <c r="M130" s="196">
        <v>655100</v>
      </c>
      <c r="N130" s="313">
        <v>329000</v>
      </c>
      <c r="O130" s="374">
        <f t="shared" si="8"/>
        <v>2308100</v>
      </c>
      <c r="P130" s="187">
        <f t="shared" si="9"/>
        <v>2210005.75</v>
      </c>
      <c r="Q130" s="182"/>
      <c r="R130" s="244">
        <f t="shared" si="10"/>
        <v>4.6750372133448296E-3</v>
      </c>
      <c r="S130" s="482">
        <f t="shared" si="11"/>
        <v>0.90859523446382096</v>
      </c>
    </row>
    <row r="131" spans="2:19" x14ac:dyDescent="0.35">
      <c r="B131" s="182">
        <v>345000</v>
      </c>
      <c r="C131" s="195">
        <v>344600</v>
      </c>
      <c r="D131" s="196">
        <v>0</v>
      </c>
      <c r="E131" s="196">
        <v>0</v>
      </c>
      <c r="F131" s="196">
        <v>0</v>
      </c>
      <c r="G131" s="196">
        <v>0</v>
      </c>
      <c r="H131" s="196">
        <v>343900</v>
      </c>
      <c r="I131" s="196">
        <v>338000</v>
      </c>
      <c r="J131" s="196">
        <v>0</v>
      </c>
      <c r="K131" s="196">
        <v>0</v>
      </c>
      <c r="L131" s="196">
        <v>0</v>
      </c>
      <c r="M131" s="196">
        <v>0</v>
      </c>
      <c r="N131" s="313">
        <v>344700</v>
      </c>
      <c r="O131" s="374">
        <f t="shared" si="8"/>
        <v>1371200</v>
      </c>
      <c r="P131" s="187">
        <f t="shared" si="9"/>
        <v>1312924</v>
      </c>
      <c r="Q131" s="182"/>
      <c r="R131" s="244">
        <f t="shared" si="10"/>
        <v>2.7773541124467877E-3</v>
      </c>
      <c r="S131" s="482">
        <f t="shared" si="11"/>
        <v>0.91137258857626779</v>
      </c>
    </row>
    <row r="132" spans="2:19" x14ac:dyDescent="0.35">
      <c r="B132" s="182">
        <v>355000</v>
      </c>
      <c r="C132" s="195">
        <v>0</v>
      </c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  <c r="L132" s="196">
        <v>0</v>
      </c>
      <c r="M132" s="196">
        <v>0</v>
      </c>
      <c r="N132" s="313">
        <v>0</v>
      </c>
      <c r="O132" s="374">
        <f t="shared" si="8"/>
        <v>0</v>
      </c>
      <c r="P132" s="187">
        <f t="shared" si="9"/>
        <v>0</v>
      </c>
      <c r="Q132" s="182"/>
      <c r="R132" s="244">
        <f t="shared" si="10"/>
        <v>0</v>
      </c>
      <c r="S132" s="482">
        <f t="shared" si="11"/>
        <v>0.91137258857626779</v>
      </c>
    </row>
    <row r="133" spans="2:19" x14ac:dyDescent="0.35">
      <c r="B133" s="182">
        <v>375000</v>
      </c>
      <c r="C133" s="195">
        <v>0</v>
      </c>
      <c r="D133" s="196">
        <v>0</v>
      </c>
      <c r="E133" s="196">
        <v>0</v>
      </c>
      <c r="F133" s="196">
        <v>358400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1099400</v>
      </c>
      <c r="N133" s="313">
        <v>0</v>
      </c>
      <c r="O133" s="374">
        <f t="shared" si="8"/>
        <v>1457800</v>
      </c>
      <c r="P133" s="187">
        <f t="shared" si="9"/>
        <v>1395843.5</v>
      </c>
      <c r="Q133" s="182"/>
      <c r="R133" s="244">
        <f t="shared" si="10"/>
        <v>2.9527616869347486E-3</v>
      </c>
      <c r="S133" s="482">
        <f t="shared" si="11"/>
        <v>0.9143253502632025</v>
      </c>
    </row>
    <row r="134" spans="2:19" x14ac:dyDescent="0.35">
      <c r="B134" s="182">
        <v>385000</v>
      </c>
      <c r="C134" s="195">
        <v>376700</v>
      </c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377900</v>
      </c>
      <c r="M134" s="196">
        <v>0</v>
      </c>
      <c r="N134" s="313">
        <v>0</v>
      </c>
      <c r="O134" s="374">
        <f t="shared" si="8"/>
        <v>754600</v>
      </c>
      <c r="P134" s="187">
        <f t="shared" si="9"/>
        <v>722529.5</v>
      </c>
      <c r="Q134" s="182"/>
      <c r="R134" s="244">
        <f t="shared" si="10"/>
        <v>1.5284359781595289E-3</v>
      </c>
      <c r="S134" s="482">
        <f t="shared" si="11"/>
        <v>0.91585378624136204</v>
      </c>
    </row>
    <row r="135" spans="2:19" x14ac:dyDescent="0.35">
      <c r="B135" s="182">
        <v>405000</v>
      </c>
      <c r="C135" s="195">
        <v>0</v>
      </c>
      <c r="D135" s="196">
        <v>396600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785100</v>
      </c>
      <c r="M135" s="196">
        <v>0</v>
      </c>
      <c r="N135" s="313">
        <v>0</v>
      </c>
      <c r="O135" s="374">
        <f t="shared" si="8"/>
        <v>1181700</v>
      </c>
      <c r="P135" s="187">
        <f t="shared" si="9"/>
        <v>1131477.75</v>
      </c>
      <c r="Q135" s="182"/>
      <c r="R135" s="244">
        <f t="shared" si="10"/>
        <v>2.3935234500279822E-3</v>
      </c>
      <c r="S135" s="482">
        <f t="shared" si="11"/>
        <v>0.91824730969139001</v>
      </c>
    </row>
    <row r="136" spans="2:19" x14ac:dyDescent="0.35">
      <c r="B136" s="182">
        <v>425000</v>
      </c>
      <c r="C136" s="195">
        <v>0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413700</v>
      </c>
      <c r="M136" s="196">
        <v>0</v>
      </c>
      <c r="N136" s="313">
        <v>0</v>
      </c>
      <c r="O136" s="374">
        <f t="shared" si="8"/>
        <v>413700</v>
      </c>
      <c r="P136" s="187">
        <f t="shared" si="9"/>
        <v>396117.75</v>
      </c>
      <c r="Q136" s="182"/>
      <c r="R136" s="244">
        <f t="shared" si="10"/>
        <v>8.379458841301314E-4</v>
      </c>
      <c r="S136" s="482">
        <f t="shared" si="11"/>
        <v>0.91908525557552012</v>
      </c>
    </row>
    <row r="137" spans="2:19" x14ac:dyDescent="0.35">
      <c r="B137" s="182">
        <v>465000</v>
      </c>
      <c r="C137" s="195">
        <v>454400</v>
      </c>
      <c r="D137" s="196">
        <v>446300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431900</v>
      </c>
      <c r="K137" s="196">
        <v>436700</v>
      </c>
      <c r="L137" s="196">
        <v>0</v>
      </c>
      <c r="M137" s="196">
        <v>0</v>
      </c>
      <c r="N137" s="313">
        <v>428000</v>
      </c>
      <c r="O137" s="374">
        <f t="shared" si="8"/>
        <v>2197300</v>
      </c>
      <c r="P137" s="187">
        <f t="shared" si="9"/>
        <v>2103914.75</v>
      </c>
      <c r="Q137" s="182"/>
      <c r="R137" s="244">
        <f t="shared" si="10"/>
        <v>4.4506127415981089E-3</v>
      </c>
      <c r="S137" s="482">
        <f t="shared" si="11"/>
        <v>0.9235358683171182</v>
      </c>
    </row>
    <row r="138" spans="2:19" x14ac:dyDescent="0.35">
      <c r="B138" s="182">
        <v>625000</v>
      </c>
      <c r="C138" s="195">
        <v>0</v>
      </c>
      <c r="D138" s="196">
        <v>0</v>
      </c>
      <c r="E138" s="196">
        <v>1060000</v>
      </c>
      <c r="F138" s="196">
        <v>1121400</v>
      </c>
      <c r="G138" s="196">
        <v>1087000</v>
      </c>
      <c r="H138" s="196">
        <v>1028100</v>
      </c>
      <c r="I138" s="196">
        <v>519800</v>
      </c>
      <c r="J138" s="196">
        <v>600200</v>
      </c>
      <c r="K138" s="196">
        <v>0</v>
      </c>
      <c r="L138" s="196">
        <v>0</v>
      </c>
      <c r="M138" s="196">
        <v>609700</v>
      </c>
      <c r="N138" s="313">
        <v>1105100</v>
      </c>
      <c r="O138" s="374">
        <f t="shared" si="8"/>
        <v>7131300</v>
      </c>
      <c r="P138" s="187">
        <f t="shared" si="9"/>
        <v>6828219.75</v>
      </c>
      <c r="Q138" s="182"/>
      <c r="R138" s="244">
        <f t="shared" si="10"/>
        <v>1.4444388405842895E-2</v>
      </c>
      <c r="S138" s="482">
        <f t="shared" si="11"/>
        <v>0.93798025672296115</v>
      </c>
    </row>
    <row r="139" spans="2:19" x14ac:dyDescent="0.35">
      <c r="B139" s="182">
        <v>655000</v>
      </c>
      <c r="C139" s="195">
        <v>0</v>
      </c>
      <c r="D139" s="196">
        <v>0</v>
      </c>
      <c r="E139" s="196">
        <v>0</v>
      </c>
      <c r="F139" s="196">
        <v>0</v>
      </c>
      <c r="G139" s="196">
        <v>639100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643000</v>
      </c>
      <c r="N139" s="313">
        <v>0</v>
      </c>
      <c r="O139" s="374">
        <f t="shared" si="8"/>
        <v>1282100</v>
      </c>
      <c r="P139" s="187">
        <f t="shared" si="9"/>
        <v>1227610.75</v>
      </c>
      <c r="Q139" s="182"/>
      <c r="R139" s="244">
        <f t="shared" si="10"/>
        <v>2.5968828089031702E-3</v>
      </c>
      <c r="S139" s="482">
        <f t="shared" si="11"/>
        <v>0.94057713953186428</v>
      </c>
    </row>
    <row r="140" spans="2:19" x14ac:dyDescent="0.35">
      <c r="B140" s="182">
        <v>715000</v>
      </c>
      <c r="C140" s="195">
        <v>0</v>
      </c>
      <c r="D140" s="196">
        <v>0</v>
      </c>
      <c r="E140" s="196">
        <v>689800</v>
      </c>
      <c r="F140" s="196">
        <v>704800</v>
      </c>
      <c r="G140" s="196">
        <v>0</v>
      </c>
      <c r="H140" s="196">
        <v>659500</v>
      </c>
      <c r="I140" s="196">
        <v>679400</v>
      </c>
      <c r="J140" s="196">
        <v>0</v>
      </c>
      <c r="K140" s="196">
        <v>1385800</v>
      </c>
      <c r="L140" s="196">
        <v>669600</v>
      </c>
      <c r="M140" s="196">
        <v>0</v>
      </c>
      <c r="N140" s="313">
        <v>677800</v>
      </c>
      <c r="O140" s="374">
        <f t="shared" si="8"/>
        <v>5466700</v>
      </c>
      <c r="P140" s="187">
        <f t="shared" si="9"/>
        <v>5234365.25</v>
      </c>
      <c r="Q140" s="182"/>
      <c r="R140" s="244">
        <f t="shared" si="10"/>
        <v>1.1072755051424195E-2</v>
      </c>
      <c r="S140" s="482">
        <f t="shared" si="11"/>
        <v>0.95164989458328852</v>
      </c>
    </row>
    <row r="141" spans="2:19" x14ac:dyDescent="0.35">
      <c r="B141" s="182">
        <v>845000</v>
      </c>
      <c r="C141" s="197">
        <v>3384700</v>
      </c>
      <c r="D141" s="198">
        <v>3070400</v>
      </c>
      <c r="E141" s="198">
        <v>1197900</v>
      </c>
      <c r="F141" s="198">
        <v>1276400</v>
      </c>
      <c r="G141" s="198">
        <v>1272500</v>
      </c>
      <c r="H141" s="198">
        <v>1202800</v>
      </c>
      <c r="I141" s="198">
        <v>2815300</v>
      </c>
      <c r="J141" s="198">
        <v>3032300</v>
      </c>
      <c r="K141" s="198">
        <v>2171600</v>
      </c>
      <c r="L141" s="198">
        <v>2017700</v>
      </c>
      <c r="M141" s="198">
        <v>1161600</v>
      </c>
      <c r="N141" s="314">
        <v>1267600</v>
      </c>
      <c r="O141" s="375">
        <f t="shared" si="8"/>
        <v>23870800</v>
      </c>
      <c r="P141" s="188">
        <f t="shared" si="9"/>
        <v>22856291</v>
      </c>
      <c r="Q141" s="182"/>
      <c r="R141" s="244">
        <f t="shared" si="10"/>
        <v>4.8350105416711482E-2</v>
      </c>
      <c r="S141" s="482">
        <f t="shared" si="11"/>
        <v>1</v>
      </c>
    </row>
    <row r="143" spans="2:19" x14ac:dyDescent="0.35">
      <c r="B143" s="26" t="s">
        <v>44</v>
      </c>
      <c r="C143" s="182">
        <f t="shared" ref="C143:N143" si="12">SUM(C83:C142)</f>
        <v>38716700</v>
      </c>
      <c r="D143" s="182">
        <f t="shared" si="12"/>
        <v>38447700</v>
      </c>
      <c r="E143" s="182">
        <f t="shared" si="12"/>
        <v>36292100</v>
      </c>
      <c r="F143" s="182">
        <f t="shared" si="12"/>
        <v>40358300</v>
      </c>
      <c r="G143" s="182">
        <f t="shared" si="12"/>
        <v>37864900</v>
      </c>
      <c r="H143" s="182">
        <f t="shared" si="12"/>
        <v>42409100</v>
      </c>
      <c r="I143" s="182">
        <f t="shared" si="12"/>
        <v>45203300</v>
      </c>
      <c r="J143" s="182">
        <f t="shared" si="12"/>
        <v>44950600</v>
      </c>
      <c r="K143" s="182">
        <f t="shared" si="12"/>
        <v>45299300</v>
      </c>
      <c r="L143" s="182">
        <f t="shared" si="12"/>
        <v>42184600</v>
      </c>
      <c r="M143" s="182">
        <f t="shared" si="12"/>
        <v>39273400</v>
      </c>
      <c r="N143" s="182">
        <f t="shared" si="12"/>
        <v>42707300</v>
      </c>
      <c r="O143" s="372">
        <f>SUM(O83:O142)</f>
        <v>493707300</v>
      </c>
      <c r="P143" s="182">
        <f>SUM(P83:P142)</f>
        <v>472724739.75</v>
      </c>
      <c r="Q143" s="182"/>
    </row>
    <row r="144" spans="2:19" x14ac:dyDescent="0.3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P144" s="182"/>
      <c r="Q144" s="182"/>
    </row>
    <row r="145" spans="1:17" x14ac:dyDescent="0.35">
      <c r="B145" s="159" t="s">
        <v>267</v>
      </c>
      <c r="C145" s="189">
        <f>C143/$O$143</f>
        <v>7.8420351491663182E-2</v>
      </c>
      <c r="D145" s="190">
        <f t="shared" ref="D145:N145" si="13">D143/$O$143</f>
        <v>7.7875494245274471E-2</v>
      </c>
      <c r="E145" s="190">
        <f t="shared" si="13"/>
        <v>7.3509344504324725E-2</v>
      </c>
      <c r="F145" s="190">
        <f t="shared" si="13"/>
        <v>8.1745398538769831E-2</v>
      </c>
      <c r="G145" s="190">
        <f t="shared" si="13"/>
        <v>7.6695037727819701E-2</v>
      </c>
      <c r="H145" s="190">
        <f t="shared" si="13"/>
        <v>8.5899276757706436E-2</v>
      </c>
      <c r="I145" s="190">
        <f t="shared" si="13"/>
        <v>9.1558905448633224E-2</v>
      </c>
      <c r="J145" s="190">
        <f t="shared" si="13"/>
        <v>9.104706371568741E-2</v>
      </c>
      <c r="K145" s="190">
        <f t="shared" si="13"/>
        <v>9.1753352644370456E-2</v>
      </c>
      <c r="L145" s="190">
        <f t="shared" si="13"/>
        <v>8.544455388850844E-2</v>
      </c>
      <c r="M145" s="190">
        <f t="shared" si="13"/>
        <v>7.9547942677776887E-2</v>
      </c>
      <c r="N145" s="376">
        <f t="shared" si="13"/>
        <v>8.650327835946521E-2</v>
      </c>
      <c r="O145" s="199">
        <f>SUM(C145:N145)</f>
        <v>1</v>
      </c>
      <c r="P145" s="377"/>
      <c r="Q145" s="377"/>
    </row>
    <row r="146" spans="1:17" x14ac:dyDescent="0.35">
      <c r="B146" s="159" t="s">
        <v>268</v>
      </c>
      <c r="C146" s="191"/>
      <c r="D146" s="202">
        <f>D143-C143</f>
        <v>-269000</v>
      </c>
      <c r="E146" s="202">
        <f t="shared" ref="E146:N146" si="14">E143-D143</f>
        <v>-2155600</v>
      </c>
      <c r="F146" s="202">
        <f t="shared" si="14"/>
        <v>4066200</v>
      </c>
      <c r="G146" s="202">
        <f t="shared" si="14"/>
        <v>-2493400</v>
      </c>
      <c r="H146" s="202">
        <f t="shared" si="14"/>
        <v>4544200</v>
      </c>
      <c r="I146" s="202">
        <f t="shared" si="14"/>
        <v>2794200</v>
      </c>
      <c r="J146" s="202">
        <f t="shared" si="14"/>
        <v>-252700</v>
      </c>
      <c r="K146" s="202">
        <f t="shared" si="14"/>
        <v>348700</v>
      </c>
      <c r="L146" s="202">
        <f t="shared" si="14"/>
        <v>-3114700</v>
      </c>
      <c r="M146" s="202">
        <f t="shared" si="14"/>
        <v>-2911200</v>
      </c>
      <c r="N146" s="378">
        <f t="shared" si="14"/>
        <v>3433900</v>
      </c>
      <c r="O146" s="379">
        <f>SUM(C146:N146)</f>
        <v>3990600</v>
      </c>
      <c r="P146" s="182"/>
      <c r="Q146" s="182"/>
    </row>
    <row r="148" spans="1:17" x14ac:dyDescent="0.35">
      <c r="P148" s="545">
        <f>(P143/P73)/12</f>
        <v>4538.7137663592021</v>
      </c>
      <c r="Q148" s="545"/>
    </row>
    <row r="149" spans="1:17" x14ac:dyDescent="0.35">
      <c r="A149" s="84">
        <v>-1</v>
      </c>
      <c r="B149" s="26" t="s">
        <v>950</v>
      </c>
    </row>
    <row r="151" spans="1:17" s="122" customFormat="1" ht="5.65" customHeight="1" x14ac:dyDescent="0.35"/>
    <row r="152" spans="1:17" x14ac:dyDescent="0.35">
      <c r="A152" s="25" t="s">
        <v>4</v>
      </c>
    </row>
    <row r="153" spans="1:17" x14ac:dyDescent="0.35">
      <c r="A153" s="25" t="s">
        <v>109</v>
      </c>
    </row>
    <row r="154" spans="1:17" x14ac:dyDescent="0.35">
      <c r="A154" s="25" t="s">
        <v>272</v>
      </c>
      <c r="F154" s="50" t="s">
        <v>154</v>
      </c>
    </row>
    <row r="156" spans="1:17" x14ac:dyDescent="0.35">
      <c r="A156" s="25" t="s">
        <v>279</v>
      </c>
    </row>
    <row r="157" spans="1:17" x14ac:dyDescent="0.35">
      <c r="A157" s="25"/>
      <c r="C157" s="113" t="s">
        <v>5</v>
      </c>
      <c r="D157" s="86"/>
      <c r="E157" s="85"/>
      <c r="F157" s="85"/>
    </row>
    <row r="158" spans="1:17" ht="36" customHeight="1" x14ac:dyDescent="0.35">
      <c r="C158" s="114" t="s">
        <v>283</v>
      </c>
      <c r="D158" s="114" t="s">
        <v>277</v>
      </c>
      <c r="E158" s="114" t="s">
        <v>278</v>
      </c>
      <c r="F158" s="114" t="s">
        <v>292</v>
      </c>
    </row>
    <row r="159" spans="1:17" ht="10.9" customHeight="1" x14ac:dyDescent="0.35">
      <c r="C159" s="123"/>
      <c r="D159" s="123"/>
      <c r="E159" s="123"/>
    </row>
    <row r="160" spans="1:17" x14ac:dyDescent="0.35">
      <c r="A160" s="26" t="s">
        <v>273</v>
      </c>
      <c r="C160" s="165">
        <f>SUM(P8:P10)</f>
        <v>37824</v>
      </c>
      <c r="D160" s="165">
        <f>SUM(P83:P85)</f>
        <v>32176308.75</v>
      </c>
      <c r="E160" s="165">
        <f>D160+SUM(C161:C162)*2000</f>
        <v>164836108.75</v>
      </c>
      <c r="F160" s="165">
        <f>E160/1000</f>
        <v>164836.10875000001</v>
      </c>
      <c r="H160" s="26" t="s">
        <v>1389</v>
      </c>
      <c r="L160" s="302">
        <v>1.4999999999999999E-2</v>
      </c>
    </row>
    <row r="161" spans="1:17" x14ac:dyDescent="0.35">
      <c r="A161" s="26" t="s">
        <v>274</v>
      </c>
      <c r="C161" s="165">
        <f>SUM(P11:P23)</f>
        <v>63911.724999999999</v>
      </c>
      <c r="D161" s="165">
        <f>SUM(P86:P98)</f>
        <v>290347895.5</v>
      </c>
      <c r="E161" s="165">
        <f>D161+(C162*13000)-(C161*2000)</f>
        <v>193960720.5</v>
      </c>
      <c r="F161" s="165">
        <f>E161/1000</f>
        <v>193960.7205</v>
      </c>
      <c r="H161" s="26" t="s">
        <v>1390</v>
      </c>
      <c r="L161" s="302">
        <v>4.2500000000000003E-2</v>
      </c>
    </row>
    <row r="162" spans="1:17" x14ac:dyDescent="0.35">
      <c r="A162" s="26" t="s">
        <v>275</v>
      </c>
      <c r="C162" s="203">
        <f>SUM(P24:P66)</f>
        <v>2418.1750000000006</v>
      </c>
      <c r="D162" s="203">
        <f>SUM(P99:P141)</f>
        <v>150200535.5</v>
      </c>
      <c r="E162" s="203">
        <f>D162-(C162*15000)</f>
        <v>113927910.5</v>
      </c>
      <c r="F162" s="203">
        <f>E162/1000</f>
        <v>113927.9105</v>
      </c>
    </row>
    <row r="163" spans="1:17" x14ac:dyDescent="0.35">
      <c r="E163" s="165"/>
    </row>
    <row r="164" spans="1:17" x14ac:dyDescent="0.35">
      <c r="A164" s="26" t="s">
        <v>44</v>
      </c>
      <c r="C164" s="165">
        <f>SUM(C160:C163)</f>
        <v>104153.90000000001</v>
      </c>
      <c r="D164" s="165">
        <f>SUM(D160:D163)</f>
        <v>472724739.75</v>
      </c>
      <c r="E164" s="165">
        <f>SUM(E160:E163)</f>
        <v>472724739.75</v>
      </c>
      <c r="F164" s="165">
        <f>SUM(F160:F163)</f>
        <v>472724.73975000001</v>
      </c>
    </row>
    <row r="165" spans="1:17" x14ac:dyDescent="0.35">
      <c r="C165" s="82" t="str">
        <f>IF(C164&lt;&gt;P68,"Check","")</f>
        <v/>
      </c>
      <c r="D165" s="82" t="str">
        <f>IF(D164&lt;&gt;P143,"Check","")</f>
        <v/>
      </c>
    </row>
    <row r="168" spans="1:17" x14ac:dyDescent="0.35">
      <c r="C168" s="46">
        <v>2012</v>
      </c>
      <c r="D168" s="27"/>
      <c r="E168" s="27"/>
    </row>
    <row r="169" spans="1:17" x14ac:dyDescent="0.35">
      <c r="C169" s="30" t="s">
        <v>139</v>
      </c>
      <c r="D169" s="30" t="s">
        <v>36</v>
      </c>
      <c r="E169" s="30" t="s">
        <v>37</v>
      </c>
      <c r="G169" s="51">
        <v>2014</v>
      </c>
      <c r="H169" s="51">
        <v>2015</v>
      </c>
      <c r="I169" s="51">
        <v>2016</v>
      </c>
      <c r="J169" s="51">
        <v>2017</v>
      </c>
      <c r="K169" s="51">
        <v>2018</v>
      </c>
      <c r="L169" s="51">
        <v>2019</v>
      </c>
      <c r="M169" s="51">
        <v>2020</v>
      </c>
      <c r="N169" s="51">
        <v>2021</v>
      </c>
      <c r="O169" s="51">
        <v>2022</v>
      </c>
      <c r="P169" s="51">
        <v>2023</v>
      </c>
      <c r="Q169" s="52"/>
    </row>
    <row r="171" spans="1:17" x14ac:dyDescent="0.35">
      <c r="A171" s="26" t="s">
        <v>276</v>
      </c>
      <c r="C171" s="165">
        <f>C164</f>
        <v>104153.90000000001</v>
      </c>
      <c r="D171" s="34">
        <f>('New Customers'!C29)*12</f>
        <v>0</v>
      </c>
      <c r="E171" s="165">
        <f>C171+D171</f>
        <v>104153.90000000001</v>
      </c>
      <c r="G171" s="288">
        <f>E171*(1+G191)</f>
        <v>104153.90000000001</v>
      </c>
      <c r="H171" s="288">
        <f t="shared" ref="H171:P171" si="15">G171*(1+H191)</f>
        <v>104153.90000000001</v>
      </c>
      <c r="I171" s="288">
        <f t="shared" si="15"/>
        <v>104674.6695</v>
      </c>
      <c r="J171" s="288">
        <f t="shared" si="15"/>
        <v>105721.416195</v>
      </c>
      <c r="K171" s="288">
        <f t="shared" si="15"/>
        <v>106778.63035695</v>
      </c>
      <c r="L171" s="288">
        <f t="shared" si="15"/>
        <v>107846.41666051951</v>
      </c>
      <c r="M171" s="288">
        <f t="shared" si="15"/>
        <v>108924.8808271247</v>
      </c>
      <c r="N171" s="288">
        <f t="shared" si="15"/>
        <v>110014.12963539595</v>
      </c>
      <c r="O171" s="288">
        <f t="shared" si="15"/>
        <v>111114.27093174991</v>
      </c>
      <c r="P171" s="288">
        <f t="shared" si="15"/>
        <v>112225.41364106741</v>
      </c>
      <c r="Q171" s="288"/>
    </row>
    <row r="172" spans="1:17" x14ac:dyDescent="0.35">
      <c r="G172" s="283"/>
      <c r="H172" s="41">
        <f>(H171-G171)/G171</f>
        <v>0</v>
      </c>
      <c r="I172" s="41">
        <f t="shared" ref="I172:P172" si="16">(I171-H171)/H171</f>
        <v>4.9999999999999507E-3</v>
      </c>
      <c r="J172" s="41">
        <f t="shared" si="16"/>
        <v>9.9999999999999464E-3</v>
      </c>
      <c r="K172" s="41">
        <f t="shared" si="16"/>
        <v>1.0000000000000033E-2</v>
      </c>
      <c r="L172" s="41">
        <f t="shared" si="16"/>
        <v>1.0000000000000042E-2</v>
      </c>
      <c r="M172" s="41">
        <f t="shared" si="16"/>
        <v>9.9999999999999551E-3</v>
      </c>
      <c r="N172" s="41">
        <f t="shared" si="16"/>
        <v>1.0000000000000044E-2</v>
      </c>
      <c r="O172" s="41">
        <f t="shared" si="16"/>
        <v>1.0000000000000026E-2</v>
      </c>
      <c r="P172" s="41">
        <f t="shared" si="16"/>
        <v>1.0000000000000014E-2</v>
      </c>
      <c r="Q172" s="41"/>
    </row>
    <row r="173" spans="1:17" x14ac:dyDescent="0.35">
      <c r="A173" s="26" t="s">
        <v>311</v>
      </c>
      <c r="C173" s="165">
        <f>F164</f>
        <v>472724.73975000001</v>
      </c>
      <c r="D173" s="34">
        <f>SUM(D174:D176)</f>
        <v>0</v>
      </c>
      <c r="E173" s="211">
        <f>C173+D173</f>
        <v>472724.73975000001</v>
      </c>
      <c r="F173" s="41">
        <f>(E173-C173)/C173</f>
        <v>0</v>
      </c>
      <c r="G173" s="283"/>
    </row>
    <row r="174" spans="1:17" x14ac:dyDescent="0.35">
      <c r="B174" s="26" t="s">
        <v>273</v>
      </c>
      <c r="C174" s="236">
        <f>F160</f>
        <v>164836.10875000001</v>
      </c>
      <c r="D174" s="34">
        <f>'New Customers'!C58+D197</f>
        <v>0</v>
      </c>
      <c r="E174" s="239">
        <f>C174+D174</f>
        <v>164836.10875000001</v>
      </c>
      <c r="G174" s="165">
        <f>E174*(1+G187)</f>
        <v>164836.10875000001</v>
      </c>
      <c r="H174" s="165">
        <f t="shared" ref="H174:P174" si="17">G174*(1+H187)</f>
        <v>164836.10875000001</v>
      </c>
      <c r="I174" s="165">
        <f t="shared" si="17"/>
        <v>165660.28929374999</v>
      </c>
      <c r="J174" s="165">
        <f t="shared" si="17"/>
        <v>166902.74146345313</v>
      </c>
      <c r="K174" s="165">
        <f t="shared" si="17"/>
        <v>168154.51202442904</v>
      </c>
      <c r="L174" s="165">
        <f t="shared" si="17"/>
        <v>169415.67086461227</v>
      </c>
      <c r="M174" s="165">
        <f t="shared" si="17"/>
        <v>170686.28839609688</v>
      </c>
      <c r="N174" s="165">
        <f t="shared" si="17"/>
        <v>171966.43555906761</v>
      </c>
      <c r="O174" s="165">
        <f t="shared" si="17"/>
        <v>173256.18382576064</v>
      </c>
      <c r="P174" s="165">
        <f t="shared" si="17"/>
        <v>174555.60520445387</v>
      </c>
      <c r="Q174" s="165"/>
    </row>
    <row r="175" spans="1:17" x14ac:dyDescent="0.35">
      <c r="B175" s="26" t="s">
        <v>274</v>
      </c>
      <c r="C175" s="237">
        <f>F161</f>
        <v>193960.7205</v>
      </c>
      <c r="D175" s="34">
        <f>IF('Rate Calculations'!G99=1,'New Customers'!C59+D198-'Winter Quarter Billing'!F22,'New Customers'!C59)</f>
        <v>0</v>
      </c>
      <c r="E175" s="240">
        <f>C175+D175</f>
        <v>193960.7205</v>
      </c>
      <c r="G175" s="165">
        <f>E175*(1+G188)</f>
        <v>193960.7205</v>
      </c>
      <c r="H175" s="165">
        <f t="shared" ref="H175:P175" si="18">G175*(1+H188)</f>
        <v>193960.7205</v>
      </c>
      <c r="I175" s="165">
        <f t="shared" si="18"/>
        <v>194930.52410249997</v>
      </c>
      <c r="J175" s="165">
        <f t="shared" si="18"/>
        <v>196392.50303326873</v>
      </c>
      <c r="K175" s="165">
        <f t="shared" si="18"/>
        <v>197865.44680601827</v>
      </c>
      <c r="L175" s="165">
        <f t="shared" si="18"/>
        <v>199349.43765706342</v>
      </c>
      <c r="M175" s="165">
        <f t="shared" si="18"/>
        <v>200844.5584394914</v>
      </c>
      <c r="N175" s="165">
        <f t="shared" si="18"/>
        <v>202350.8926277876</v>
      </c>
      <c r="O175" s="165">
        <f t="shared" si="18"/>
        <v>203868.52432249603</v>
      </c>
      <c r="P175" s="165">
        <f t="shared" si="18"/>
        <v>205397.53825491475</v>
      </c>
      <c r="Q175" s="165"/>
    </row>
    <row r="176" spans="1:17" x14ac:dyDescent="0.35">
      <c r="B176" s="26" t="s">
        <v>275</v>
      </c>
      <c r="C176" s="238">
        <f>F162</f>
        <v>113927.9105</v>
      </c>
      <c r="D176" s="34">
        <f>IF('Rate Calculations'!G99=1,'New Customers'!C60+D199-'Winter Quarter Billing'!F23,'New Customers'!C60)</f>
        <v>0</v>
      </c>
      <c r="E176" s="241">
        <f>C176+D176</f>
        <v>113927.9105</v>
      </c>
      <c r="G176" s="203">
        <f>E176*(1+G189)</f>
        <v>113927.9105</v>
      </c>
      <c r="H176" s="203">
        <f t="shared" ref="H176:P176" si="19">G176*(1+H189)</f>
        <v>113927.9105</v>
      </c>
      <c r="I176" s="203">
        <f t="shared" si="19"/>
        <v>114497.55005249998</v>
      </c>
      <c r="J176" s="203">
        <f t="shared" si="19"/>
        <v>115356.28167789374</v>
      </c>
      <c r="K176" s="203">
        <f t="shared" si="19"/>
        <v>116221.45379047796</v>
      </c>
      <c r="L176" s="203">
        <f t="shared" si="19"/>
        <v>117093.11469390655</v>
      </c>
      <c r="M176" s="203">
        <f t="shared" si="19"/>
        <v>117971.31305411085</v>
      </c>
      <c r="N176" s="203">
        <f t="shared" si="19"/>
        <v>118856.0979020167</v>
      </c>
      <c r="O176" s="203">
        <f t="shared" si="19"/>
        <v>119747.51863628183</v>
      </c>
      <c r="P176" s="203">
        <f t="shared" si="19"/>
        <v>120645.62502605395</v>
      </c>
      <c r="Q176" s="165"/>
    </row>
    <row r="177" spans="1:17" x14ac:dyDescent="0.35"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</row>
    <row r="178" spans="1:17" x14ac:dyDescent="0.35">
      <c r="G178" s="165">
        <f>SUM(G174:G177)</f>
        <v>472724.73975000001</v>
      </c>
      <c r="H178" s="165">
        <f t="shared" ref="H178:P178" si="20">SUM(H174:H177)</f>
        <v>472724.73975000001</v>
      </c>
      <c r="I178" s="165">
        <f t="shared" si="20"/>
        <v>475088.36344874994</v>
      </c>
      <c r="J178" s="165">
        <f t="shared" si="20"/>
        <v>478651.5261746156</v>
      </c>
      <c r="K178" s="165">
        <f t="shared" si="20"/>
        <v>482241.41262092523</v>
      </c>
      <c r="L178" s="165">
        <f t="shared" si="20"/>
        <v>485858.22321558226</v>
      </c>
      <c r="M178" s="165">
        <f t="shared" si="20"/>
        <v>489502.15988969913</v>
      </c>
      <c r="N178" s="165">
        <f t="shared" si="20"/>
        <v>493173.4260888719</v>
      </c>
      <c r="O178" s="165">
        <f t="shared" si="20"/>
        <v>496872.22678453848</v>
      </c>
      <c r="P178" s="165">
        <f t="shared" si="20"/>
        <v>500598.7684854226</v>
      </c>
      <c r="Q178" s="165"/>
    </row>
    <row r="179" spans="1:17" x14ac:dyDescent="0.35">
      <c r="A179" s="66"/>
      <c r="H179" s="41">
        <f>(H178-G178)/G178</f>
        <v>0</v>
      </c>
      <c r="I179" s="41">
        <f t="shared" ref="I179:P179" si="21">(I178-H178)/H178</f>
        <v>4.9999999999998492E-3</v>
      </c>
      <c r="J179" s="41">
        <f t="shared" si="21"/>
        <v>7.5000000000000882E-3</v>
      </c>
      <c r="K179" s="41">
        <f t="shared" si="21"/>
        <v>7.5000000000000171E-3</v>
      </c>
      <c r="L179" s="41">
        <f t="shared" si="21"/>
        <v>7.5000000000001853E-3</v>
      </c>
      <c r="M179" s="41">
        <f t="shared" si="21"/>
        <v>7.5000000000000223E-3</v>
      </c>
      <c r="N179" s="41">
        <f t="shared" si="21"/>
        <v>7.5000000000000448E-3</v>
      </c>
      <c r="O179" s="41">
        <f t="shared" si="21"/>
        <v>7.5000000000000778E-3</v>
      </c>
      <c r="P179" s="41">
        <f t="shared" si="21"/>
        <v>7.5000000000001593E-3</v>
      </c>
      <c r="Q179" s="41"/>
    </row>
    <row r="180" spans="1:17" x14ac:dyDescent="0.35">
      <c r="E180" s="33"/>
    </row>
    <row r="182" spans="1:17" s="122" customFormat="1" ht="5.65" customHeight="1" x14ac:dyDescent="0.35"/>
    <row r="183" spans="1:17" x14ac:dyDescent="0.35">
      <c r="A183" s="25" t="s">
        <v>1111</v>
      </c>
    </row>
    <row r="185" spans="1:17" x14ac:dyDescent="0.35">
      <c r="G185" s="51">
        <v>2014</v>
      </c>
      <c r="H185" s="51">
        <v>2015</v>
      </c>
      <c r="I185" s="51">
        <v>2016</v>
      </c>
      <c r="J185" s="51">
        <v>2017</v>
      </c>
      <c r="K185" s="51">
        <v>2018</v>
      </c>
      <c r="L185" s="51">
        <v>2019</v>
      </c>
      <c r="M185" s="51">
        <v>2020</v>
      </c>
      <c r="N185" s="51">
        <v>2021</v>
      </c>
      <c r="O185" s="51">
        <v>2022</v>
      </c>
      <c r="P185" s="51">
        <v>2023</v>
      </c>
      <c r="Q185" s="52"/>
    </row>
    <row r="186" spans="1:17" x14ac:dyDescent="0.35">
      <c r="A186" s="25" t="s">
        <v>311</v>
      </c>
    </row>
    <row r="187" spans="1:17" x14ac:dyDescent="0.35">
      <c r="B187" s="26" t="s">
        <v>273</v>
      </c>
      <c r="G187" s="285">
        <v>0</v>
      </c>
      <c r="H187" s="285">
        <v>0</v>
      </c>
      <c r="I187" s="285">
        <v>5.0000000000000001E-3</v>
      </c>
      <c r="J187" s="285">
        <v>7.4999999999999997E-3</v>
      </c>
      <c r="K187" s="285">
        <v>7.4999999999999997E-3</v>
      </c>
      <c r="L187" s="285">
        <v>7.4999999999999997E-3</v>
      </c>
      <c r="M187" s="285">
        <v>7.4999999999999997E-3</v>
      </c>
      <c r="N187" s="285">
        <v>7.4999999999999997E-3</v>
      </c>
      <c r="O187" s="285">
        <v>7.4999999999999997E-3</v>
      </c>
      <c r="P187" s="285">
        <v>7.4999999999999997E-3</v>
      </c>
      <c r="Q187" s="584"/>
    </row>
    <row r="188" spans="1:17" x14ac:dyDescent="0.35">
      <c r="B188" s="26" t="s">
        <v>274</v>
      </c>
      <c r="G188" s="285">
        <v>0</v>
      </c>
      <c r="H188" s="285">
        <v>0</v>
      </c>
      <c r="I188" s="285">
        <v>5.0000000000000001E-3</v>
      </c>
      <c r="J188" s="285">
        <v>7.4999999999999997E-3</v>
      </c>
      <c r="K188" s="285">
        <v>7.4999999999999997E-3</v>
      </c>
      <c r="L188" s="285">
        <v>7.4999999999999997E-3</v>
      </c>
      <c r="M188" s="285">
        <v>7.4999999999999997E-3</v>
      </c>
      <c r="N188" s="285">
        <v>7.4999999999999997E-3</v>
      </c>
      <c r="O188" s="285">
        <v>7.4999999999999997E-3</v>
      </c>
      <c r="P188" s="285">
        <v>7.4999999999999997E-3</v>
      </c>
      <c r="Q188" s="584"/>
    </row>
    <row r="189" spans="1:17" x14ac:dyDescent="0.35">
      <c r="B189" s="26" t="s">
        <v>275</v>
      </c>
      <c r="G189" s="285">
        <v>0</v>
      </c>
      <c r="H189" s="285">
        <v>0</v>
      </c>
      <c r="I189" s="285">
        <v>5.0000000000000001E-3</v>
      </c>
      <c r="J189" s="285">
        <v>7.4999999999999997E-3</v>
      </c>
      <c r="K189" s="285">
        <v>7.4999999999999997E-3</v>
      </c>
      <c r="L189" s="285">
        <v>7.4999999999999997E-3</v>
      </c>
      <c r="M189" s="285">
        <v>7.4999999999999997E-3</v>
      </c>
      <c r="N189" s="285">
        <v>7.4999999999999997E-3</v>
      </c>
      <c r="O189" s="285">
        <v>7.4999999999999997E-3</v>
      </c>
      <c r="P189" s="285">
        <v>7.4999999999999997E-3</v>
      </c>
      <c r="Q189" s="584"/>
    </row>
    <row r="190" spans="1:17" x14ac:dyDescent="0.35">
      <c r="G190" s="482"/>
      <c r="H190" s="482"/>
      <c r="I190" s="482"/>
      <c r="J190" s="482"/>
      <c r="K190" s="482"/>
      <c r="L190" s="482"/>
      <c r="M190" s="482"/>
      <c r="N190" s="482"/>
      <c r="O190" s="482"/>
      <c r="P190" s="482"/>
      <c r="Q190" s="482"/>
    </row>
    <row r="191" spans="1:17" x14ac:dyDescent="0.35">
      <c r="A191" s="25" t="s">
        <v>480</v>
      </c>
      <c r="G191" s="285">
        <v>0</v>
      </c>
      <c r="H191" s="285">
        <v>0</v>
      </c>
      <c r="I191" s="285">
        <v>5.0000000000000001E-3</v>
      </c>
      <c r="J191" s="285">
        <v>0.01</v>
      </c>
      <c r="K191" s="285">
        <v>0.01</v>
      </c>
      <c r="L191" s="285">
        <v>0.01</v>
      </c>
      <c r="M191" s="285">
        <v>0.01</v>
      </c>
      <c r="N191" s="285">
        <v>0.01</v>
      </c>
      <c r="O191" s="285">
        <v>0.01</v>
      </c>
      <c r="P191" s="285">
        <v>0.01</v>
      </c>
      <c r="Q191" s="584"/>
    </row>
    <row r="196" spans="1:4" x14ac:dyDescent="0.35">
      <c r="A196" s="26" t="s">
        <v>311</v>
      </c>
    </row>
    <row r="197" spans="1:4" x14ac:dyDescent="0.35">
      <c r="B197" s="26" t="s">
        <v>273</v>
      </c>
      <c r="C197" s="454">
        <f>C174/$C$173</f>
        <v>0.34869363688723681</v>
      </c>
      <c r="D197" s="34">
        <f>$D$202*C197</f>
        <v>0</v>
      </c>
    </row>
    <row r="198" spans="1:4" x14ac:dyDescent="0.35">
      <c r="B198" s="26" t="s">
        <v>274</v>
      </c>
      <c r="C198" s="454">
        <f>C175/$C$173</f>
        <v>0.41030372263270148</v>
      </c>
      <c r="D198" s="34">
        <f>$D$202*C198</f>
        <v>0</v>
      </c>
    </row>
    <row r="199" spans="1:4" x14ac:dyDescent="0.35">
      <c r="B199" s="26" t="s">
        <v>275</v>
      </c>
      <c r="C199" s="454">
        <f>C176/$C$173</f>
        <v>0.24100264048006173</v>
      </c>
      <c r="D199" s="34">
        <f>$D$202*C199</f>
        <v>0</v>
      </c>
    </row>
    <row r="202" spans="1:4" x14ac:dyDescent="0.35">
      <c r="D202" s="165">
        <f>C173*Summary!X9</f>
        <v>0</v>
      </c>
    </row>
    <row r="205" spans="1:4" s="548" customFormat="1" ht="6" customHeight="1" x14ac:dyDescent="0.35"/>
    <row r="207" spans="1:4" x14ac:dyDescent="0.35">
      <c r="A207" s="316" t="s">
        <v>1400</v>
      </c>
    </row>
    <row r="211" spans="2:10" ht="104.25" customHeight="1" thickBot="1" x14ac:dyDescent="0.4">
      <c r="B211" s="549" t="s">
        <v>265</v>
      </c>
      <c r="C211" s="123" t="s">
        <v>1401</v>
      </c>
      <c r="D211" s="123" t="s">
        <v>1402</v>
      </c>
      <c r="E211" s="123" t="s">
        <v>1403</v>
      </c>
      <c r="F211" s="123" t="s">
        <v>1404</v>
      </c>
      <c r="G211" s="123" t="s">
        <v>1405</v>
      </c>
      <c r="H211" s="123" t="s">
        <v>1406</v>
      </c>
      <c r="I211" s="123" t="s">
        <v>1408</v>
      </c>
      <c r="J211" s="123" t="s">
        <v>1407</v>
      </c>
    </row>
    <row r="212" spans="2:10" x14ac:dyDescent="0.35">
      <c r="B212" s="182">
        <v>0</v>
      </c>
      <c r="C212" s="182">
        <f>P8</f>
        <v>9456</v>
      </c>
      <c r="D212" s="182">
        <f t="shared" ref="D212:D268" si="22">D213+C212</f>
        <v>104153.90000000001</v>
      </c>
      <c r="E212" s="182">
        <f>P83</f>
        <v>0</v>
      </c>
      <c r="F212" s="182">
        <f>E212</f>
        <v>0</v>
      </c>
      <c r="G212" s="182">
        <f>F212</f>
        <v>0</v>
      </c>
      <c r="H212" s="182">
        <f>F212+G212</f>
        <v>0</v>
      </c>
      <c r="I212" s="182">
        <f>H212</f>
        <v>0</v>
      </c>
      <c r="J212" s="550">
        <f>I212/1000</f>
        <v>0</v>
      </c>
    </row>
    <row r="213" spans="2:10" x14ac:dyDescent="0.35">
      <c r="B213" s="182">
        <v>1000</v>
      </c>
      <c r="C213" s="182">
        <f t="shared" ref="C213:C270" si="23">P9</f>
        <v>11496.92</v>
      </c>
      <c r="D213" s="182">
        <f t="shared" si="22"/>
        <v>94697.900000000009</v>
      </c>
      <c r="E213" s="182">
        <f t="shared" ref="E213:E270" si="24">P84</f>
        <v>6509372.25</v>
      </c>
      <c r="F213" s="182">
        <f>E213+F212</f>
        <v>6509372.25</v>
      </c>
      <c r="G213" s="182">
        <f>B213*D214</f>
        <v>83200980.000000015</v>
      </c>
      <c r="H213" s="182">
        <f t="shared" ref="H213:H270" si="25">F213+G213</f>
        <v>89710352.250000015</v>
      </c>
      <c r="I213" s="165">
        <f>H213-H212</f>
        <v>89710352.250000015</v>
      </c>
      <c r="J213" s="551">
        <f t="shared" ref="J213:J270" si="26">I213/1000</f>
        <v>89710.352250000011</v>
      </c>
    </row>
    <row r="214" spans="2:10" x14ac:dyDescent="0.35">
      <c r="B214" s="182">
        <v>2000</v>
      </c>
      <c r="C214" s="182">
        <f t="shared" si="23"/>
        <v>16871.079999999998</v>
      </c>
      <c r="D214" s="182">
        <f t="shared" si="22"/>
        <v>83200.98000000001</v>
      </c>
      <c r="E214" s="182">
        <f t="shared" si="24"/>
        <v>25666936.5</v>
      </c>
      <c r="F214" s="182">
        <f>E214+F213</f>
        <v>32176308.75</v>
      </c>
      <c r="G214" s="182">
        <f>B214*D215</f>
        <v>132659800.00000001</v>
      </c>
      <c r="H214" s="182">
        <f t="shared" si="25"/>
        <v>164836108.75</v>
      </c>
      <c r="I214" s="165">
        <f>H214-H213</f>
        <v>75125756.499999985</v>
      </c>
      <c r="J214" s="551">
        <f t="shared" si="26"/>
        <v>75125.756499999989</v>
      </c>
    </row>
    <row r="215" spans="2:10" x14ac:dyDescent="0.35">
      <c r="B215" s="182">
        <v>3000</v>
      </c>
      <c r="C215" s="182">
        <f t="shared" si="23"/>
        <v>17171.505000000001</v>
      </c>
      <c r="D215" s="182">
        <f t="shared" si="22"/>
        <v>66329.900000000009</v>
      </c>
      <c r="E215" s="182">
        <f t="shared" si="24"/>
        <v>42495190.5</v>
      </c>
      <c r="F215" s="182">
        <f t="shared" ref="F215:F270" si="27">E215+F214</f>
        <v>74671499.25</v>
      </c>
      <c r="G215" s="182">
        <f t="shared" ref="G215:G270" si="28">B215*D216</f>
        <v>147475185</v>
      </c>
      <c r="H215" s="182">
        <f t="shared" si="25"/>
        <v>222146684.25</v>
      </c>
      <c r="I215" s="165">
        <f>H215-H214</f>
        <v>57310575.5</v>
      </c>
      <c r="J215" s="551">
        <f t="shared" si="26"/>
        <v>57310.575499999999</v>
      </c>
    </row>
    <row r="216" spans="2:10" x14ac:dyDescent="0.35">
      <c r="B216" s="182">
        <v>4000</v>
      </c>
      <c r="C216" s="182">
        <f t="shared" si="23"/>
        <v>14560.27</v>
      </c>
      <c r="D216" s="182">
        <f t="shared" si="22"/>
        <v>49158.395000000004</v>
      </c>
      <c r="E216" s="182">
        <f t="shared" si="24"/>
        <v>49938412.5</v>
      </c>
      <c r="F216" s="182">
        <f t="shared" si="27"/>
        <v>124609911.75</v>
      </c>
      <c r="G216" s="182">
        <f t="shared" si="28"/>
        <v>138392500</v>
      </c>
      <c r="H216" s="182">
        <f t="shared" si="25"/>
        <v>263002411.75</v>
      </c>
      <c r="I216" s="165">
        <f>H216-H215</f>
        <v>40855727.5</v>
      </c>
      <c r="J216" s="551">
        <f t="shared" si="26"/>
        <v>40855.727500000001</v>
      </c>
    </row>
    <row r="217" spans="2:10" x14ac:dyDescent="0.35">
      <c r="B217" s="182">
        <v>5000</v>
      </c>
      <c r="C217" s="182">
        <f t="shared" si="23"/>
        <v>11274.31</v>
      </c>
      <c r="D217" s="182">
        <f t="shared" si="22"/>
        <v>34598.125</v>
      </c>
      <c r="E217" s="182">
        <f t="shared" si="24"/>
        <v>49600798</v>
      </c>
      <c r="F217" s="182">
        <f t="shared" si="27"/>
        <v>174210709.75</v>
      </c>
      <c r="G217" s="182">
        <f t="shared" si="28"/>
        <v>116619075.00000001</v>
      </c>
      <c r="H217" s="182">
        <f t="shared" si="25"/>
        <v>290829784.75</v>
      </c>
      <c r="I217" s="165">
        <f t="shared" ref="I217:I270" si="29">H217-H216</f>
        <v>27827373</v>
      </c>
      <c r="J217" s="551">
        <f t="shared" si="26"/>
        <v>27827.373</v>
      </c>
    </row>
    <row r="218" spans="2:10" x14ac:dyDescent="0.35">
      <c r="B218" s="182">
        <v>6000</v>
      </c>
      <c r="C218" s="182">
        <f t="shared" si="23"/>
        <v>7468.2699999999995</v>
      </c>
      <c r="D218" s="182">
        <f t="shared" si="22"/>
        <v>23323.815000000002</v>
      </c>
      <c r="E218" s="182">
        <f t="shared" si="24"/>
        <v>40051171.75</v>
      </c>
      <c r="F218" s="182">
        <f t="shared" si="27"/>
        <v>214261881.5</v>
      </c>
      <c r="G218" s="182">
        <f t="shared" si="28"/>
        <v>95133270.000000015</v>
      </c>
      <c r="H218" s="182">
        <f t="shared" si="25"/>
        <v>309395151.5</v>
      </c>
      <c r="I218" s="165">
        <f t="shared" si="29"/>
        <v>18565366.75</v>
      </c>
      <c r="J218" s="551">
        <f t="shared" si="26"/>
        <v>18565.366750000001</v>
      </c>
    </row>
    <row r="219" spans="2:10" x14ac:dyDescent="0.35">
      <c r="B219" s="182">
        <v>7000</v>
      </c>
      <c r="C219" s="182">
        <f t="shared" si="23"/>
        <v>4840.29</v>
      </c>
      <c r="D219" s="182">
        <f t="shared" si="22"/>
        <v>15855.545000000002</v>
      </c>
      <c r="E219" s="182">
        <f t="shared" si="24"/>
        <v>30627839.75</v>
      </c>
      <c r="F219" s="182">
        <f t="shared" si="27"/>
        <v>244889721.25</v>
      </c>
      <c r="G219" s="182">
        <f t="shared" si="28"/>
        <v>77106785</v>
      </c>
      <c r="H219" s="182">
        <f t="shared" si="25"/>
        <v>321996506.25</v>
      </c>
      <c r="I219" s="165">
        <f t="shared" si="29"/>
        <v>12601354.75</v>
      </c>
      <c r="J219" s="551">
        <f t="shared" si="26"/>
        <v>12601.35475</v>
      </c>
    </row>
    <row r="220" spans="2:10" x14ac:dyDescent="0.35">
      <c r="B220" s="182">
        <v>8000</v>
      </c>
      <c r="C220" s="182">
        <f t="shared" si="23"/>
        <v>2975.6849999999999</v>
      </c>
      <c r="D220" s="182">
        <f t="shared" si="22"/>
        <v>11015.255000000001</v>
      </c>
      <c r="E220" s="182">
        <f t="shared" si="24"/>
        <v>21719547</v>
      </c>
      <c r="F220" s="182">
        <f t="shared" si="27"/>
        <v>266609268.25</v>
      </c>
      <c r="G220" s="182">
        <f t="shared" si="28"/>
        <v>64316560.000000007</v>
      </c>
      <c r="H220" s="182">
        <f t="shared" si="25"/>
        <v>330925828.25</v>
      </c>
      <c r="I220" s="165">
        <f t="shared" si="29"/>
        <v>8929322</v>
      </c>
      <c r="J220" s="551">
        <f t="shared" si="26"/>
        <v>8929.3220000000001</v>
      </c>
    </row>
    <row r="221" spans="2:10" x14ac:dyDescent="0.35">
      <c r="B221" s="182">
        <v>9000</v>
      </c>
      <c r="C221" s="182">
        <f t="shared" si="23"/>
        <v>1926.66</v>
      </c>
      <c r="D221" s="182">
        <f t="shared" si="22"/>
        <v>8039.5700000000006</v>
      </c>
      <c r="E221" s="182">
        <f t="shared" si="24"/>
        <v>15966216.75</v>
      </c>
      <c r="F221" s="182">
        <f t="shared" si="27"/>
        <v>282575485</v>
      </c>
      <c r="G221" s="182">
        <f t="shared" si="28"/>
        <v>55016190.000000007</v>
      </c>
      <c r="H221" s="182">
        <f t="shared" si="25"/>
        <v>337591675</v>
      </c>
      <c r="I221" s="165">
        <f t="shared" si="29"/>
        <v>6665846.75</v>
      </c>
      <c r="J221" s="551">
        <f t="shared" si="26"/>
        <v>6665.8467499999997</v>
      </c>
    </row>
    <row r="222" spans="2:10" x14ac:dyDescent="0.35">
      <c r="B222" s="182">
        <v>10000</v>
      </c>
      <c r="C222" s="182">
        <f t="shared" si="23"/>
        <v>1271.635</v>
      </c>
      <c r="D222" s="182">
        <f t="shared" si="22"/>
        <v>6112.9100000000008</v>
      </c>
      <c r="E222" s="182">
        <f t="shared" si="24"/>
        <v>11754748.75</v>
      </c>
      <c r="F222" s="182">
        <f t="shared" si="27"/>
        <v>294330233.75</v>
      </c>
      <c r="G222" s="182">
        <f t="shared" si="28"/>
        <v>48412750.000000007</v>
      </c>
      <c r="H222" s="182">
        <f t="shared" si="25"/>
        <v>342742983.75</v>
      </c>
      <c r="I222" s="165">
        <f t="shared" si="29"/>
        <v>5151308.75</v>
      </c>
      <c r="J222" s="551">
        <f t="shared" si="26"/>
        <v>5151.3087500000001</v>
      </c>
    </row>
    <row r="223" spans="2:10" x14ac:dyDescent="0.35">
      <c r="B223" s="182">
        <v>11000</v>
      </c>
      <c r="C223" s="182">
        <f t="shared" si="23"/>
        <v>834.29499999999996</v>
      </c>
      <c r="D223" s="182">
        <f t="shared" si="22"/>
        <v>4841.2750000000005</v>
      </c>
      <c r="E223" s="182">
        <f t="shared" si="24"/>
        <v>8544347</v>
      </c>
      <c r="F223" s="182">
        <f t="shared" si="27"/>
        <v>302874580.75</v>
      </c>
      <c r="G223" s="182">
        <f t="shared" si="28"/>
        <v>44076780.000000007</v>
      </c>
      <c r="H223" s="182">
        <f t="shared" si="25"/>
        <v>346951360.75</v>
      </c>
      <c r="I223" s="165">
        <f t="shared" si="29"/>
        <v>4208377</v>
      </c>
      <c r="J223" s="551">
        <f t="shared" si="26"/>
        <v>4208.3770000000004</v>
      </c>
    </row>
    <row r="224" spans="2:10" x14ac:dyDescent="0.35">
      <c r="B224" s="182">
        <v>12000</v>
      </c>
      <c r="C224" s="182">
        <f t="shared" si="23"/>
        <v>557.51</v>
      </c>
      <c r="D224" s="182">
        <f t="shared" si="22"/>
        <v>4006.9800000000005</v>
      </c>
      <c r="E224" s="182">
        <f t="shared" si="24"/>
        <v>6252762.25</v>
      </c>
      <c r="F224" s="182">
        <f t="shared" si="27"/>
        <v>309127343</v>
      </c>
      <c r="G224" s="182">
        <f t="shared" si="28"/>
        <v>41393640</v>
      </c>
      <c r="H224" s="182">
        <f t="shared" si="25"/>
        <v>350520983</v>
      </c>
      <c r="I224" s="165">
        <f t="shared" si="29"/>
        <v>3569622.25</v>
      </c>
      <c r="J224" s="551">
        <f t="shared" si="26"/>
        <v>3569.6222499999999</v>
      </c>
    </row>
    <row r="225" spans="2:10" x14ac:dyDescent="0.35">
      <c r="B225" s="182">
        <v>13000</v>
      </c>
      <c r="C225" s="182">
        <f t="shared" si="23"/>
        <v>435.37</v>
      </c>
      <c r="D225" s="182">
        <f t="shared" si="22"/>
        <v>3449.4700000000003</v>
      </c>
      <c r="E225" s="182">
        <f t="shared" si="24"/>
        <v>5298709.25</v>
      </c>
      <c r="F225" s="182">
        <f t="shared" si="27"/>
        <v>314426052.25</v>
      </c>
      <c r="G225" s="182">
        <f t="shared" si="28"/>
        <v>39183300.000000007</v>
      </c>
      <c r="H225" s="182">
        <f t="shared" si="25"/>
        <v>353609352.25</v>
      </c>
      <c r="I225" s="165">
        <f t="shared" si="29"/>
        <v>3088369.25</v>
      </c>
      <c r="J225" s="551">
        <f t="shared" si="26"/>
        <v>3088.3692500000002</v>
      </c>
    </row>
    <row r="226" spans="2:10" x14ac:dyDescent="0.35">
      <c r="B226" s="182">
        <v>14000</v>
      </c>
      <c r="C226" s="182">
        <f t="shared" si="23"/>
        <v>318.15499999999997</v>
      </c>
      <c r="D226" s="182">
        <f t="shared" si="22"/>
        <v>3014.1000000000004</v>
      </c>
      <c r="E226" s="182">
        <f t="shared" si="24"/>
        <v>4178338.5</v>
      </c>
      <c r="F226" s="182">
        <f t="shared" si="27"/>
        <v>318604390.75</v>
      </c>
      <c r="G226" s="182">
        <f t="shared" si="28"/>
        <v>37743230</v>
      </c>
      <c r="H226" s="182">
        <f t="shared" si="25"/>
        <v>356347620.75</v>
      </c>
      <c r="I226" s="165">
        <f t="shared" si="29"/>
        <v>2738268.5</v>
      </c>
      <c r="J226" s="551">
        <f t="shared" si="26"/>
        <v>2738.2685000000001</v>
      </c>
    </row>
    <row r="227" spans="2:10" x14ac:dyDescent="0.35">
      <c r="B227" s="182">
        <v>15000</v>
      </c>
      <c r="C227" s="182">
        <f t="shared" si="23"/>
        <v>277.77</v>
      </c>
      <c r="D227" s="182">
        <f t="shared" si="22"/>
        <v>2695.9450000000002</v>
      </c>
      <c r="E227" s="182">
        <f t="shared" si="24"/>
        <v>3919813.5</v>
      </c>
      <c r="F227" s="182">
        <f t="shared" si="27"/>
        <v>322524204.25</v>
      </c>
      <c r="G227" s="182">
        <f t="shared" si="28"/>
        <v>36272625</v>
      </c>
      <c r="H227" s="182">
        <f t="shared" si="25"/>
        <v>358796829.25</v>
      </c>
      <c r="I227" s="165">
        <f t="shared" si="29"/>
        <v>2449208.5</v>
      </c>
      <c r="J227" s="551">
        <f t="shared" si="26"/>
        <v>2449.2085000000002</v>
      </c>
    </row>
    <row r="228" spans="2:10" x14ac:dyDescent="0.35">
      <c r="B228" s="182">
        <v>25000</v>
      </c>
      <c r="C228" s="182">
        <f t="shared" si="23"/>
        <v>1094.335</v>
      </c>
      <c r="D228" s="182">
        <f t="shared" si="22"/>
        <v>2418.1750000000002</v>
      </c>
      <c r="E228" s="182">
        <f t="shared" si="24"/>
        <v>20096584.5</v>
      </c>
      <c r="F228" s="182">
        <f t="shared" si="27"/>
        <v>342620788.75</v>
      </c>
      <c r="G228" s="182">
        <f t="shared" si="28"/>
        <v>33095999.999999996</v>
      </c>
      <c r="H228" s="182">
        <f t="shared" si="25"/>
        <v>375716788.75</v>
      </c>
      <c r="I228" s="165">
        <f t="shared" si="29"/>
        <v>16919959.5</v>
      </c>
      <c r="J228" s="551">
        <f t="shared" si="26"/>
        <v>16919.959500000001</v>
      </c>
    </row>
    <row r="229" spans="2:10" x14ac:dyDescent="0.35">
      <c r="B229" s="182">
        <v>35000</v>
      </c>
      <c r="C229" s="182">
        <f t="shared" si="23"/>
        <v>356.57</v>
      </c>
      <c r="D229" s="182">
        <f t="shared" si="22"/>
        <v>1323.84</v>
      </c>
      <c r="E229" s="182">
        <f t="shared" si="24"/>
        <v>10212024.75</v>
      </c>
      <c r="F229" s="182">
        <f t="shared" si="27"/>
        <v>352832813.5</v>
      </c>
      <c r="G229" s="182">
        <f t="shared" si="28"/>
        <v>33854450</v>
      </c>
      <c r="H229" s="182">
        <f t="shared" si="25"/>
        <v>386687263.5</v>
      </c>
      <c r="I229" s="165">
        <f t="shared" si="29"/>
        <v>10970474.75</v>
      </c>
      <c r="J229" s="551">
        <f t="shared" si="26"/>
        <v>10970.474749999999</v>
      </c>
    </row>
    <row r="230" spans="2:10" x14ac:dyDescent="0.35">
      <c r="B230" s="182">
        <v>45000</v>
      </c>
      <c r="C230" s="182">
        <f t="shared" si="23"/>
        <v>244.28</v>
      </c>
      <c r="D230" s="182">
        <f t="shared" si="22"/>
        <v>967.27</v>
      </c>
      <c r="E230" s="182">
        <f t="shared" si="24"/>
        <v>9427257.75</v>
      </c>
      <c r="F230" s="182">
        <f t="shared" si="27"/>
        <v>362260071.25</v>
      </c>
      <c r="G230" s="182">
        <f t="shared" si="28"/>
        <v>32534550</v>
      </c>
      <c r="H230" s="182">
        <f t="shared" si="25"/>
        <v>394794621.25</v>
      </c>
      <c r="I230" s="165">
        <f t="shared" si="29"/>
        <v>8107357.75</v>
      </c>
      <c r="J230" s="551">
        <f t="shared" si="26"/>
        <v>8107.3577500000001</v>
      </c>
    </row>
    <row r="231" spans="2:10" x14ac:dyDescent="0.35">
      <c r="B231" s="182">
        <v>55000</v>
      </c>
      <c r="C231" s="182">
        <f t="shared" si="23"/>
        <v>157.6</v>
      </c>
      <c r="D231" s="182">
        <f t="shared" si="22"/>
        <v>722.99</v>
      </c>
      <c r="E231" s="182">
        <f t="shared" si="24"/>
        <v>7631275</v>
      </c>
      <c r="F231" s="182">
        <f t="shared" si="27"/>
        <v>369891346.25</v>
      </c>
      <c r="G231" s="182">
        <f t="shared" si="28"/>
        <v>31096450</v>
      </c>
      <c r="H231" s="182">
        <f t="shared" si="25"/>
        <v>400987796.25</v>
      </c>
      <c r="I231" s="165">
        <f t="shared" si="29"/>
        <v>6193175</v>
      </c>
      <c r="J231" s="551">
        <f t="shared" si="26"/>
        <v>6193.1750000000002</v>
      </c>
    </row>
    <row r="232" spans="2:10" x14ac:dyDescent="0.35">
      <c r="B232" s="182">
        <v>65000</v>
      </c>
      <c r="C232" s="182">
        <f t="shared" si="23"/>
        <v>100.47</v>
      </c>
      <c r="D232" s="182">
        <f t="shared" si="22"/>
        <v>565.39</v>
      </c>
      <c r="E232" s="182">
        <f t="shared" si="24"/>
        <v>5792587.75</v>
      </c>
      <c r="F232" s="182">
        <f t="shared" si="27"/>
        <v>375683934</v>
      </c>
      <c r="G232" s="182">
        <f t="shared" si="28"/>
        <v>30219799.999999996</v>
      </c>
      <c r="H232" s="182">
        <f t="shared" si="25"/>
        <v>405903734</v>
      </c>
      <c r="I232" s="165">
        <f t="shared" si="29"/>
        <v>4915937.75</v>
      </c>
      <c r="J232" s="551">
        <f t="shared" si="26"/>
        <v>4915.9377500000001</v>
      </c>
    </row>
    <row r="233" spans="2:10" x14ac:dyDescent="0.35">
      <c r="B233" s="182">
        <v>75000</v>
      </c>
      <c r="C233" s="182">
        <f t="shared" si="23"/>
        <v>74.86</v>
      </c>
      <c r="D233" s="182">
        <f t="shared" si="22"/>
        <v>464.91999999999996</v>
      </c>
      <c r="E233" s="182">
        <f t="shared" si="24"/>
        <v>5106347.5</v>
      </c>
      <c r="F233" s="182">
        <f t="shared" si="27"/>
        <v>380790281.5</v>
      </c>
      <c r="G233" s="182">
        <f t="shared" si="28"/>
        <v>29254499.999999996</v>
      </c>
      <c r="H233" s="182">
        <f t="shared" si="25"/>
        <v>410044781.5</v>
      </c>
      <c r="I233" s="165">
        <f t="shared" si="29"/>
        <v>4141047.5</v>
      </c>
      <c r="J233" s="551">
        <f t="shared" si="26"/>
        <v>4141.0474999999997</v>
      </c>
    </row>
    <row r="234" spans="2:10" x14ac:dyDescent="0.35">
      <c r="B234" s="182">
        <v>85000</v>
      </c>
      <c r="C234" s="182">
        <f t="shared" si="23"/>
        <v>40.384999999999998</v>
      </c>
      <c r="D234" s="182">
        <f t="shared" si="22"/>
        <v>390.05999999999995</v>
      </c>
      <c r="E234" s="182">
        <f t="shared" si="24"/>
        <v>3151707</v>
      </c>
      <c r="F234" s="182">
        <f t="shared" si="27"/>
        <v>383941988.5</v>
      </c>
      <c r="G234" s="182">
        <f t="shared" si="28"/>
        <v>29722374.999999996</v>
      </c>
      <c r="H234" s="182">
        <f t="shared" si="25"/>
        <v>413664363.5</v>
      </c>
      <c r="I234" s="165">
        <f t="shared" si="29"/>
        <v>3619582</v>
      </c>
      <c r="J234" s="551">
        <f t="shared" si="26"/>
        <v>3619.5819999999999</v>
      </c>
    </row>
    <row r="235" spans="2:10" x14ac:dyDescent="0.35">
      <c r="B235" s="182">
        <v>95000</v>
      </c>
      <c r="C235" s="182">
        <f t="shared" si="23"/>
        <v>32.505000000000003</v>
      </c>
      <c r="D235" s="182">
        <f t="shared" si="22"/>
        <v>349.67499999999995</v>
      </c>
      <c r="E235" s="182">
        <f t="shared" si="24"/>
        <v>2847509.25</v>
      </c>
      <c r="F235" s="182">
        <f t="shared" si="27"/>
        <v>386789497.75</v>
      </c>
      <c r="G235" s="182">
        <f t="shared" si="28"/>
        <v>30131149.999999996</v>
      </c>
      <c r="H235" s="182">
        <f t="shared" si="25"/>
        <v>416920647.75</v>
      </c>
      <c r="I235" s="165">
        <f t="shared" si="29"/>
        <v>3256284.25</v>
      </c>
      <c r="J235" s="551">
        <f t="shared" si="26"/>
        <v>3256.2842500000002</v>
      </c>
    </row>
    <row r="236" spans="2:10" x14ac:dyDescent="0.35">
      <c r="B236" s="182">
        <v>105000</v>
      </c>
      <c r="C236" s="182">
        <f t="shared" si="23"/>
        <v>26.594999999999999</v>
      </c>
      <c r="D236" s="182">
        <f t="shared" si="22"/>
        <v>317.16999999999996</v>
      </c>
      <c r="E236" s="182">
        <f t="shared" si="24"/>
        <v>2574238.75</v>
      </c>
      <c r="F236" s="182">
        <f t="shared" si="27"/>
        <v>389363736.5</v>
      </c>
      <c r="G236" s="182">
        <f t="shared" si="28"/>
        <v>30510374.999999993</v>
      </c>
      <c r="H236" s="182">
        <f t="shared" si="25"/>
        <v>419874111.5</v>
      </c>
      <c r="I236" s="165">
        <f t="shared" si="29"/>
        <v>2953463.75</v>
      </c>
      <c r="J236" s="551">
        <f t="shared" si="26"/>
        <v>2953.4637499999999</v>
      </c>
    </row>
    <row r="237" spans="2:10" x14ac:dyDescent="0.35">
      <c r="B237" s="182">
        <v>115000</v>
      </c>
      <c r="C237" s="182">
        <f t="shared" si="23"/>
        <v>26.594999999999999</v>
      </c>
      <c r="D237" s="182">
        <f t="shared" si="22"/>
        <v>290.57499999999993</v>
      </c>
      <c r="E237" s="182">
        <f t="shared" si="24"/>
        <v>2839849.25</v>
      </c>
      <c r="F237" s="182">
        <f t="shared" si="27"/>
        <v>392203585.75</v>
      </c>
      <c r="G237" s="182">
        <f t="shared" si="28"/>
        <v>30357699.999999989</v>
      </c>
      <c r="H237" s="182">
        <f t="shared" si="25"/>
        <v>422561285.75</v>
      </c>
      <c r="I237" s="165">
        <f t="shared" si="29"/>
        <v>2687174.25</v>
      </c>
      <c r="J237" s="551">
        <f t="shared" si="26"/>
        <v>2687.17425</v>
      </c>
    </row>
    <row r="238" spans="2:10" x14ac:dyDescent="0.35">
      <c r="B238" s="182">
        <v>125000</v>
      </c>
      <c r="C238" s="182">
        <f t="shared" si="23"/>
        <v>22.655000000000001</v>
      </c>
      <c r="D238" s="182">
        <f t="shared" si="22"/>
        <v>263.9799999999999</v>
      </c>
      <c r="E238" s="182">
        <f t="shared" si="24"/>
        <v>2637625.25</v>
      </c>
      <c r="F238" s="182">
        <f t="shared" si="27"/>
        <v>394841211</v>
      </c>
      <c r="G238" s="182">
        <f t="shared" si="28"/>
        <v>30165624.999999993</v>
      </c>
      <c r="H238" s="182">
        <f t="shared" si="25"/>
        <v>425006836</v>
      </c>
      <c r="I238" s="165">
        <f t="shared" si="29"/>
        <v>2445550.25</v>
      </c>
      <c r="J238" s="551">
        <f t="shared" si="26"/>
        <v>2445.5502499999998</v>
      </c>
    </row>
    <row r="239" spans="2:10" x14ac:dyDescent="0.35">
      <c r="B239" s="182">
        <v>135000</v>
      </c>
      <c r="C239" s="182">
        <f t="shared" si="23"/>
        <v>17.73</v>
      </c>
      <c r="D239" s="182">
        <f t="shared" si="22"/>
        <v>241.32499999999993</v>
      </c>
      <c r="E239" s="182">
        <f t="shared" si="24"/>
        <v>2238539.25</v>
      </c>
      <c r="F239" s="182">
        <f t="shared" si="27"/>
        <v>397079750.25</v>
      </c>
      <c r="G239" s="182">
        <f t="shared" si="28"/>
        <v>30185324.999999993</v>
      </c>
      <c r="H239" s="182">
        <f t="shared" si="25"/>
        <v>427265075.25</v>
      </c>
      <c r="I239" s="165">
        <f t="shared" si="29"/>
        <v>2258239.25</v>
      </c>
      <c r="J239" s="551">
        <f t="shared" si="26"/>
        <v>2258.2392500000001</v>
      </c>
    </row>
    <row r="240" spans="2:10" x14ac:dyDescent="0.35">
      <c r="B240" s="182">
        <v>145000</v>
      </c>
      <c r="C240" s="182">
        <f t="shared" si="23"/>
        <v>21.669999999999998</v>
      </c>
      <c r="D240" s="182">
        <f t="shared" si="22"/>
        <v>223.59499999999994</v>
      </c>
      <c r="E240" s="182">
        <f t="shared" si="24"/>
        <v>2976867.5</v>
      </c>
      <c r="F240" s="182">
        <f t="shared" si="27"/>
        <v>400056617.75</v>
      </c>
      <c r="G240" s="182">
        <f t="shared" si="28"/>
        <v>29279124.999999993</v>
      </c>
      <c r="H240" s="182">
        <f t="shared" si="25"/>
        <v>429335742.75</v>
      </c>
      <c r="I240" s="165">
        <f t="shared" si="29"/>
        <v>2070667.5</v>
      </c>
      <c r="J240" s="551">
        <f t="shared" si="26"/>
        <v>2070.6675</v>
      </c>
    </row>
    <row r="241" spans="2:10" x14ac:dyDescent="0.35">
      <c r="B241" s="182">
        <v>155000</v>
      </c>
      <c r="C241" s="182">
        <f t="shared" si="23"/>
        <v>19.7</v>
      </c>
      <c r="D241" s="182">
        <f t="shared" si="22"/>
        <v>201.92499999999995</v>
      </c>
      <c r="E241" s="182">
        <f t="shared" si="24"/>
        <v>2858999.25</v>
      </c>
      <c r="F241" s="182">
        <f t="shared" si="27"/>
        <v>402915617</v>
      </c>
      <c r="G241" s="182">
        <f t="shared" si="28"/>
        <v>28244874.999999996</v>
      </c>
      <c r="H241" s="182">
        <f t="shared" si="25"/>
        <v>431160492</v>
      </c>
      <c r="I241" s="165">
        <f t="shared" si="29"/>
        <v>1824749.25</v>
      </c>
      <c r="J241" s="551">
        <f t="shared" si="26"/>
        <v>1824.7492500000001</v>
      </c>
    </row>
    <row r="242" spans="2:10" x14ac:dyDescent="0.35">
      <c r="B242" s="182">
        <v>165000</v>
      </c>
      <c r="C242" s="182">
        <f t="shared" si="23"/>
        <v>11.82</v>
      </c>
      <c r="D242" s="182">
        <f t="shared" si="22"/>
        <v>182.22499999999997</v>
      </c>
      <c r="E242" s="182">
        <f t="shared" si="24"/>
        <v>1840410.75</v>
      </c>
      <c r="F242" s="182">
        <f t="shared" si="27"/>
        <v>404756027.75</v>
      </c>
      <c r="G242" s="182">
        <f t="shared" si="28"/>
        <v>28116824.999999996</v>
      </c>
      <c r="H242" s="182">
        <f t="shared" si="25"/>
        <v>432872852.75</v>
      </c>
      <c r="I242" s="165">
        <f t="shared" si="29"/>
        <v>1712360.75</v>
      </c>
      <c r="J242" s="551">
        <f t="shared" si="26"/>
        <v>1712.3607500000001</v>
      </c>
    </row>
    <row r="243" spans="2:10" x14ac:dyDescent="0.35">
      <c r="B243" s="182">
        <v>175000</v>
      </c>
      <c r="C243" s="182">
        <f t="shared" si="23"/>
        <v>12.805</v>
      </c>
      <c r="D243" s="182">
        <f t="shared" si="22"/>
        <v>170.40499999999997</v>
      </c>
      <c r="E243" s="182">
        <f t="shared" si="24"/>
        <v>2125458.5</v>
      </c>
      <c r="F243" s="182">
        <f t="shared" si="27"/>
        <v>406881486.25</v>
      </c>
      <c r="G243" s="182">
        <f t="shared" si="28"/>
        <v>27579999.999999993</v>
      </c>
      <c r="H243" s="182">
        <f t="shared" si="25"/>
        <v>434461486.25</v>
      </c>
      <c r="I243" s="165">
        <f t="shared" si="29"/>
        <v>1588633.5</v>
      </c>
      <c r="J243" s="551">
        <f t="shared" si="26"/>
        <v>1588.6334999999999</v>
      </c>
    </row>
    <row r="244" spans="2:10" x14ac:dyDescent="0.35">
      <c r="B244" s="182">
        <v>185000</v>
      </c>
      <c r="C244" s="182">
        <f t="shared" si="23"/>
        <v>11.82</v>
      </c>
      <c r="D244" s="182">
        <f t="shared" si="22"/>
        <v>157.59999999999997</v>
      </c>
      <c r="E244" s="182">
        <f t="shared" si="24"/>
        <v>2075668.5</v>
      </c>
      <c r="F244" s="182">
        <f t="shared" si="27"/>
        <v>408957154.75</v>
      </c>
      <c r="G244" s="182">
        <f t="shared" si="28"/>
        <v>26969299.999999996</v>
      </c>
      <c r="H244" s="182">
        <f t="shared" si="25"/>
        <v>435926454.75</v>
      </c>
      <c r="I244" s="165">
        <f t="shared" si="29"/>
        <v>1464968.5</v>
      </c>
      <c r="J244" s="551">
        <f t="shared" si="26"/>
        <v>1464.9684999999999</v>
      </c>
    </row>
    <row r="245" spans="2:10" x14ac:dyDescent="0.35">
      <c r="B245" s="182">
        <v>195000</v>
      </c>
      <c r="C245" s="182">
        <f t="shared" si="23"/>
        <v>9.85</v>
      </c>
      <c r="D245" s="182">
        <f t="shared" si="22"/>
        <v>145.77999999999997</v>
      </c>
      <c r="E245" s="182">
        <f t="shared" si="24"/>
        <v>1822888.5</v>
      </c>
      <c r="F245" s="182">
        <f t="shared" si="27"/>
        <v>410780043.25</v>
      </c>
      <c r="G245" s="182">
        <f t="shared" si="28"/>
        <v>26506349.999999996</v>
      </c>
      <c r="H245" s="182">
        <f t="shared" si="25"/>
        <v>437286393.25</v>
      </c>
      <c r="I245" s="165">
        <f t="shared" si="29"/>
        <v>1359938.5</v>
      </c>
      <c r="J245" s="551">
        <f t="shared" si="26"/>
        <v>1359.9385</v>
      </c>
    </row>
    <row r="246" spans="2:10" x14ac:dyDescent="0.35">
      <c r="B246" s="182">
        <v>205000</v>
      </c>
      <c r="C246" s="182">
        <f t="shared" si="23"/>
        <v>4.9249999999999998</v>
      </c>
      <c r="D246" s="182">
        <f t="shared" si="22"/>
        <v>135.92999999999998</v>
      </c>
      <c r="E246" s="182">
        <f t="shared" si="24"/>
        <v>964489.75</v>
      </c>
      <c r="F246" s="182">
        <f t="shared" si="27"/>
        <v>411744533</v>
      </c>
      <c r="G246" s="182">
        <f t="shared" si="28"/>
        <v>26856024.999999993</v>
      </c>
      <c r="H246" s="182">
        <f t="shared" si="25"/>
        <v>438600558</v>
      </c>
      <c r="I246" s="165">
        <f t="shared" si="29"/>
        <v>1314164.75</v>
      </c>
      <c r="J246" s="551">
        <f t="shared" si="26"/>
        <v>1314.1647499999999</v>
      </c>
    </row>
    <row r="247" spans="2:10" x14ac:dyDescent="0.35">
      <c r="B247" s="182">
        <v>215000</v>
      </c>
      <c r="C247" s="182">
        <f t="shared" si="23"/>
        <v>9.85</v>
      </c>
      <c r="D247" s="182">
        <f t="shared" si="22"/>
        <v>131.00499999999997</v>
      </c>
      <c r="E247" s="182">
        <f t="shared" si="24"/>
        <v>2010845.75</v>
      </c>
      <c r="F247" s="182">
        <f t="shared" si="27"/>
        <v>413755378.75</v>
      </c>
      <c r="G247" s="182">
        <f t="shared" si="28"/>
        <v>26048324.999999993</v>
      </c>
      <c r="H247" s="182">
        <f t="shared" si="25"/>
        <v>439803703.75</v>
      </c>
      <c r="I247" s="165">
        <f t="shared" si="29"/>
        <v>1203145.75</v>
      </c>
      <c r="J247" s="551">
        <f t="shared" si="26"/>
        <v>1203.1457499999999</v>
      </c>
    </row>
    <row r="248" spans="2:10" x14ac:dyDescent="0.35">
      <c r="B248" s="182">
        <v>225000</v>
      </c>
      <c r="C248" s="182">
        <f t="shared" si="23"/>
        <v>3.94</v>
      </c>
      <c r="D248" s="182">
        <f t="shared" si="22"/>
        <v>121.15499999999996</v>
      </c>
      <c r="E248" s="182">
        <f t="shared" si="24"/>
        <v>835227.25</v>
      </c>
      <c r="F248" s="182">
        <f t="shared" si="27"/>
        <v>414590606</v>
      </c>
      <c r="G248" s="182">
        <f t="shared" si="28"/>
        <v>26373374.999999993</v>
      </c>
      <c r="H248" s="182">
        <f t="shared" si="25"/>
        <v>440963981</v>
      </c>
      <c r="I248" s="165">
        <f t="shared" si="29"/>
        <v>1160277.25</v>
      </c>
      <c r="J248" s="551">
        <f t="shared" si="26"/>
        <v>1160.2772500000001</v>
      </c>
    </row>
    <row r="249" spans="2:10" x14ac:dyDescent="0.35">
      <c r="B249" s="182">
        <v>235000</v>
      </c>
      <c r="C249" s="182">
        <f t="shared" si="23"/>
        <v>4.9249999999999998</v>
      </c>
      <c r="D249" s="182">
        <f t="shared" si="22"/>
        <v>117.21499999999996</v>
      </c>
      <c r="E249" s="182">
        <f t="shared" si="24"/>
        <v>1100933.5</v>
      </c>
      <c r="F249" s="182">
        <f t="shared" si="27"/>
        <v>415691539.5</v>
      </c>
      <c r="G249" s="182">
        <f t="shared" si="28"/>
        <v>26388149.999999993</v>
      </c>
      <c r="H249" s="182">
        <f t="shared" si="25"/>
        <v>442079689.5</v>
      </c>
      <c r="I249" s="165">
        <f t="shared" si="29"/>
        <v>1115708.5</v>
      </c>
      <c r="J249" s="551">
        <f t="shared" si="26"/>
        <v>1115.7085</v>
      </c>
    </row>
    <row r="250" spans="2:10" x14ac:dyDescent="0.35">
      <c r="B250" s="182">
        <v>245000</v>
      </c>
      <c r="C250" s="182">
        <f t="shared" si="23"/>
        <v>4.9249999999999998</v>
      </c>
      <c r="D250" s="182">
        <f t="shared" si="22"/>
        <v>112.28999999999996</v>
      </c>
      <c r="E250" s="182">
        <f t="shared" si="24"/>
        <v>1146223.25</v>
      </c>
      <c r="F250" s="182">
        <f t="shared" si="27"/>
        <v>416837762.75</v>
      </c>
      <c r="G250" s="182">
        <f t="shared" si="28"/>
        <v>26304424.999999993</v>
      </c>
      <c r="H250" s="182">
        <f t="shared" si="25"/>
        <v>443142187.75</v>
      </c>
      <c r="I250" s="165">
        <f t="shared" si="29"/>
        <v>1062498.25</v>
      </c>
      <c r="J250" s="551">
        <f t="shared" si="26"/>
        <v>1062.4982500000001</v>
      </c>
    </row>
    <row r="251" spans="2:10" x14ac:dyDescent="0.35">
      <c r="B251" s="182">
        <v>255000</v>
      </c>
      <c r="C251" s="182">
        <f t="shared" si="23"/>
        <v>3.94</v>
      </c>
      <c r="D251" s="182">
        <f t="shared" si="22"/>
        <v>107.36499999999997</v>
      </c>
      <c r="E251" s="182">
        <f t="shared" si="24"/>
        <v>957117</v>
      </c>
      <c r="F251" s="182">
        <f t="shared" si="27"/>
        <v>417794879.75</v>
      </c>
      <c r="G251" s="182">
        <f t="shared" si="28"/>
        <v>26373374.999999993</v>
      </c>
      <c r="H251" s="182">
        <f t="shared" si="25"/>
        <v>444168254.75</v>
      </c>
      <c r="I251" s="165">
        <f t="shared" si="29"/>
        <v>1026067</v>
      </c>
      <c r="J251" s="551">
        <f t="shared" si="26"/>
        <v>1026.067</v>
      </c>
    </row>
    <row r="252" spans="2:10" x14ac:dyDescent="0.35">
      <c r="B252" s="182">
        <v>265000</v>
      </c>
      <c r="C252" s="182">
        <f t="shared" si="23"/>
        <v>1.97</v>
      </c>
      <c r="D252" s="182">
        <f t="shared" si="22"/>
        <v>103.42499999999997</v>
      </c>
      <c r="E252" s="182">
        <f t="shared" si="24"/>
        <v>496751</v>
      </c>
      <c r="F252" s="182">
        <f t="shared" si="27"/>
        <v>418291630.75</v>
      </c>
      <c r="G252" s="182">
        <f t="shared" si="28"/>
        <v>26885574.999999993</v>
      </c>
      <c r="H252" s="182">
        <f t="shared" si="25"/>
        <v>445177205.75</v>
      </c>
      <c r="I252" s="165">
        <f t="shared" si="29"/>
        <v>1008951</v>
      </c>
      <c r="J252" s="551">
        <f t="shared" si="26"/>
        <v>1008.951</v>
      </c>
    </row>
    <row r="253" spans="2:10" x14ac:dyDescent="0.35">
      <c r="B253" s="182">
        <v>275000</v>
      </c>
      <c r="C253" s="182">
        <f t="shared" si="23"/>
        <v>3.94</v>
      </c>
      <c r="D253" s="182">
        <f t="shared" si="22"/>
        <v>101.45499999999997</v>
      </c>
      <c r="E253" s="182">
        <f t="shared" si="24"/>
        <v>1030940.25</v>
      </c>
      <c r="F253" s="182">
        <f t="shared" si="27"/>
        <v>419322571</v>
      </c>
      <c r="G253" s="182">
        <f t="shared" si="28"/>
        <v>26816624.999999993</v>
      </c>
      <c r="H253" s="182">
        <f t="shared" si="25"/>
        <v>446139196</v>
      </c>
      <c r="I253" s="165">
        <f t="shared" si="29"/>
        <v>961990.25</v>
      </c>
      <c r="J253" s="551">
        <f t="shared" si="26"/>
        <v>961.99024999999995</v>
      </c>
    </row>
    <row r="254" spans="2:10" x14ac:dyDescent="0.35">
      <c r="B254" s="182">
        <v>285000</v>
      </c>
      <c r="C254" s="182">
        <f t="shared" si="23"/>
        <v>7.88</v>
      </c>
      <c r="D254" s="182">
        <f t="shared" si="22"/>
        <v>97.514999999999972</v>
      </c>
      <c r="E254" s="182">
        <f t="shared" si="24"/>
        <v>2150545</v>
      </c>
      <c r="F254" s="182">
        <f t="shared" si="27"/>
        <v>421473116</v>
      </c>
      <c r="G254" s="182">
        <f t="shared" si="28"/>
        <v>25545974.999999993</v>
      </c>
      <c r="H254" s="182">
        <f t="shared" si="25"/>
        <v>447019091</v>
      </c>
      <c r="I254" s="165">
        <f t="shared" si="29"/>
        <v>879895</v>
      </c>
      <c r="J254" s="551">
        <f t="shared" si="26"/>
        <v>879.89499999999998</v>
      </c>
    </row>
    <row r="255" spans="2:10" x14ac:dyDescent="0.35">
      <c r="B255" s="182">
        <v>295000</v>
      </c>
      <c r="C255" s="182">
        <f t="shared" si="23"/>
        <v>4.9249999999999998</v>
      </c>
      <c r="D255" s="182">
        <f t="shared" si="22"/>
        <v>89.634999999999977</v>
      </c>
      <c r="E255" s="182">
        <f t="shared" si="24"/>
        <v>1390673</v>
      </c>
      <c r="F255" s="182">
        <f t="shared" si="27"/>
        <v>422863789</v>
      </c>
      <c r="G255" s="182">
        <f t="shared" si="28"/>
        <v>24989449.999999993</v>
      </c>
      <c r="H255" s="182">
        <f t="shared" si="25"/>
        <v>447853239</v>
      </c>
      <c r="I255" s="165">
        <f t="shared" si="29"/>
        <v>834148</v>
      </c>
      <c r="J255" s="551">
        <f t="shared" si="26"/>
        <v>834.14800000000002</v>
      </c>
    </row>
    <row r="256" spans="2:10" x14ac:dyDescent="0.35">
      <c r="B256" s="182">
        <v>305000</v>
      </c>
      <c r="C256" s="182">
        <f t="shared" si="23"/>
        <v>4.9249999999999998</v>
      </c>
      <c r="D256" s="182">
        <f t="shared" si="22"/>
        <v>84.70999999999998</v>
      </c>
      <c r="E256" s="182">
        <f t="shared" si="24"/>
        <v>1432803</v>
      </c>
      <c r="F256" s="182">
        <f t="shared" si="27"/>
        <v>424296592</v>
      </c>
      <c r="G256" s="182">
        <f t="shared" si="28"/>
        <v>24334424.999999996</v>
      </c>
      <c r="H256" s="182">
        <f t="shared" si="25"/>
        <v>448631017</v>
      </c>
      <c r="I256" s="165">
        <f t="shared" si="29"/>
        <v>777778</v>
      </c>
      <c r="J256" s="551">
        <f t="shared" si="26"/>
        <v>777.77800000000002</v>
      </c>
    </row>
    <row r="257" spans="2:10" x14ac:dyDescent="0.35">
      <c r="B257" s="182">
        <v>315000</v>
      </c>
      <c r="C257" s="182">
        <f t="shared" si="23"/>
        <v>6.8949999999999996</v>
      </c>
      <c r="D257" s="182">
        <f t="shared" si="22"/>
        <v>79.784999999999982</v>
      </c>
      <c r="E257" s="182">
        <f t="shared" si="24"/>
        <v>2086201</v>
      </c>
      <c r="F257" s="182">
        <f t="shared" si="27"/>
        <v>426382793</v>
      </c>
      <c r="G257" s="182">
        <f t="shared" si="28"/>
        <v>22960349.999999996</v>
      </c>
      <c r="H257" s="182">
        <f t="shared" si="25"/>
        <v>449343143</v>
      </c>
      <c r="I257" s="165">
        <f t="shared" si="29"/>
        <v>712126</v>
      </c>
      <c r="J257" s="551">
        <f t="shared" si="26"/>
        <v>712.12599999999998</v>
      </c>
    </row>
    <row r="258" spans="2:10" x14ac:dyDescent="0.35">
      <c r="B258" s="182">
        <v>325000</v>
      </c>
      <c r="C258" s="182">
        <f t="shared" si="23"/>
        <v>2.9550000000000001</v>
      </c>
      <c r="D258" s="182">
        <f t="shared" si="22"/>
        <v>72.889999999999986</v>
      </c>
      <c r="E258" s="182">
        <f t="shared" si="24"/>
        <v>922647</v>
      </c>
      <c r="F258" s="182">
        <f t="shared" si="27"/>
        <v>427305440</v>
      </c>
      <c r="G258" s="182">
        <f t="shared" si="28"/>
        <v>22728874.999999996</v>
      </c>
      <c r="H258" s="182">
        <f t="shared" si="25"/>
        <v>450034315</v>
      </c>
      <c r="I258" s="165">
        <f t="shared" si="29"/>
        <v>691172</v>
      </c>
      <c r="J258" s="551">
        <f t="shared" si="26"/>
        <v>691.17200000000003</v>
      </c>
    </row>
    <row r="259" spans="2:10" x14ac:dyDescent="0.35">
      <c r="B259" s="182">
        <v>335000</v>
      </c>
      <c r="C259" s="182">
        <f t="shared" si="23"/>
        <v>6.8949999999999996</v>
      </c>
      <c r="D259" s="182">
        <f t="shared" si="22"/>
        <v>69.934999999999988</v>
      </c>
      <c r="E259" s="182">
        <f t="shared" si="24"/>
        <v>2210005.75</v>
      </c>
      <c r="F259" s="182">
        <f t="shared" si="27"/>
        <v>429515445.75</v>
      </c>
      <c r="G259" s="182">
        <f t="shared" si="28"/>
        <v>21118399.999999996</v>
      </c>
      <c r="H259" s="182">
        <f t="shared" si="25"/>
        <v>450633845.75</v>
      </c>
      <c r="I259" s="165">
        <f t="shared" si="29"/>
        <v>599530.75</v>
      </c>
      <c r="J259" s="551">
        <f t="shared" si="26"/>
        <v>599.53075000000001</v>
      </c>
    </row>
    <row r="260" spans="2:10" x14ac:dyDescent="0.35">
      <c r="B260" s="182">
        <v>345000</v>
      </c>
      <c r="C260" s="182">
        <f t="shared" si="23"/>
        <v>3.94</v>
      </c>
      <c r="D260" s="182">
        <f t="shared" si="22"/>
        <v>63.039999999999985</v>
      </c>
      <c r="E260" s="182">
        <f t="shared" si="24"/>
        <v>1312924</v>
      </c>
      <c r="F260" s="182">
        <f t="shared" si="27"/>
        <v>430828369.75</v>
      </c>
      <c r="G260" s="182">
        <f t="shared" si="28"/>
        <v>20389499.999999996</v>
      </c>
      <c r="H260" s="182">
        <f t="shared" si="25"/>
        <v>451217869.75</v>
      </c>
      <c r="I260" s="165">
        <f t="shared" si="29"/>
        <v>584024</v>
      </c>
      <c r="J260" s="551">
        <f t="shared" si="26"/>
        <v>584.024</v>
      </c>
    </row>
    <row r="261" spans="2:10" x14ac:dyDescent="0.35">
      <c r="B261" s="182">
        <v>355000</v>
      </c>
      <c r="C261" s="182">
        <f t="shared" si="23"/>
        <v>0</v>
      </c>
      <c r="D261" s="182">
        <f t="shared" si="22"/>
        <v>59.099999999999987</v>
      </c>
      <c r="E261" s="182">
        <f t="shared" si="24"/>
        <v>0</v>
      </c>
      <c r="F261" s="182">
        <f t="shared" si="27"/>
        <v>430828369.75</v>
      </c>
      <c r="G261" s="182">
        <f t="shared" si="28"/>
        <v>20980499.999999996</v>
      </c>
      <c r="H261" s="182">
        <f t="shared" si="25"/>
        <v>451808869.75</v>
      </c>
      <c r="I261" s="165">
        <f t="shared" si="29"/>
        <v>591000</v>
      </c>
      <c r="J261" s="551">
        <f t="shared" si="26"/>
        <v>591</v>
      </c>
    </row>
    <row r="262" spans="2:10" x14ac:dyDescent="0.35">
      <c r="B262" s="182">
        <v>375000</v>
      </c>
      <c r="C262" s="182">
        <f t="shared" si="23"/>
        <v>3.94</v>
      </c>
      <c r="D262" s="182">
        <f t="shared" si="22"/>
        <v>59.099999999999987</v>
      </c>
      <c r="E262" s="182">
        <f t="shared" si="24"/>
        <v>1395843.5</v>
      </c>
      <c r="F262" s="182">
        <f t="shared" si="27"/>
        <v>432224213.25</v>
      </c>
      <c r="G262" s="182">
        <f t="shared" si="28"/>
        <v>20684999.999999996</v>
      </c>
      <c r="H262" s="182">
        <f t="shared" si="25"/>
        <v>452909213.25</v>
      </c>
      <c r="I262" s="165">
        <f t="shared" si="29"/>
        <v>1100343.5</v>
      </c>
      <c r="J262" s="551">
        <f t="shared" si="26"/>
        <v>1100.3434999999999</v>
      </c>
    </row>
    <row r="263" spans="2:10" x14ac:dyDescent="0.35">
      <c r="B263" s="182">
        <v>385000</v>
      </c>
      <c r="C263" s="182">
        <f t="shared" si="23"/>
        <v>1.97</v>
      </c>
      <c r="D263" s="182">
        <f t="shared" si="22"/>
        <v>55.159999999999989</v>
      </c>
      <c r="E263" s="182">
        <f t="shared" si="24"/>
        <v>722529.5</v>
      </c>
      <c r="F263" s="182">
        <f t="shared" si="27"/>
        <v>432946742.75</v>
      </c>
      <c r="G263" s="182">
        <f t="shared" si="28"/>
        <v>20478149.999999996</v>
      </c>
      <c r="H263" s="182">
        <f t="shared" si="25"/>
        <v>453424892.75</v>
      </c>
      <c r="I263" s="165">
        <f t="shared" si="29"/>
        <v>515679.5</v>
      </c>
      <c r="J263" s="551">
        <f t="shared" si="26"/>
        <v>515.67949999999996</v>
      </c>
    </row>
    <row r="264" spans="2:10" x14ac:dyDescent="0.35">
      <c r="B264" s="182">
        <v>405000</v>
      </c>
      <c r="C264" s="182">
        <f>P60</f>
        <v>2.9550000000000001</v>
      </c>
      <c r="D264" s="182">
        <f t="shared" si="22"/>
        <v>53.189999999999991</v>
      </c>
      <c r="E264" s="182">
        <f>P135+C278</f>
        <v>1131477.75</v>
      </c>
      <c r="F264" s="182">
        <f t="shared" si="27"/>
        <v>434078220.5</v>
      </c>
      <c r="G264" s="182">
        <f t="shared" si="28"/>
        <v>20345174.999999996</v>
      </c>
      <c r="H264" s="182">
        <f t="shared" si="25"/>
        <v>454423395.5</v>
      </c>
      <c r="I264" s="165">
        <f t="shared" si="29"/>
        <v>998502.75</v>
      </c>
      <c r="J264" s="551">
        <f t="shared" si="26"/>
        <v>998.50274999999999</v>
      </c>
    </row>
    <row r="265" spans="2:10" x14ac:dyDescent="0.35">
      <c r="B265" s="182">
        <v>425000</v>
      </c>
      <c r="C265" s="182">
        <f t="shared" si="23"/>
        <v>0.98499999999999999</v>
      </c>
      <c r="D265" s="182">
        <f t="shared" si="22"/>
        <v>50.234999999999992</v>
      </c>
      <c r="E265" s="182">
        <f t="shared" si="24"/>
        <v>396117.75</v>
      </c>
      <c r="F265" s="182">
        <f t="shared" si="27"/>
        <v>434474338.25</v>
      </c>
      <c r="G265" s="182">
        <f t="shared" si="28"/>
        <v>20931249.999999996</v>
      </c>
      <c r="H265" s="182">
        <f t="shared" si="25"/>
        <v>455405588.25</v>
      </c>
      <c r="I265" s="165">
        <f t="shared" si="29"/>
        <v>982192.75</v>
      </c>
      <c r="J265" s="551">
        <f t="shared" si="26"/>
        <v>982.19275000000005</v>
      </c>
    </row>
    <row r="266" spans="2:10" x14ac:dyDescent="0.35">
      <c r="B266" s="182">
        <v>465000</v>
      </c>
      <c r="C266" s="182">
        <f t="shared" si="23"/>
        <v>4.9249999999999998</v>
      </c>
      <c r="D266" s="182">
        <f t="shared" si="22"/>
        <v>49.249999999999993</v>
      </c>
      <c r="E266" s="182">
        <f t="shared" si="24"/>
        <v>2103914.75</v>
      </c>
      <c r="F266" s="182">
        <f t="shared" si="27"/>
        <v>436578253</v>
      </c>
      <c r="G266" s="182">
        <f t="shared" si="28"/>
        <v>20611124.999999996</v>
      </c>
      <c r="H266" s="182">
        <f t="shared" si="25"/>
        <v>457189378</v>
      </c>
      <c r="I266" s="165">
        <f t="shared" si="29"/>
        <v>1783789.75</v>
      </c>
      <c r="J266" s="551">
        <f t="shared" si="26"/>
        <v>1783.7897499999999</v>
      </c>
    </row>
    <row r="267" spans="2:10" x14ac:dyDescent="0.35">
      <c r="B267" s="182">
        <v>625000</v>
      </c>
      <c r="C267" s="182">
        <f t="shared" si="23"/>
        <v>12.805</v>
      </c>
      <c r="D267" s="182">
        <f t="shared" si="22"/>
        <v>44.324999999999996</v>
      </c>
      <c r="E267" s="182">
        <f t="shared" si="24"/>
        <v>6828219.75</v>
      </c>
      <c r="F267" s="182">
        <f t="shared" si="27"/>
        <v>443406472.75</v>
      </c>
      <c r="G267" s="182">
        <f t="shared" si="28"/>
        <v>19699999.999999996</v>
      </c>
      <c r="H267" s="182">
        <f t="shared" si="25"/>
        <v>463106472.75</v>
      </c>
      <c r="I267" s="165">
        <f t="shared" si="29"/>
        <v>5917094.75</v>
      </c>
      <c r="J267" s="551">
        <f t="shared" si="26"/>
        <v>5917.0947500000002</v>
      </c>
    </row>
    <row r="268" spans="2:10" x14ac:dyDescent="0.35">
      <c r="B268" s="182">
        <v>655000</v>
      </c>
      <c r="C268" s="182">
        <f t="shared" si="23"/>
        <v>1.97</v>
      </c>
      <c r="D268" s="182">
        <f t="shared" si="22"/>
        <v>31.519999999999996</v>
      </c>
      <c r="E268" s="182">
        <f t="shared" si="24"/>
        <v>1227610.75</v>
      </c>
      <c r="F268" s="182">
        <f t="shared" si="27"/>
        <v>444634083.5</v>
      </c>
      <c r="G268" s="182">
        <f t="shared" si="28"/>
        <v>19355250</v>
      </c>
      <c r="H268" s="182">
        <f t="shared" si="25"/>
        <v>463989333.5</v>
      </c>
      <c r="I268" s="165">
        <f t="shared" si="29"/>
        <v>882860.75</v>
      </c>
      <c r="J268" s="551">
        <f t="shared" si="26"/>
        <v>882.86075000000005</v>
      </c>
    </row>
    <row r="269" spans="2:10" x14ac:dyDescent="0.35">
      <c r="B269" s="182">
        <v>715000</v>
      </c>
      <c r="C269" s="182">
        <f t="shared" si="23"/>
        <v>7.88</v>
      </c>
      <c r="D269" s="182">
        <f>D270+C269</f>
        <v>29.549999999999997</v>
      </c>
      <c r="E269" s="182">
        <f t="shared" si="24"/>
        <v>5234365.25</v>
      </c>
      <c r="F269" s="182">
        <f t="shared" si="27"/>
        <v>449868448.75</v>
      </c>
      <c r="G269" s="182">
        <f t="shared" si="28"/>
        <v>15494049.999999998</v>
      </c>
      <c r="H269" s="182">
        <f t="shared" si="25"/>
        <v>465362498.75</v>
      </c>
      <c r="I269" s="165">
        <f t="shared" si="29"/>
        <v>1373165.25</v>
      </c>
      <c r="J269" s="551">
        <f t="shared" si="26"/>
        <v>1373.16525</v>
      </c>
    </row>
    <row r="270" spans="2:10" ht="16" thickBot="1" x14ac:dyDescent="0.4">
      <c r="B270" s="182">
        <v>845000</v>
      </c>
      <c r="C270" s="182">
        <f t="shared" si="23"/>
        <v>21.669999999999998</v>
      </c>
      <c r="D270" s="182">
        <f>C270</f>
        <v>21.669999999999998</v>
      </c>
      <c r="E270" s="182">
        <f t="shared" si="24"/>
        <v>22856291</v>
      </c>
      <c r="F270" s="182">
        <f t="shared" si="27"/>
        <v>472724739.75</v>
      </c>
      <c r="G270" s="182">
        <f t="shared" si="28"/>
        <v>0</v>
      </c>
      <c r="H270" s="182">
        <f t="shared" si="25"/>
        <v>472724739.75</v>
      </c>
      <c r="I270" s="165">
        <f t="shared" si="29"/>
        <v>7362241</v>
      </c>
      <c r="J270" s="552">
        <f t="shared" si="26"/>
        <v>7362.241</v>
      </c>
    </row>
    <row r="278" spans="2:3" x14ac:dyDescent="0.35">
      <c r="B278" s="26" t="s">
        <v>1409</v>
      </c>
      <c r="C278" s="34">
        <f>D173*1000</f>
        <v>0</v>
      </c>
    </row>
    <row r="279" spans="2:3" x14ac:dyDescent="0.35">
      <c r="B279" s="26" t="s">
        <v>1410</v>
      </c>
      <c r="C279" s="34">
        <f>C278/12</f>
        <v>0</v>
      </c>
    </row>
  </sheetData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indexed="57"/>
  </sheetPr>
  <dimension ref="A1:G71"/>
  <sheetViews>
    <sheetView topLeftCell="A25" zoomScaleNormal="100" workbookViewId="0">
      <selection activeCell="K52" sqref="K52"/>
    </sheetView>
  </sheetViews>
  <sheetFormatPr defaultColWidth="8.7265625" defaultRowHeight="15.5" x14ac:dyDescent="0.35"/>
  <cols>
    <col min="1" max="1" width="3.7265625" style="26" customWidth="1"/>
    <col min="2" max="3" width="8.7265625" style="26"/>
    <col min="4" max="4" width="37.7265625" style="26" customWidth="1"/>
    <col min="5" max="5" width="15" style="26" customWidth="1"/>
    <col min="6" max="6" width="16.54296875" style="26" customWidth="1"/>
    <col min="7" max="7" width="15.453125" style="26" customWidth="1"/>
    <col min="8" max="16384" width="8.7265625" style="26"/>
  </cols>
  <sheetData>
    <row r="1" spans="1:7" x14ac:dyDescent="0.35">
      <c r="A1" s="25" t="s">
        <v>4</v>
      </c>
    </row>
    <row r="2" spans="1:7" x14ac:dyDescent="0.35">
      <c r="A2" s="25" t="s">
        <v>109</v>
      </c>
    </row>
    <row r="3" spans="1:7" x14ac:dyDescent="0.35">
      <c r="A3" s="25" t="s">
        <v>646</v>
      </c>
      <c r="G3" s="50" t="s">
        <v>1601</v>
      </c>
    </row>
    <row r="5" spans="1:7" ht="40.15" customHeight="1" x14ac:dyDescent="0.35">
      <c r="E5" s="245" t="s">
        <v>37</v>
      </c>
      <c r="F5" s="114" t="s">
        <v>374</v>
      </c>
      <c r="G5" s="114" t="s">
        <v>375</v>
      </c>
    </row>
    <row r="6" spans="1:7" ht="9" customHeight="1" x14ac:dyDescent="0.35">
      <c r="E6" s="29"/>
    </row>
    <row r="7" spans="1:7" x14ac:dyDescent="0.35">
      <c r="A7" s="66" t="s">
        <v>6</v>
      </c>
      <c r="E7" s="40"/>
    </row>
    <row r="8" spans="1:7" x14ac:dyDescent="0.35">
      <c r="A8" s="26" t="s">
        <v>650</v>
      </c>
      <c r="E8" s="33">
        <f>'Test Year Detail'!H9</f>
        <v>94203.908511670874</v>
      </c>
      <c r="F8" s="296">
        <f>'Inch_Ft Piping'!I29</f>
        <v>0.45430994088953769</v>
      </c>
      <c r="G8" s="247">
        <f>E8*F8</f>
        <v>42797.772107500612</v>
      </c>
    </row>
    <row r="9" spans="1:7" x14ac:dyDescent="0.35">
      <c r="A9" s="26" t="s">
        <v>651</v>
      </c>
      <c r="E9" s="34">
        <f>'Test Year Detail'!H10</f>
        <v>0</v>
      </c>
      <c r="F9" s="295">
        <f>'Inch_Ft Piping'!I29</f>
        <v>0.45430994088953769</v>
      </c>
      <c r="G9" s="95">
        <f t="shared" ref="G9:G37" si="0">E9*F9</f>
        <v>0</v>
      </c>
    </row>
    <row r="10" spans="1:7" x14ac:dyDescent="0.35">
      <c r="A10" s="26" t="s">
        <v>8</v>
      </c>
      <c r="E10" s="34">
        <f>'Test Year Detail'!H11</f>
        <v>155370.54308476168</v>
      </c>
      <c r="F10" s="246">
        <v>0</v>
      </c>
      <c r="G10" s="95">
        <f t="shared" si="0"/>
        <v>0</v>
      </c>
    </row>
    <row r="11" spans="1:7" x14ac:dyDescent="0.35">
      <c r="A11" s="26" t="s">
        <v>9</v>
      </c>
      <c r="E11" s="34">
        <f>'Test Year Detail'!H12</f>
        <v>115154.42608615363</v>
      </c>
      <c r="F11" s="295">
        <f>'Contract Operations'!H73+'Contract Operations'!Q75</f>
        <v>0.66911446572225719</v>
      </c>
      <c r="G11" s="95">
        <f t="shared" si="0"/>
        <v>77051.492286189838</v>
      </c>
    </row>
    <row r="12" spans="1:7" x14ac:dyDescent="0.35">
      <c r="A12" s="26" t="s">
        <v>1034</v>
      </c>
      <c r="E12" s="34">
        <f>'Test Year Detail'!H13</f>
        <v>0</v>
      </c>
      <c r="F12" s="295">
        <f>'Inch_Ft Piping'!I29</f>
        <v>0.45430994088953769</v>
      </c>
      <c r="G12" s="95">
        <f t="shared" si="0"/>
        <v>0</v>
      </c>
    </row>
    <row r="13" spans="1:7" x14ac:dyDescent="0.35">
      <c r="A13" s="26" t="s">
        <v>10</v>
      </c>
      <c r="E13" s="34">
        <f>'Test Year Detail'!H14</f>
        <v>7370.2</v>
      </c>
      <c r="F13" s="246">
        <v>0</v>
      </c>
      <c r="G13" s="95">
        <f t="shared" si="0"/>
        <v>0</v>
      </c>
    </row>
    <row r="14" spans="1:7" x14ac:dyDescent="0.35">
      <c r="A14" s="26" t="s">
        <v>11</v>
      </c>
      <c r="E14" s="34">
        <f>'Test Year Detail'!H15</f>
        <v>4558.8999999999996</v>
      </c>
      <c r="F14" s="246">
        <v>0</v>
      </c>
      <c r="G14" s="95">
        <f t="shared" si="0"/>
        <v>0</v>
      </c>
    </row>
    <row r="15" spans="1:7" x14ac:dyDescent="0.35">
      <c r="A15" s="26" t="s">
        <v>12</v>
      </c>
      <c r="E15" s="34">
        <f>'Test Year Detail'!H16</f>
        <v>14596.2</v>
      </c>
      <c r="F15" s="246">
        <v>0</v>
      </c>
      <c r="G15" s="95">
        <f t="shared" si="0"/>
        <v>0</v>
      </c>
    </row>
    <row r="16" spans="1:7" x14ac:dyDescent="0.35">
      <c r="A16" s="26" t="s">
        <v>13</v>
      </c>
      <c r="B16" s="40"/>
      <c r="E16" s="34">
        <f>'Test Year Detail'!H17</f>
        <v>1707.8</v>
      </c>
      <c r="F16" s="246">
        <v>0</v>
      </c>
      <c r="G16" s="95">
        <f t="shared" si="0"/>
        <v>0</v>
      </c>
    </row>
    <row r="17" spans="1:7" x14ac:dyDescent="0.35">
      <c r="A17" s="26" t="s">
        <v>1467</v>
      </c>
      <c r="E17" s="34">
        <f>'Test Year Detail'!H18</f>
        <v>2700.9</v>
      </c>
      <c r="F17" s="246">
        <v>0</v>
      </c>
      <c r="G17" s="95">
        <f t="shared" si="0"/>
        <v>0</v>
      </c>
    </row>
    <row r="18" spans="1:7" x14ac:dyDescent="0.35">
      <c r="A18" s="26" t="s">
        <v>14</v>
      </c>
      <c r="E18" s="34">
        <f>'Test Year Detail'!H19</f>
        <v>1750.77</v>
      </c>
      <c r="F18" s="246">
        <v>0</v>
      </c>
      <c r="G18" s="95">
        <f t="shared" si="0"/>
        <v>0</v>
      </c>
    </row>
    <row r="19" spans="1:7" x14ac:dyDescent="0.35">
      <c r="A19" s="26" t="s">
        <v>15</v>
      </c>
      <c r="E19" s="34">
        <f>'Test Year Detail'!H20</f>
        <v>41597.279999999999</v>
      </c>
      <c r="F19" s="246">
        <v>0</v>
      </c>
      <c r="G19" s="95">
        <f t="shared" si="0"/>
        <v>0</v>
      </c>
    </row>
    <row r="20" spans="1:7" x14ac:dyDescent="0.35">
      <c r="A20" s="26" t="s">
        <v>16</v>
      </c>
      <c r="E20" s="34">
        <f>'Test Year Detail'!H21</f>
        <v>2968.17</v>
      </c>
      <c r="F20" s="246">
        <v>0</v>
      </c>
      <c r="G20" s="95">
        <f t="shared" si="0"/>
        <v>0</v>
      </c>
    </row>
    <row r="21" spans="1:7" x14ac:dyDescent="0.35">
      <c r="A21" s="26" t="s">
        <v>17</v>
      </c>
      <c r="E21" s="34">
        <f>'Test Year Detail'!H22</f>
        <v>811.89</v>
      </c>
      <c r="F21" s="246">
        <v>0</v>
      </c>
      <c r="G21" s="95">
        <f t="shared" si="0"/>
        <v>0</v>
      </c>
    </row>
    <row r="22" spans="1:7" x14ac:dyDescent="0.35">
      <c r="A22" s="26" t="s">
        <v>1466</v>
      </c>
      <c r="E22" s="34">
        <f>'Test Year Detail'!H23</f>
        <v>2181930.9</v>
      </c>
      <c r="F22" s="295">
        <f>'Contract Operations'!$Q$71+'Contract Operations'!$Q$75</f>
        <v>0.66911446572225719</v>
      </c>
      <c r="G22" s="95">
        <f t="shared" si="0"/>
        <v>1459961.5283963836</v>
      </c>
    </row>
    <row r="23" spans="1:7" x14ac:dyDescent="0.35">
      <c r="A23" s="26" t="s">
        <v>658</v>
      </c>
      <c r="E23" s="34">
        <f>'Test Year Detail'!H24</f>
        <v>94932.81</v>
      </c>
      <c r="F23" s="246">
        <v>0</v>
      </c>
      <c r="G23" s="95">
        <f t="shared" si="0"/>
        <v>0</v>
      </c>
    </row>
    <row r="24" spans="1:7" x14ac:dyDescent="0.35">
      <c r="A24" s="26" t="s">
        <v>34</v>
      </c>
      <c r="E24" s="34">
        <f>'Test Year Detail'!H25</f>
        <v>0</v>
      </c>
      <c r="F24" s="246">
        <v>0</v>
      </c>
      <c r="G24" s="95">
        <f t="shared" si="0"/>
        <v>0</v>
      </c>
    </row>
    <row r="25" spans="1:7" x14ac:dyDescent="0.35">
      <c r="A25" s="26" t="s">
        <v>19</v>
      </c>
      <c r="E25" s="34">
        <f>'Test Year Detail'!H26</f>
        <v>0</v>
      </c>
      <c r="F25" s="576">
        <f>'Inch_Ft Piping'!I29</f>
        <v>0.45430994088953769</v>
      </c>
      <c r="G25" s="95">
        <f t="shared" si="0"/>
        <v>0</v>
      </c>
    </row>
    <row r="26" spans="1:7" x14ac:dyDescent="0.35">
      <c r="A26" s="26" t="s">
        <v>20</v>
      </c>
      <c r="E26" s="34">
        <f>'Test Year Detail'!H27</f>
        <v>7938.15</v>
      </c>
      <c r="F26" s="246">
        <v>0</v>
      </c>
      <c r="G26" s="95">
        <f t="shared" si="0"/>
        <v>0</v>
      </c>
    </row>
    <row r="27" spans="1:7" x14ac:dyDescent="0.35">
      <c r="A27" s="26" t="s">
        <v>21</v>
      </c>
      <c r="E27" s="34">
        <f>'Test Year Detail'!H28</f>
        <v>1727.49</v>
      </c>
      <c r="F27" s="246">
        <v>0</v>
      </c>
      <c r="G27" s="95">
        <f t="shared" si="0"/>
        <v>0</v>
      </c>
    </row>
    <row r="28" spans="1:7" x14ac:dyDescent="0.35">
      <c r="A28" s="26" t="s">
        <v>105</v>
      </c>
      <c r="E28" s="34">
        <f>'Test Year Detail'!H29</f>
        <v>0</v>
      </c>
      <c r="F28" s="246">
        <v>0</v>
      </c>
      <c r="G28" s="95">
        <f t="shared" si="0"/>
        <v>0</v>
      </c>
    </row>
    <row r="29" spans="1:7" x14ac:dyDescent="0.35">
      <c r="A29" s="26" t="s">
        <v>22</v>
      </c>
      <c r="E29" s="34">
        <f>'Test Year Detail'!H30</f>
        <v>25613.88</v>
      </c>
      <c r="F29" s="246">
        <v>0</v>
      </c>
      <c r="G29" s="95">
        <f t="shared" si="0"/>
        <v>0</v>
      </c>
    </row>
    <row r="30" spans="1:7" x14ac:dyDescent="0.35">
      <c r="A30" s="26" t="s">
        <v>23</v>
      </c>
      <c r="E30" s="34">
        <f>'Test Year Detail'!H31</f>
        <v>1949.19</v>
      </c>
      <c r="F30" s="246">
        <v>0</v>
      </c>
      <c r="G30" s="95">
        <f t="shared" si="0"/>
        <v>0</v>
      </c>
    </row>
    <row r="31" spans="1:7" x14ac:dyDescent="0.35">
      <c r="A31" s="26" t="s">
        <v>24</v>
      </c>
      <c r="E31" s="34">
        <f>'Test Year Detail'!H32</f>
        <v>0</v>
      </c>
      <c r="F31" s="246">
        <v>0</v>
      </c>
      <c r="G31" s="95">
        <f t="shared" si="0"/>
        <v>0</v>
      </c>
    </row>
    <row r="32" spans="1:7" x14ac:dyDescent="0.35">
      <c r="A32" s="26" t="s">
        <v>25</v>
      </c>
      <c r="E32" s="34">
        <f>'Test Year Detail'!H33</f>
        <v>42.23</v>
      </c>
      <c r="F32" s="246">
        <v>0</v>
      </c>
      <c r="G32" s="95">
        <f t="shared" si="0"/>
        <v>0</v>
      </c>
    </row>
    <row r="33" spans="1:7" x14ac:dyDescent="0.35">
      <c r="A33" s="26" t="s">
        <v>26</v>
      </c>
      <c r="E33" s="34">
        <f>'Test Year Detail'!H34</f>
        <v>5812.31</v>
      </c>
      <c r="F33" s="246">
        <v>0</v>
      </c>
      <c r="G33" s="95">
        <f t="shared" si="0"/>
        <v>0</v>
      </c>
    </row>
    <row r="34" spans="1:7" x14ac:dyDescent="0.35">
      <c r="A34" s="26" t="s">
        <v>27</v>
      </c>
      <c r="E34" s="34">
        <f>'Test Year Detail'!H35</f>
        <v>2250</v>
      </c>
      <c r="F34" s="246">
        <v>0</v>
      </c>
      <c r="G34" s="95">
        <f t="shared" si="0"/>
        <v>0</v>
      </c>
    </row>
    <row r="35" spans="1:7" x14ac:dyDescent="0.35">
      <c r="A35" s="26" t="s">
        <v>28</v>
      </c>
      <c r="E35" s="34">
        <f>'Test Year Detail'!H36</f>
        <v>8132.6200000000008</v>
      </c>
      <c r="F35" s="246">
        <v>0</v>
      </c>
      <c r="G35" s="95">
        <f t="shared" si="0"/>
        <v>0</v>
      </c>
    </row>
    <row r="36" spans="1:7" x14ac:dyDescent="0.35">
      <c r="A36" s="26" t="s">
        <v>29</v>
      </c>
      <c r="E36" s="34">
        <f>'Test Year Detail'!H37</f>
        <v>11400.24</v>
      </c>
      <c r="F36" s="246">
        <v>0</v>
      </c>
      <c r="G36" s="95">
        <f t="shared" si="0"/>
        <v>0</v>
      </c>
    </row>
    <row r="37" spans="1:7" x14ac:dyDescent="0.35">
      <c r="A37" s="26" t="s">
        <v>1563</v>
      </c>
      <c r="E37" s="575">
        <f>'Test Year Detail'!H38</f>
        <v>-54666</v>
      </c>
      <c r="F37" s="577">
        <f>F11</f>
        <v>0.66911446572225719</v>
      </c>
      <c r="G37" s="96">
        <f t="shared" si="0"/>
        <v>-36577.811383172913</v>
      </c>
    </row>
    <row r="39" spans="1:7" x14ac:dyDescent="0.35">
      <c r="A39" s="26" t="s">
        <v>6</v>
      </c>
      <c r="E39" s="33">
        <f>SUM(E8:E38)</f>
        <v>2729854.8076825864</v>
      </c>
      <c r="G39" s="128">
        <f>SUM(G8:G38)</f>
        <v>1543232.9814069013</v>
      </c>
    </row>
    <row r="40" spans="1:7" x14ac:dyDescent="0.35">
      <c r="G40" s="41">
        <f>G39/E39</f>
        <v>0.56531687218814919</v>
      </c>
    </row>
    <row r="41" spans="1:7" x14ac:dyDescent="0.35">
      <c r="A41" s="26" t="s">
        <v>414</v>
      </c>
      <c r="G41" s="233">
        <f>G39/G56</f>
        <v>1.8253931234667786</v>
      </c>
    </row>
    <row r="43" spans="1:7" x14ac:dyDescent="0.35">
      <c r="A43" s="66" t="s">
        <v>483</v>
      </c>
    </row>
    <row r="44" spans="1:7" x14ac:dyDescent="0.35">
      <c r="A44" s="26" t="s">
        <v>984</v>
      </c>
      <c r="G44" s="33">
        <f>'Test Year Detail'!H44*'Fixed Assets'!J292</f>
        <v>973103.46097842173</v>
      </c>
    </row>
    <row r="45" spans="1:7" x14ac:dyDescent="0.35">
      <c r="A45" s="26" t="s">
        <v>937</v>
      </c>
      <c r="G45" s="35">
        <f>('Debt Service'!K69+'Debt Service'!K70+'Debt Service'!K75+'Debt Service'!K76+'Debt Service'!K77)*'Fixed Assets'!J292</f>
        <v>51536.995295805376</v>
      </c>
    </row>
    <row r="46" spans="1:7" ht="9" customHeight="1" x14ac:dyDescent="0.35">
      <c r="G46" s="34"/>
    </row>
    <row r="47" spans="1:7" x14ac:dyDescent="0.35">
      <c r="A47" s="26" t="s">
        <v>483</v>
      </c>
      <c r="G47" s="33">
        <f>SUM(G44:G46)</f>
        <v>1024640.4562742271</v>
      </c>
    </row>
    <row r="49" spans="1:7" x14ac:dyDescent="0.35">
      <c r="A49" s="26" t="s">
        <v>644</v>
      </c>
      <c r="G49" s="233">
        <f>G47/G56</f>
        <v>1.2119826788588308</v>
      </c>
    </row>
    <row r="50" spans="1:7" ht="16" thickBot="1" x14ac:dyDescent="0.4"/>
    <row r="51" spans="1:7" ht="16" thickBot="1" x14ac:dyDescent="0.4">
      <c r="A51" s="25" t="s">
        <v>645</v>
      </c>
      <c r="G51" s="298">
        <f>G41+G49</f>
        <v>3.0373758023256094</v>
      </c>
    </row>
    <row r="55" spans="1:7" x14ac:dyDescent="0.35">
      <c r="A55" s="297" t="s">
        <v>649</v>
      </c>
    </row>
    <row r="56" spans="1:7" x14ac:dyDescent="0.35">
      <c r="A56" s="26" t="s">
        <v>376</v>
      </c>
      <c r="G56" s="165">
        <f>COS!F280</f>
        <v>845425</v>
      </c>
    </row>
    <row r="59" spans="1:7" x14ac:dyDescent="0.35">
      <c r="A59" s="84">
        <v>-1</v>
      </c>
      <c r="B59" s="26" t="s">
        <v>647</v>
      </c>
    </row>
    <row r="60" spans="1:7" x14ac:dyDescent="0.35">
      <c r="B60" s="26" t="s">
        <v>648</v>
      </c>
    </row>
    <row r="61" spans="1:7" x14ac:dyDescent="0.35">
      <c r="A61" s="84">
        <v>-2</v>
      </c>
      <c r="B61" s="26" t="s">
        <v>1650</v>
      </c>
    </row>
    <row r="62" spans="1:7" x14ac:dyDescent="0.35">
      <c r="A62" s="84">
        <v>-3</v>
      </c>
      <c r="B62" s="26" t="s">
        <v>652</v>
      </c>
    </row>
    <row r="63" spans="1:7" x14ac:dyDescent="0.35">
      <c r="B63" s="26" t="s">
        <v>981</v>
      </c>
    </row>
    <row r="64" spans="1:7" x14ac:dyDescent="0.35">
      <c r="B64" s="26" t="s">
        <v>653</v>
      </c>
    </row>
    <row r="65" spans="1:5" x14ac:dyDescent="0.35">
      <c r="A65" s="84">
        <v>-4</v>
      </c>
      <c r="B65" s="26" t="s">
        <v>938</v>
      </c>
    </row>
    <row r="66" spans="1:5" x14ac:dyDescent="0.35">
      <c r="B66" s="26" t="s">
        <v>939</v>
      </c>
    </row>
    <row r="70" spans="1:5" x14ac:dyDescent="0.35">
      <c r="D70" s="204"/>
    </row>
    <row r="71" spans="1:5" x14ac:dyDescent="0.35">
      <c r="D71" s="204"/>
      <c r="E71" s="165"/>
    </row>
  </sheetData>
  <phoneticPr fontId="7" type="noConversion"/>
  <pageMargins left="0.75" right="0.75" top="1" bottom="1" header="0.5" footer="0.5"/>
  <pageSetup scale="61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tabColor indexed="57"/>
  </sheetPr>
  <dimension ref="A1:AB298"/>
  <sheetViews>
    <sheetView zoomScaleNormal="100" workbookViewId="0">
      <pane ySplit="6" topLeftCell="A274" activePane="bottomLeft" state="frozen"/>
      <selection pane="bottomLeft" activeCell="E277" sqref="E277"/>
    </sheetView>
  </sheetViews>
  <sheetFormatPr defaultColWidth="8.7265625" defaultRowHeight="15.5" x14ac:dyDescent="0.35"/>
  <cols>
    <col min="1" max="1" width="4.453125" style="26" customWidth="1"/>
    <col min="2" max="2" width="62.26953125" style="26" customWidth="1"/>
    <col min="3" max="3" width="13.26953125" style="26" customWidth="1"/>
    <col min="4" max="5" width="15.453125" style="26" customWidth="1"/>
    <col min="6" max="6" width="17.26953125" style="26" customWidth="1"/>
    <col min="7" max="7" width="14.26953125" style="26" customWidth="1"/>
    <col min="8" max="8" width="14.26953125" style="26" bestFit="1" customWidth="1"/>
    <col min="9" max="9" width="18" style="26" bestFit="1" customWidth="1"/>
    <col min="10" max="10" width="14.26953125" style="26" bestFit="1" customWidth="1"/>
    <col min="11" max="11" width="5.453125" style="26" customWidth="1"/>
    <col min="12" max="12" width="14.26953125" style="26" bestFit="1" customWidth="1"/>
    <col min="13" max="13" width="9.54296875" style="26" bestFit="1" customWidth="1"/>
    <col min="14" max="16384" width="8.7265625" style="26"/>
  </cols>
  <sheetData>
    <row r="1" spans="1:12" x14ac:dyDescent="0.35">
      <c r="A1" s="25" t="s">
        <v>4</v>
      </c>
      <c r="B1" s="25"/>
    </row>
    <row r="2" spans="1:12" x14ac:dyDescent="0.35">
      <c r="A2" s="25" t="s">
        <v>109</v>
      </c>
      <c r="B2" s="25"/>
    </row>
    <row r="3" spans="1:12" x14ac:dyDescent="0.35">
      <c r="A3" s="25" t="s">
        <v>501</v>
      </c>
      <c r="B3" s="25"/>
      <c r="L3" s="50" t="s">
        <v>1602</v>
      </c>
    </row>
    <row r="6" spans="1:12" ht="40.9" customHeight="1" x14ac:dyDescent="0.35">
      <c r="A6" s="292" t="s">
        <v>502</v>
      </c>
      <c r="B6" s="292"/>
      <c r="C6" s="291" t="s">
        <v>171</v>
      </c>
      <c r="D6" s="46" t="s">
        <v>509</v>
      </c>
      <c r="E6" s="46" t="s">
        <v>91</v>
      </c>
      <c r="F6" s="46" t="s">
        <v>1549</v>
      </c>
      <c r="G6" s="46" t="s">
        <v>510</v>
      </c>
      <c r="H6" s="291" t="s">
        <v>642</v>
      </c>
      <c r="I6" s="46" t="s">
        <v>643</v>
      </c>
      <c r="J6" s="46" t="s">
        <v>641</v>
      </c>
      <c r="L6" s="46" t="s">
        <v>683</v>
      </c>
    </row>
    <row r="8" spans="1:12" x14ac:dyDescent="0.35">
      <c r="A8" s="25" t="s">
        <v>1547</v>
      </c>
      <c r="D8" s="33">
        <v>9544</v>
      </c>
      <c r="E8" s="33"/>
      <c r="F8" s="33">
        <v>0</v>
      </c>
      <c r="G8" s="33">
        <f>D8-F8</f>
        <v>9544</v>
      </c>
      <c r="H8" s="258">
        <v>1</v>
      </c>
      <c r="I8" s="150">
        <f>G8*H8</f>
        <v>9544</v>
      </c>
      <c r="J8" s="150">
        <f>E8*H8</f>
        <v>0</v>
      </c>
    </row>
    <row r="9" spans="1:12" x14ac:dyDescent="0.35">
      <c r="A9" s="25"/>
      <c r="B9" s="25" t="s">
        <v>234</v>
      </c>
      <c r="C9" s="25"/>
      <c r="D9" s="36">
        <f>SUBTOTAL(9,D8)</f>
        <v>9544</v>
      </c>
      <c r="E9" s="36"/>
      <c r="F9" s="36">
        <f>SUBTOTAL(9,F8)</f>
        <v>0</v>
      </c>
      <c r="G9" s="36">
        <f>SUBTOTAL(9,G8)</f>
        <v>9544</v>
      </c>
      <c r="H9" s="258"/>
      <c r="I9" s="150"/>
      <c r="J9" s="150"/>
    </row>
    <row r="10" spans="1:12" x14ac:dyDescent="0.35">
      <c r="A10" s="25" t="s">
        <v>1548</v>
      </c>
      <c r="D10" s="33"/>
      <c r="E10" s="33"/>
      <c r="F10" s="33"/>
      <c r="G10" s="33"/>
      <c r="I10" s="150"/>
      <c r="J10" s="150"/>
    </row>
    <row r="11" spans="1:12" x14ac:dyDescent="0.35">
      <c r="B11" s="26" t="s">
        <v>503</v>
      </c>
      <c r="C11" s="52">
        <v>57</v>
      </c>
      <c r="D11" s="33">
        <v>1939928.22</v>
      </c>
      <c r="E11" s="33">
        <v>37742</v>
      </c>
      <c r="F11" s="33">
        <v>1788961</v>
      </c>
      <c r="G11" s="33">
        <f t="shared" ref="G11:G42" si="0">D11-F11</f>
        <v>150967.21999999997</v>
      </c>
      <c r="H11" s="258">
        <v>1</v>
      </c>
      <c r="I11" s="150">
        <f>G11*H11</f>
        <v>150967.21999999997</v>
      </c>
      <c r="J11" s="150">
        <f>E11*H11</f>
        <v>37742</v>
      </c>
      <c r="L11" s="33">
        <f t="shared" ref="L11:L42" si="1">IF(D11-(F11+E11)&lt;0,-E11,0)</f>
        <v>0</v>
      </c>
    </row>
    <row r="12" spans="1:12" x14ac:dyDescent="0.35">
      <c r="B12" s="26" t="s">
        <v>505</v>
      </c>
      <c r="C12" s="52">
        <v>40</v>
      </c>
      <c r="D12" s="33">
        <v>6850.15</v>
      </c>
      <c r="E12" s="33">
        <f t="shared" ref="E12:E60" si="2">IF(D12&gt;F12,D12/C12,0)</f>
        <v>0</v>
      </c>
      <c r="F12" s="33">
        <v>6850.1500000000005</v>
      </c>
      <c r="G12" s="33">
        <f t="shared" si="0"/>
        <v>0</v>
      </c>
      <c r="H12" s="258">
        <v>1</v>
      </c>
      <c r="I12" s="150">
        <f t="shared" ref="I12:I67" si="3">G12*H12</f>
        <v>0</v>
      </c>
      <c r="J12" s="150">
        <f t="shared" ref="J12:J42" si="4">E12*H12</f>
        <v>0</v>
      </c>
      <c r="L12" s="33">
        <f t="shared" si="1"/>
        <v>0</v>
      </c>
    </row>
    <row r="13" spans="1:12" x14ac:dyDescent="0.35">
      <c r="B13" s="26" t="s">
        <v>506</v>
      </c>
      <c r="C13" s="52">
        <v>50</v>
      </c>
      <c r="D13" s="33">
        <v>1360880</v>
      </c>
      <c r="E13" s="33">
        <v>27218</v>
      </c>
      <c r="F13" s="33">
        <v>974930</v>
      </c>
      <c r="G13" s="33">
        <f t="shared" si="0"/>
        <v>385950</v>
      </c>
      <c r="H13" s="258">
        <v>1</v>
      </c>
      <c r="I13" s="150">
        <f t="shared" si="3"/>
        <v>385950</v>
      </c>
      <c r="J13" s="150">
        <f t="shared" si="4"/>
        <v>27218</v>
      </c>
      <c r="L13" s="33">
        <f t="shared" si="1"/>
        <v>0</v>
      </c>
    </row>
    <row r="14" spans="1:12" x14ac:dyDescent="0.35">
      <c r="B14" s="26" t="s">
        <v>507</v>
      </c>
      <c r="C14" s="52">
        <v>50</v>
      </c>
      <c r="D14" s="33">
        <v>1562409</v>
      </c>
      <c r="E14" s="33">
        <v>31248</v>
      </c>
      <c r="F14" s="33">
        <v>1171803</v>
      </c>
      <c r="G14" s="33">
        <f t="shared" si="0"/>
        <v>390606</v>
      </c>
      <c r="H14" s="258">
        <v>1</v>
      </c>
      <c r="I14" s="150">
        <f t="shared" si="3"/>
        <v>390606</v>
      </c>
      <c r="J14" s="150">
        <f t="shared" si="4"/>
        <v>31248</v>
      </c>
      <c r="L14" s="33">
        <f t="shared" si="1"/>
        <v>0</v>
      </c>
    </row>
    <row r="15" spans="1:12" x14ac:dyDescent="0.35">
      <c r="B15" s="26" t="s">
        <v>504</v>
      </c>
      <c r="C15" s="52">
        <v>35</v>
      </c>
      <c r="D15" s="33">
        <v>493848.6</v>
      </c>
      <c r="E15" s="33">
        <f t="shared" si="2"/>
        <v>14109.96</v>
      </c>
      <c r="F15" s="293">
        <v>335817</v>
      </c>
      <c r="G15" s="33">
        <f t="shared" si="0"/>
        <v>158031.59999999998</v>
      </c>
      <c r="H15" s="258">
        <v>1</v>
      </c>
      <c r="I15" s="150">
        <f t="shared" si="3"/>
        <v>158031.59999999998</v>
      </c>
      <c r="J15" s="150">
        <f t="shared" si="4"/>
        <v>14109.96</v>
      </c>
      <c r="L15" s="33">
        <f t="shared" si="1"/>
        <v>0</v>
      </c>
    </row>
    <row r="16" spans="1:12" x14ac:dyDescent="0.35">
      <c r="B16" s="26" t="s">
        <v>504</v>
      </c>
      <c r="C16" s="52">
        <v>35</v>
      </c>
      <c r="D16" s="33">
        <v>109474.36</v>
      </c>
      <c r="E16" s="33">
        <f t="shared" si="2"/>
        <v>3127.8388571428573</v>
      </c>
      <c r="F16" s="33">
        <v>72248</v>
      </c>
      <c r="G16" s="33">
        <f t="shared" si="0"/>
        <v>37226.36</v>
      </c>
      <c r="H16" s="258">
        <v>1</v>
      </c>
      <c r="I16" s="150">
        <f t="shared" si="3"/>
        <v>37226.36</v>
      </c>
      <c r="J16" s="150">
        <f t="shared" si="4"/>
        <v>3127.8388571428573</v>
      </c>
      <c r="L16" s="33">
        <f t="shared" si="1"/>
        <v>0</v>
      </c>
    </row>
    <row r="17" spans="2:12" x14ac:dyDescent="0.35">
      <c r="B17" s="26" t="s">
        <v>504</v>
      </c>
      <c r="C17" s="52">
        <v>35</v>
      </c>
      <c r="D17" s="33">
        <v>253731</v>
      </c>
      <c r="E17" s="33">
        <v>7249</v>
      </c>
      <c r="F17" s="33">
        <v>162383</v>
      </c>
      <c r="G17" s="33">
        <f t="shared" si="0"/>
        <v>91348</v>
      </c>
      <c r="H17" s="258">
        <v>1</v>
      </c>
      <c r="I17" s="150">
        <f t="shared" si="3"/>
        <v>91348</v>
      </c>
      <c r="J17" s="150">
        <f t="shared" si="4"/>
        <v>7249</v>
      </c>
      <c r="L17" s="33">
        <f t="shared" si="1"/>
        <v>0</v>
      </c>
    </row>
    <row r="18" spans="2:12" x14ac:dyDescent="0.35">
      <c r="B18" s="26" t="s">
        <v>504</v>
      </c>
      <c r="C18" s="52">
        <v>35</v>
      </c>
      <c r="D18" s="33">
        <v>273419.21000000002</v>
      </c>
      <c r="E18" s="33">
        <f t="shared" si="2"/>
        <v>7811.9774285714293</v>
      </c>
      <c r="F18" s="33">
        <v>169517</v>
      </c>
      <c r="G18" s="33">
        <f t="shared" si="0"/>
        <v>103902.21000000002</v>
      </c>
      <c r="H18" s="258">
        <v>1</v>
      </c>
      <c r="I18" s="150">
        <f t="shared" si="3"/>
        <v>103902.21000000002</v>
      </c>
      <c r="J18" s="150">
        <f t="shared" si="4"/>
        <v>7811.9774285714293</v>
      </c>
      <c r="L18" s="33">
        <f t="shared" si="1"/>
        <v>0</v>
      </c>
    </row>
    <row r="19" spans="2:12" x14ac:dyDescent="0.35">
      <c r="B19" s="26" t="s">
        <v>504</v>
      </c>
      <c r="C19" s="52">
        <v>35</v>
      </c>
      <c r="D19" s="33">
        <v>567554.55000000005</v>
      </c>
      <c r="E19" s="33">
        <f t="shared" si="2"/>
        <v>16215.844285714287</v>
      </c>
      <c r="F19" s="33">
        <v>340532</v>
      </c>
      <c r="G19" s="33">
        <f t="shared" si="0"/>
        <v>227022.55000000005</v>
      </c>
      <c r="H19" s="258">
        <v>1</v>
      </c>
      <c r="I19" s="150">
        <f t="shared" si="3"/>
        <v>227022.55000000005</v>
      </c>
      <c r="J19" s="150">
        <f t="shared" si="4"/>
        <v>16215.844285714287</v>
      </c>
      <c r="L19" s="33">
        <f t="shared" si="1"/>
        <v>0</v>
      </c>
    </row>
    <row r="20" spans="2:12" x14ac:dyDescent="0.35">
      <c r="B20" s="26" t="s">
        <v>504</v>
      </c>
      <c r="C20" s="52">
        <v>35</v>
      </c>
      <c r="D20" s="33">
        <v>307696.40999999997</v>
      </c>
      <c r="E20" s="33">
        <f t="shared" si="2"/>
        <v>8791.3259999999991</v>
      </c>
      <c r="F20" s="33">
        <v>178465</v>
      </c>
      <c r="G20" s="33">
        <f t="shared" si="0"/>
        <v>129231.40999999997</v>
      </c>
      <c r="H20" s="258">
        <v>1</v>
      </c>
      <c r="I20" s="150">
        <f t="shared" si="3"/>
        <v>129231.40999999997</v>
      </c>
      <c r="J20" s="150">
        <f t="shared" si="4"/>
        <v>8791.3259999999991</v>
      </c>
      <c r="L20" s="33">
        <f t="shared" si="1"/>
        <v>0</v>
      </c>
    </row>
    <row r="21" spans="2:12" x14ac:dyDescent="0.35">
      <c r="B21" s="26" t="s">
        <v>504</v>
      </c>
      <c r="C21" s="52">
        <v>35</v>
      </c>
      <c r="D21" s="33">
        <v>203112</v>
      </c>
      <c r="E21" s="33">
        <v>5803</v>
      </c>
      <c r="F21" s="33">
        <v>112949</v>
      </c>
      <c r="G21" s="33">
        <f t="shared" si="0"/>
        <v>90163</v>
      </c>
      <c r="H21" s="258">
        <v>1</v>
      </c>
      <c r="I21" s="150">
        <f t="shared" si="3"/>
        <v>90163</v>
      </c>
      <c r="J21" s="150">
        <f t="shared" si="4"/>
        <v>5803</v>
      </c>
      <c r="L21" s="33">
        <f t="shared" si="1"/>
        <v>0</v>
      </c>
    </row>
    <row r="22" spans="2:12" x14ac:dyDescent="0.35">
      <c r="B22" s="26" t="s">
        <v>504</v>
      </c>
      <c r="C22" s="52">
        <v>35</v>
      </c>
      <c r="D22" s="33">
        <f>138132+125952</f>
        <v>264084</v>
      </c>
      <c r="E22" s="33">
        <f>987+3598</f>
        <v>4585</v>
      </c>
      <c r="F22" s="33">
        <f>71650+68032</f>
        <v>139682</v>
      </c>
      <c r="G22" s="33">
        <f t="shared" si="0"/>
        <v>124402</v>
      </c>
      <c r="H22" s="258">
        <v>1</v>
      </c>
      <c r="I22" s="150">
        <f t="shared" si="3"/>
        <v>124402</v>
      </c>
      <c r="J22" s="150">
        <f t="shared" si="4"/>
        <v>4585</v>
      </c>
      <c r="L22" s="33">
        <f t="shared" si="1"/>
        <v>0</v>
      </c>
    </row>
    <row r="23" spans="2:12" x14ac:dyDescent="0.35">
      <c r="B23" s="26" t="s">
        <v>508</v>
      </c>
      <c r="C23" s="52">
        <v>50</v>
      </c>
      <c r="D23" s="33">
        <v>9486612.5299999993</v>
      </c>
      <c r="E23" s="33">
        <f t="shared" si="2"/>
        <v>189732.2506</v>
      </c>
      <c r="F23" s="33">
        <v>4643976</v>
      </c>
      <c r="G23" s="33">
        <f t="shared" si="0"/>
        <v>4842636.5299999993</v>
      </c>
      <c r="H23" s="258">
        <v>1</v>
      </c>
      <c r="I23" s="150">
        <f t="shared" si="3"/>
        <v>4842636.5299999993</v>
      </c>
      <c r="J23" s="150">
        <f t="shared" si="4"/>
        <v>189732.2506</v>
      </c>
      <c r="L23" s="33">
        <f t="shared" si="1"/>
        <v>0</v>
      </c>
    </row>
    <row r="24" spans="2:12" x14ac:dyDescent="0.35">
      <c r="B24" s="26" t="s">
        <v>504</v>
      </c>
      <c r="C24" s="52">
        <v>35</v>
      </c>
      <c r="D24" s="33">
        <v>119969.68000000001</v>
      </c>
      <c r="E24" s="33">
        <f t="shared" si="2"/>
        <v>3427.7051428571431</v>
      </c>
      <c r="F24" s="33">
        <v>59981</v>
      </c>
      <c r="G24" s="33">
        <f t="shared" si="0"/>
        <v>59988.680000000008</v>
      </c>
      <c r="H24" s="258">
        <v>1</v>
      </c>
      <c r="I24" s="150">
        <f t="shared" si="3"/>
        <v>59988.680000000008</v>
      </c>
      <c r="J24" s="150">
        <f t="shared" si="4"/>
        <v>3427.7051428571431</v>
      </c>
      <c r="L24" s="33">
        <f t="shared" si="1"/>
        <v>0</v>
      </c>
    </row>
    <row r="25" spans="2:12" x14ac:dyDescent="0.35">
      <c r="B25" s="26" t="s">
        <v>511</v>
      </c>
      <c r="C25" s="52">
        <v>50</v>
      </c>
      <c r="D25" s="33">
        <v>79400</v>
      </c>
      <c r="E25" s="33">
        <f t="shared" si="2"/>
        <v>1588</v>
      </c>
      <c r="F25" s="33">
        <v>35731</v>
      </c>
      <c r="G25" s="33">
        <f t="shared" si="0"/>
        <v>43669</v>
      </c>
      <c r="H25" s="258">
        <v>1</v>
      </c>
      <c r="I25" s="150">
        <f t="shared" si="3"/>
        <v>43669</v>
      </c>
      <c r="J25" s="150">
        <f t="shared" si="4"/>
        <v>1588</v>
      </c>
      <c r="L25" s="33">
        <f t="shared" si="1"/>
        <v>0</v>
      </c>
    </row>
    <row r="26" spans="2:12" x14ac:dyDescent="0.35">
      <c r="B26" s="26" t="s">
        <v>512</v>
      </c>
      <c r="C26" s="52">
        <v>35</v>
      </c>
      <c r="D26" s="33">
        <v>37974</v>
      </c>
      <c r="E26" s="33">
        <f t="shared" si="2"/>
        <v>1084.9714285714285</v>
      </c>
      <c r="F26" s="33">
        <v>18603</v>
      </c>
      <c r="G26" s="33">
        <f t="shared" si="0"/>
        <v>19371</v>
      </c>
      <c r="H26" s="258">
        <v>1</v>
      </c>
      <c r="I26" s="150">
        <f t="shared" si="3"/>
        <v>19371</v>
      </c>
      <c r="J26" s="150">
        <f t="shared" si="4"/>
        <v>1084.9714285714285</v>
      </c>
      <c r="L26" s="33">
        <f t="shared" si="1"/>
        <v>0</v>
      </c>
    </row>
    <row r="27" spans="2:12" x14ac:dyDescent="0.35">
      <c r="B27" s="26" t="s">
        <v>504</v>
      </c>
      <c r="C27" s="52">
        <v>35</v>
      </c>
      <c r="D27" s="33">
        <v>9892.49</v>
      </c>
      <c r="E27" s="33">
        <f t="shared" si="2"/>
        <v>282.64257142857144</v>
      </c>
      <c r="F27" s="33">
        <v>4848</v>
      </c>
      <c r="G27" s="33">
        <f t="shared" si="0"/>
        <v>5044.49</v>
      </c>
      <c r="H27" s="258">
        <v>1</v>
      </c>
      <c r="I27" s="150">
        <f t="shared" si="3"/>
        <v>5044.49</v>
      </c>
      <c r="J27" s="150">
        <f t="shared" si="4"/>
        <v>282.64257142857144</v>
      </c>
      <c r="L27" s="33">
        <f t="shared" si="1"/>
        <v>0</v>
      </c>
    </row>
    <row r="28" spans="2:12" x14ac:dyDescent="0.35">
      <c r="B28" s="26" t="s">
        <v>513</v>
      </c>
      <c r="C28" s="52">
        <v>35</v>
      </c>
      <c r="D28" s="33">
        <v>391017.68</v>
      </c>
      <c r="E28" s="33">
        <f t="shared" si="2"/>
        <v>11171.933714285715</v>
      </c>
      <c r="F28" s="33">
        <v>183775</v>
      </c>
      <c r="G28" s="33">
        <f t="shared" si="0"/>
        <v>207242.68</v>
      </c>
      <c r="H28" s="258">
        <v>1</v>
      </c>
      <c r="I28" s="150">
        <f t="shared" si="3"/>
        <v>207242.68</v>
      </c>
      <c r="J28" s="150">
        <f t="shared" si="4"/>
        <v>11171.933714285715</v>
      </c>
      <c r="L28" s="33">
        <f t="shared" si="1"/>
        <v>0</v>
      </c>
    </row>
    <row r="29" spans="2:12" x14ac:dyDescent="0.35">
      <c r="B29" s="26" t="s">
        <v>504</v>
      </c>
      <c r="C29" s="52">
        <v>35</v>
      </c>
      <c r="D29" s="33">
        <v>17310.82</v>
      </c>
      <c r="E29" s="33">
        <f t="shared" si="2"/>
        <v>494.59485714285711</v>
      </c>
      <c r="F29" s="33">
        <v>8634</v>
      </c>
      <c r="G29" s="33">
        <f t="shared" si="0"/>
        <v>8676.82</v>
      </c>
      <c r="H29" s="258">
        <v>1</v>
      </c>
      <c r="I29" s="150">
        <f t="shared" si="3"/>
        <v>8676.82</v>
      </c>
      <c r="J29" s="150">
        <f t="shared" si="4"/>
        <v>494.59485714285711</v>
      </c>
      <c r="L29" s="33">
        <f t="shared" si="1"/>
        <v>0</v>
      </c>
    </row>
    <row r="30" spans="2:12" x14ac:dyDescent="0.35">
      <c r="B30" s="26" t="s">
        <v>504</v>
      </c>
      <c r="C30" s="52">
        <v>35</v>
      </c>
      <c r="D30" s="33">
        <v>730390.1</v>
      </c>
      <c r="E30" s="33">
        <f t="shared" si="2"/>
        <v>20868.288571428569</v>
      </c>
      <c r="F30" s="33">
        <v>386500</v>
      </c>
      <c r="G30" s="33">
        <f t="shared" si="0"/>
        <v>343890.1</v>
      </c>
      <c r="H30" s="258">
        <v>1</v>
      </c>
      <c r="I30" s="150">
        <f t="shared" si="3"/>
        <v>343890.1</v>
      </c>
      <c r="J30" s="150">
        <f t="shared" si="4"/>
        <v>20868.288571428569</v>
      </c>
      <c r="L30" s="33">
        <f t="shared" si="1"/>
        <v>0</v>
      </c>
    </row>
    <row r="31" spans="2:12" x14ac:dyDescent="0.35">
      <c r="B31" s="26" t="s">
        <v>513</v>
      </c>
      <c r="C31" s="52">
        <v>35</v>
      </c>
      <c r="D31" s="33">
        <v>381665.87</v>
      </c>
      <c r="E31" s="33">
        <f t="shared" si="2"/>
        <v>10904.739142857143</v>
      </c>
      <c r="F31" s="33">
        <v>192425</v>
      </c>
      <c r="G31" s="33">
        <f t="shared" si="0"/>
        <v>189240.87</v>
      </c>
      <c r="H31" s="258">
        <v>1</v>
      </c>
      <c r="I31" s="150">
        <f t="shared" si="3"/>
        <v>189240.87</v>
      </c>
      <c r="J31" s="150">
        <f t="shared" si="4"/>
        <v>10904.739142857143</v>
      </c>
      <c r="L31" s="33">
        <f t="shared" si="1"/>
        <v>0</v>
      </c>
    </row>
    <row r="32" spans="2:12" x14ac:dyDescent="0.35">
      <c r="B32" s="26" t="s">
        <v>513</v>
      </c>
      <c r="C32" s="52">
        <v>35</v>
      </c>
      <c r="D32" s="33">
        <v>169840.1</v>
      </c>
      <c r="E32" s="33">
        <f t="shared" si="2"/>
        <v>4852.5742857142859</v>
      </c>
      <c r="F32" s="33">
        <v>67934</v>
      </c>
      <c r="G32" s="33">
        <f t="shared" si="0"/>
        <v>101906.1</v>
      </c>
      <c r="H32" s="258">
        <v>1</v>
      </c>
      <c r="I32" s="150">
        <f t="shared" si="3"/>
        <v>101906.1</v>
      </c>
      <c r="J32" s="150">
        <f t="shared" si="4"/>
        <v>4852.5742857142859</v>
      </c>
      <c r="L32" s="33">
        <f t="shared" si="1"/>
        <v>0</v>
      </c>
    </row>
    <row r="33" spans="2:14" x14ac:dyDescent="0.35">
      <c r="B33" s="26" t="s">
        <v>514</v>
      </c>
      <c r="C33" s="52">
        <v>35</v>
      </c>
      <c r="D33" s="33">
        <v>20543</v>
      </c>
      <c r="E33" s="33">
        <v>587</v>
      </c>
      <c r="F33" s="33">
        <v>13285</v>
      </c>
      <c r="G33" s="33">
        <f t="shared" si="0"/>
        <v>7258</v>
      </c>
      <c r="H33" s="258">
        <v>1</v>
      </c>
      <c r="I33" s="150">
        <f t="shared" si="3"/>
        <v>7258</v>
      </c>
      <c r="J33" s="150">
        <f t="shared" si="4"/>
        <v>587</v>
      </c>
      <c r="L33" s="33">
        <f t="shared" si="1"/>
        <v>0</v>
      </c>
    </row>
    <row r="34" spans="2:14" x14ac:dyDescent="0.35">
      <c r="B34" s="26" t="s">
        <v>507</v>
      </c>
      <c r="C34" s="52">
        <v>35</v>
      </c>
      <c r="D34" s="33">
        <v>294439</v>
      </c>
      <c r="E34" s="33">
        <v>8412</v>
      </c>
      <c r="F34" s="33">
        <v>97165</v>
      </c>
      <c r="G34" s="33">
        <f t="shared" si="0"/>
        <v>197274</v>
      </c>
      <c r="H34" s="258">
        <v>1</v>
      </c>
      <c r="I34" s="150">
        <f t="shared" si="3"/>
        <v>197274</v>
      </c>
      <c r="J34" s="150">
        <f t="shared" si="4"/>
        <v>8412</v>
      </c>
      <c r="L34" s="33">
        <f t="shared" si="1"/>
        <v>0</v>
      </c>
    </row>
    <row r="35" spans="2:14" x14ac:dyDescent="0.35">
      <c r="B35" s="26" t="s">
        <v>515</v>
      </c>
      <c r="C35" s="52">
        <v>35</v>
      </c>
      <c r="D35" s="33">
        <v>12564</v>
      </c>
      <c r="E35" s="33">
        <f t="shared" si="2"/>
        <v>358.97142857142859</v>
      </c>
      <c r="F35" s="33">
        <v>3894</v>
      </c>
      <c r="G35" s="33">
        <f t="shared" si="0"/>
        <v>8670</v>
      </c>
      <c r="H35" s="258">
        <v>1</v>
      </c>
      <c r="I35" s="150">
        <f t="shared" si="3"/>
        <v>8670</v>
      </c>
      <c r="J35" s="150">
        <f t="shared" si="4"/>
        <v>358.97142857142859</v>
      </c>
      <c r="L35" s="33">
        <f t="shared" si="1"/>
        <v>0</v>
      </c>
    </row>
    <row r="36" spans="2:14" x14ac:dyDescent="0.35">
      <c r="B36" s="26" t="s">
        <v>516</v>
      </c>
      <c r="C36" s="52">
        <v>50</v>
      </c>
      <c r="D36" s="33">
        <v>4809652.49</v>
      </c>
      <c r="E36" s="33">
        <f t="shared" si="2"/>
        <v>96193.049800000008</v>
      </c>
      <c r="F36" s="33">
        <v>1298606</v>
      </c>
      <c r="G36" s="33">
        <f t="shared" si="0"/>
        <v>3511046.49</v>
      </c>
      <c r="H36" s="258">
        <v>1</v>
      </c>
      <c r="I36" s="150">
        <f t="shared" si="3"/>
        <v>3511046.49</v>
      </c>
      <c r="J36" s="150">
        <f t="shared" si="4"/>
        <v>96193.049800000008</v>
      </c>
      <c r="L36" s="33">
        <f t="shared" si="1"/>
        <v>0</v>
      </c>
    </row>
    <row r="37" spans="2:14" x14ac:dyDescent="0.35">
      <c r="B37" s="26" t="s">
        <v>517</v>
      </c>
      <c r="C37" s="52">
        <v>35</v>
      </c>
      <c r="D37" s="33">
        <v>210628</v>
      </c>
      <c r="E37" s="33">
        <f t="shared" si="2"/>
        <v>6017.9428571428571</v>
      </c>
      <c r="F37" s="33">
        <v>65295</v>
      </c>
      <c r="G37" s="33">
        <f t="shared" si="0"/>
        <v>145333</v>
      </c>
      <c r="H37" s="258">
        <v>1</v>
      </c>
      <c r="I37" s="150">
        <f t="shared" si="3"/>
        <v>145333</v>
      </c>
      <c r="J37" s="150">
        <f t="shared" si="4"/>
        <v>6017.9428571428571</v>
      </c>
      <c r="L37" s="33">
        <f t="shared" si="1"/>
        <v>0</v>
      </c>
    </row>
    <row r="38" spans="2:14" x14ac:dyDescent="0.35">
      <c r="B38" s="26" t="s">
        <v>518</v>
      </c>
      <c r="C38" s="52">
        <v>35</v>
      </c>
      <c r="D38" s="33">
        <v>85738.63</v>
      </c>
      <c r="E38" s="33">
        <f t="shared" si="2"/>
        <v>2449.6751428571429</v>
      </c>
      <c r="F38" s="33">
        <v>26579</v>
      </c>
      <c r="G38" s="33">
        <f t="shared" si="0"/>
        <v>59159.630000000005</v>
      </c>
      <c r="H38" s="258">
        <v>1</v>
      </c>
      <c r="I38" s="150">
        <f t="shared" si="3"/>
        <v>59159.630000000005</v>
      </c>
      <c r="J38" s="150">
        <f t="shared" si="4"/>
        <v>2449.6751428571429</v>
      </c>
      <c r="L38" s="33">
        <f t="shared" si="1"/>
        <v>0</v>
      </c>
    </row>
    <row r="39" spans="2:14" x14ac:dyDescent="0.35">
      <c r="B39" s="26" t="s">
        <v>519</v>
      </c>
      <c r="C39" s="52">
        <v>35</v>
      </c>
      <c r="D39" s="33">
        <v>81896</v>
      </c>
      <c r="E39" s="33">
        <f t="shared" si="2"/>
        <v>2339.8857142857141</v>
      </c>
      <c r="F39" s="33">
        <v>25388</v>
      </c>
      <c r="G39" s="33">
        <f t="shared" si="0"/>
        <v>56508</v>
      </c>
      <c r="H39" s="258">
        <v>1</v>
      </c>
      <c r="I39" s="150">
        <f t="shared" si="3"/>
        <v>56508</v>
      </c>
      <c r="J39" s="150">
        <f t="shared" si="4"/>
        <v>2339.8857142857141</v>
      </c>
      <c r="L39" s="33">
        <f t="shared" si="1"/>
        <v>0</v>
      </c>
    </row>
    <row r="40" spans="2:14" x14ac:dyDescent="0.35">
      <c r="B40" s="26" t="s">
        <v>520</v>
      </c>
      <c r="C40" s="52">
        <v>35</v>
      </c>
      <c r="D40" s="33">
        <v>29857</v>
      </c>
      <c r="E40" s="33">
        <f t="shared" si="2"/>
        <v>0</v>
      </c>
      <c r="F40" s="33">
        <v>29857</v>
      </c>
      <c r="G40" s="33">
        <f t="shared" si="0"/>
        <v>0</v>
      </c>
      <c r="H40" s="258">
        <v>1</v>
      </c>
      <c r="I40" s="150">
        <f t="shared" si="3"/>
        <v>0</v>
      </c>
      <c r="J40" s="150">
        <f t="shared" si="4"/>
        <v>0</v>
      </c>
      <c r="L40" s="33">
        <f t="shared" si="1"/>
        <v>0</v>
      </c>
    </row>
    <row r="41" spans="2:14" x14ac:dyDescent="0.35">
      <c r="B41" s="26" t="s">
        <v>521</v>
      </c>
      <c r="C41" s="52">
        <v>35</v>
      </c>
      <c r="D41" s="33">
        <v>976738.9</v>
      </c>
      <c r="E41" s="33">
        <f t="shared" si="2"/>
        <v>27906.825714285715</v>
      </c>
      <c r="F41" s="33">
        <v>283254</v>
      </c>
      <c r="G41" s="33">
        <f t="shared" si="0"/>
        <v>693484.9</v>
      </c>
      <c r="H41" s="258">
        <v>1</v>
      </c>
      <c r="I41" s="150">
        <f t="shared" si="3"/>
        <v>693484.9</v>
      </c>
      <c r="J41" s="150">
        <f t="shared" si="4"/>
        <v>27906.825714285715</v>
      </c>
      <c r="L41" s="33">
        <f t="shared" si="1"/>
        <v>0</v>
      </c>
    </row>
    <row r="42" spans="2:14" x14ac:dyDescent="0.35">
      <c r="B42" s="26" t="s">
        <v>522</v>
      </c>
      <c r="C42" s="52">
        <v>35</v>
      </c>
      <c r="D42" s="33">
        <v>67762.59</v>
      </c>
      <c r="E42" s="33">
        <f t="shared" si="2"/>
        <v>1936.0739999999998</v>
      </c>
      <c r="F42" s="33">
        <v>18295</v>
      </c>
      <c r="G42" s="33">
        <f t="shared" si="0"/>
        <v>49467.59</v>
      </c>
      <c r="H42" s="258">
        <v>1</v>
      </c>
      <c r="I42" s="150">
        <f t="shared" si="3"/>
        <v>49467.59</v>
      </c>
      <c r="J42" s="150">
        <f t="shared" si="4"/>
        <v>1936.0739999999998</v>
      </c>
      <c r="L42" s="33">
        <f t="shared" si="1"/>
        <v>0</v>
      </c>
    </row>
    <row r="43" spans="2:14" x14ac:dyDescent="0.35">
      <c r="B43" s="26" t="s">
        <v>523</v>
      </c>
      <c r="C43" s="52">
        <v>35</v>
      </c>
      <c r="D43" s="33">
        <v>4746.6099999999997</v>
      </c>
      <c r="E43" s="33">
        <f t="shared" si="2"/>
        <v>135.61742857142858</v>
      </c>
      <c r="F43" s="33">
        <v>1186</v>
      </c>
      <c r="G43" s="33">
        <f t="shared" ref="G43:G69" si="5">D43-F43</f>
        <v>3560.6099999999997</v>
      </c>
      <c r="H43" s="258">
        <v>1</v>
      </c>
      <c r="I43" s="150">
        <f t="shared" si="3"/>
        <v>3560.6099999999997</v>
      </c>
      <c r="J43" s="150">
        <f t="shared" ref="J43:J67" si="6">E43*H43</f>
        <v>135.61742857142858</v>
      </c>
      <c r="L43" s="33">
        <f t="shared" ref="L43:L69" si="7">IF(D43-(F43+E43)&lt;0,-E43,0)</f>
        <v>0</v>
      </c>
    </row>
    <row r="44" spans="2:14" x14ac:dyDescent="0.35">
      <c r="B44" s="26" t="s">
        <v>524</v>
      </c>
      <c r="C44" s="52">
        <v>35</v>
      </c>
      <c r="D44" s="33">
        <v>300045.84999999998</v>
      </c>
      <c r="E44" s="33">
        <f t="shared" si="2"/>
        <v>8572.7385714285701</v>
      </c>
      <c r="F44" s="33">
        <v>77819</v>
      </c>
      <c r="G44" s="33">
        <f t="shared" si="5"/>
        <v>222226.84999999998</v>
      </c>
      <c r="H44" s="258">
        <v>1</v>
      </c>
      <c r="I44" s="150">
        <f t="shared" si="3"/>
        <v>222226.84999999998</v>
      </c>
      <c r="J44" s="150">
        <f t="shared" si="6"/>
        <v>8572.7385714285701</v>
      </c>
      <c r="L44" s="33">
        <f t="shared" si="7"/>
        <v>0</v>
      </c>
    </row>
    <row r="45" spans="2:14" x14ac:dyDescent="0.35">
      <c r="B45" s="26" t="s">
        <v>525</v>
      </c>
      <c r="C45" s="52">
        <v>35</v>
      </c>
      <c r="D45" s="33">
        <v>78324</v>
      </c>
      <c r="E45" s="33">
        <f t="shared" si="2"/>
        <v>0</v>
      </c>
      <c r="F45" s="33">
        <v>78324</v>
      </c>
      <c r="G45" s="33">
        <f t="shared" si="5"/>
        <v>0</v>
      </c>
      <c r="H45" s="258">
        <v>1</v>
      </c>
      <c r="I45" s="150">
        <f t="shared" si="3"/>
        <v>0</v>
      </c>
      <c r="J45" s="150">
        <f t="shared" si="6"/>
        <v>0</v>
      </c>
      <c r="L45" s="33">
        <f t="shared" si="7"/>
        <v>0</v>
      </c>
    </row>
    <row r="46" spans="2:14" x14ac:dyDescent="0.35">
      <c r="B46" s="26" t="s">
        <v>526</v>
      </c>
      <c r="C46" s="52">
        <v>30</v>
      </c>
      <c r="D46" s="33">
        <v>5400</v>
      </c>
      <c r="E46" s="33">
        <f t="shared" si="2"/>
        <v>180</v>
      </c>
      <c r="F46" s="33">
        <v>2145</v>
      </c>
      <c r="G46" s="33">
        <f t="shared" si="5"/>
        <v>3255</v>
      </c>
      <c r="H46" s="258">
        <v>1</v>
      </c>
      <c r="I46" s="150">
        <f t="shared" si="3"/>
        <v>3255</v>
      </c>
      <c r="J46" s="150">
        <f t="shared" si="6"/>
        <v>180</v>
      </c>
      <c r="L46" s="33">
        <f t="shared" si="7"/>
        <v>0</v>
      </c>
    </row>
    <row r="47" spans="2:14" x14ac:dyDescent="0.35">
      <c r="B47" s="26" t="s">
        <v>527</v>
      </c>
      <c r="C47" s="52">
        <v>30</v>
      </c>
      <c r="D47" s="33">
        <v>7762.27</v>
      </c>
      <c r="E47" s="33">
        <f t="shared" si="2"/>
        <v>258.74233333333336</v>
      </c>
      <c r="F47" s="33">
        <v>3083</v>
      </c>
      <c r="G47" s="33">
        <f t="shared" si="5"/>
        <v>4679.2700000000004</v>
      </c>
      <c r="H47" s="258">
        <v>1</v>
      </c>
      <c r="I47" s="150">
        <f t="shared" si="3"/>
        <v>4679.2700000000004</v>
      </c>
      <c r="J47" s="150">
        <f t="shared" si="6"/>
        <v>258.74233333333336</v>
      </c>
      <c r="L47" s="33">
        <f t="shared" si="7"/>
        <v>0</v>
      </c>
      <c r="M47" s="33"/>
      <c r="N47" s="44"/>
    </row>
    <row r="48" spans="2:14" x14ac:dyDescent="0.35">
      <c r="B48" s="26" t="s">
        <v>528</v>
      </c>
      <c r="C48" s="52">
        <v>30</v>
      </c>
      <c r="D48" s="33">
        <v>5600</v>
      </c>
      <c r="E48" s="33">
        <f t="shared" si="2"/>
        <v>186.66666666666666</v>
      </c>
      <c r="F48" s="33">
        <v>2224</v>
      </c>
      <c r="G48" s="33">
        <f t="shared" si="5"/>
        <v>3376</v>
      </c>
      <c r="H48" s="258">
        <v>1</v>
      </c>
      <c r="I48" s="150">
        <f t="shared" si="3"/>
        <v>3376</v>
      </c>
      <c r="J48" s="150">
        <f t="shared" si="6"/>
        <v>186.66666666666666</v>
      </c>
      <c r="L48" s="33">
        <f t="shared" si="7"/>
        <v>0</v>
      </c>
    </row>
    <row r="49" spans="2:12" x14ac:dyDescent="0.35">
      <c r="B49" s="26" t="s">
        <v>529</v>
      </c>
      <c r="C49" s="52">
        <v>30</v>
      </c>
      <c r="D49" s="33">
        <v>5000</v>
      </c>
      <c r="E49" s="33">
        <f t="shared" si="2"/>
        <v>166.66666666666666</v>
      </c>
      <c r="F49" s="33">
        <v>1986</v>
      </c>
      <c r="G49" s="33">
        <f t="shared" si="5"/>
        <v>3014</v>
      </c>
      <c r="H49" s="258">
        <v>1</v>
      </c>
      <c r="I49" s="150">
        <f t="shared" si="3"/>
        <v>3014</v>
      </c>
      <c r="J49" s="150">
        <f t="shared" si="6"/>
        <v>166.66666666666666</v>
      </c>
      <c r="L49" s="33">
        <f t="shared" si="7"/>
        <v>0</v>
      </c>
    </row>
    <row r="50" spans="2:12" x14ac:dyDescent="0.35">
      <c r="B50" s="26" t="s">
        <v>530</v>
      </c>
      <c r="C50" s="52">
        <v>35</v>
      </c>
      <c r="D50" s="33">
        <v>368489.86</v>
      </c>
      <c r="E50" s="33">
        <f t="shared" si="2"/>
        <v>10528.281714285715</v>
      </c>
      <c r="F50" s="33">
        <v>119759</v>
      </c>
      <c r="G50" s="33">
        <f t="shared" si="5"/>
        <v>248730.86</v>
      </c>
      <c r="H50" s="258">
        <v>1</v>
      </c>
      <c r="I50" s="150">
        <f t="shared" si="3"/>
        <v>248730.86</v>
      </c>
      <c r="J50" s="150">
        <f t="shared" si="6"/>
        <v>10528.281714285715</v>
      </c>
      <c r="L50" s="33">
        <f t="shared" si="7"/>
        <v>0</v>
      </c>
    </row>
    <row r="51" spans="2:12" x14ac:dyDescent="0.35">
      <c r="B51" s="26" t="s">
        <v>531</v>
      </c>
      <c r="C51" s="52">
        <v>35</v>
      </c>
      <c r="D51" s="33">
        <v>46303</v>
      </c>
      <c r="E51" s="33">
        <f t="shared" si="2"/>
        <v>1322.9428571428571</v>
      </c>
      <c r="F51" s="33">
        <v>10418</v>
      </c>
      <c r="G51" s="33">
        <f t="shared" si="5"/>
        <v>35885</v>
      </c>
      <c r="H51" s="258">
        <v>1</v>
      </c>
      <c r="I51" s="150">
        <f t="shared" si="3"/>
        <v>35885</v>
      </c>
      <c r="J51" s="150">
        <f t="shared" si="6"/>
        <v>1322.9428571428571</v>
      </c>
      <c r="L51" s="33">
        <f t="shared" si="7"/>
        <v>0</v>
      </c>
    </row>
    <row r="52" spans="2:12" x14ac:dyDescent="0.35">
      <c r="B52" s="26" t="s">
        <v>532</v>
      </c>
      <c r="C52" s="52">
        <v>35</v>
      </c>
      <c r="D52" s="33">
        <v>50745</v>
      </c>
      <c r="E52" s="33">
        <f t="shared" si="2"/>
        <v>1449.8571428571429</v>
      </c>
      <c r="F52" s="33">
        <v>11418</v>
      </c>
      <c r="G52" s="33">
        <f t="shared" si="5"/>
        <v>39327</v>
      </c>
      <c r="H52" s="258">
        <v>1</v>
      </c>
      <c r="I52" s="150">
        <f t="shared" si="3"/>
        <v>39327</v>
      </c>
      <c r="J52" s="150">
        <f t="shared" si="6"/>
        <v>1449.8571428571429</v>
      </c>
      <c r="L52" s="33">
        <f t="shared" si="7"/>
        <v>0</v>
      </c>
    </row>
    <row r="53" spans="2:12" x14ac:dyDescent="0.35">
      <c r="B53" s="26" t="s">
        <v>533</v>
      </c>
      <c r="C53" s="52">
        <v>10</v>
      </c>
      <c r="D53" s="33">
        <v>246932.67</v>
      </c>
      <c r="E53" s="33">
        <f t="shared" si="2"/>
        <v>24693.267</v>
      </c>
      <c r="F53" s="33">
        <v>137870</v>
      </c>
      <c r="G53" s="33">
        <f t="shared" si="5"/>
        <v>109062.67000000001</v>
      </c>
      <c r="H53" s="258">
        <v>1</v>
      </c>
      <c r="I53" s="150">
        <f t="shared" si="3"/>
        <v>109062.67000000001</v>
      </c>
      <c r="J53" s="150">
        <f t="shared" si="6"/>
        <v>24693.267</v>
      </c>
      <c r="L53" s="33">
        <f t="shared" si="7"/>
        <v>0</v>
      </c>
    </row>
    <row r="54" spans="2:12" x14ac:dyDescent="0.35">
      <c r="B54" s="26" t="s">
        <v>534</v>
      </c>
      <c r="C54" s="52">
        <v>10</v>
      </c>
      <c r="D54" s="33">
        <v>89126.680000000008</v>
      </c>
      <c r="E54" s="33">
        <f t="shared" si="2"/>
        <v>8912.6680000000015</v>
      </c>
      <c r="F54" s="33">
        <v>44563</v>
      </c>
      <c r="G54" s="33">
        <f t="shared" si="5"/>
        <v>44563.680000000008</v>
      </c>
      <c r="H54" s="258">
        <v>1</v>
      </c>
      <c r="I54" s="150">
        <f t="shared" si="3"/>
        <v>44563.680000000008</v>
      </c>
      <c r="J54" s="150">
        <f t="shared" si="6"/>
        <v>8912.6680000000015</v>
      </c>
      <c r="L54" s="33">
        <f t="shared" si="7"/>
        <v>0</v>
      </c>
    </row>
    <row r="55" spans="2:12" x14ac:dyDescent="0.35">
      <c r="B55" s="26" t="s">
        <v>535</v>
      </c>
      <c r="C55" s="52">
        <v>10</v>
      </c>
      <c r="D55" s="33">
        <v>29996.9</v>
      </c>
      <c r="E55" s="33">
        <f t="shared" si="2"/>
        <v>2999.69</v>
      </c>
      <c r="F55" s="33">
        <v>14988</v>
      </c>
      <c r="G55" s="33">
        <f t="shared" si="5"/>
        <v>15008.900000000001</v>
      </c>
      <c r="H55" s="258">
        <v>1</v>
      </c>
      <c r="I55" s="150">
        <f t="shared" si="3"/>
        <v>15008.900000000001</v>
      </c>
      <c r="J55" s="150">
        <f t="shared" si="6"/>
        <v>2999.69</v>
      </c>
      <c r="L55" s="33">
        <f t="shared" si="7"/>
        <v>0</v>
      </c>
    </row>
    <row r="56" spans="2:12" x14ac:dyDescent="0.35">
      <c r="B56" s="26" t="s">
        <v>535</v>
      </c>
      <c r="C56" s="52">
        <v>10</v>
      </c>
      <c r="D56" s="33">
        <v>29996.9</v>
      </c>
      <c r="E56" s="33">
        <f t="shared" si="2"/>
        <v>2999.69</v>
      </c>
      <c r="F56" s="33">
        <v>14998</v>
      </c>
      <c r="G56" s="33">
        <f t="shared" si="5"/>
        <v>14998.900000000001</v>
      </c>
      <c r="H56" s="258">
        <v>1</v>
      </c>
      <c r="I56" s="150">
        <f t="shared" si="3"/>
        <v>14998.900000000001</v>
      </c>
      <c r="J56" s="150">
        <f t="shared" si="6"/>
        <v>2999.69</v>
      </c>
      <c r="L56" s="33">
        <f t="shared" si="7"/>
        <v>0</v>
      </c>
    </row>
    <row r="57" spans="2:12" x14ac:dyDescent="0.35">
      <c r="B57" s="26" t="s">
        <v>536</v>
      </c>
      <c r="C57" s="52">
        <v>10</v>
      </c>
      <c r="D57" s="33">
        <v>11186.48</v>
      </c>
      <c r="E57" s="33">
        <f t="shared" si="2"/>
        <v>1118.6479999999999</v>
      </c>
      <c r="F57" s="33">
        <v>5033</v>
      </c>
      <c r="G57" s="33">
        <f t="shared" si="5"/>
        <v>6153.48</v>
      </c>
      <c r="H57" s="258">
        <v>1</v>
      </c>
      <c r="I57" s="150">
        <f t="shared" si="3"/>
        <v>6153.48</v>
      </c>
      <c r="J57" s="150">
        <f t="shared" si="6"/>
        <v>1118.6479999999999</v>
      </c>
      <c r="L57" s="33">
        <f t="shared" si="7"/>
        <v>0</v>
      </c>
    </row>
    <row r="58" spans="2:12" x14ac:dyDescent="0.35">
      <c r="B58" s="26" t="s">
        <v>537</v>
      </c>
      <c r="C58" s="52">
        <v>10</v>
      </c>
      <c r="D58" s="33">
        <v>1582.5</v>
      </c>
      <c r="E58" s="33">
        <f t="shared" si="2"/>
        <v>158.25</v>
      </c>
      <c r="F58" s="33">
        <v>712</v>
      </c>
      <c r="G58" s="33">
        <f t="shared" si="5"/>
        <v>870.5</v>
      </c>
      <c r="H58" s="258">
        <v>1</v>
      </c>
      <c r="I58" s="150">
        <f t="shared" si="3"/>
        <v>870.5</v>
      </c>
      <c r="J58" s="150">
        <f t="shared" si="6"/>
        <v>158.25</v>
      </c>
      <c r="L58" s="33">
        <f t="shared" si="7"/>
        <v>0</v>
      </c>
    </row>
    <row r="59" spans="2:12" x14ac:dyDescent="0.35">
      <c r="B59" s="26" t="s">
        <v>1042</v>
      </c>
      <c r="C59" s="52">
        <v>24</v>
      </c>
      <c r="D59" s="33">
        <v>35252.230000000003</v>
      </c>
      <c r="E59" s="33">
        <f t="shared" si="2"/>
        <v>1468.8429166666667</v>
      </c>
      <c r="F59" s="33">
        <v>3916</v>
      </c>
      <c r="G59" s="33">
        <f t="shared" si="5"/>
        <v>31336.230000000003</v>
      </c>
      <c r="H59" s="258">
        <v>1</v>
      </c>
      <c r="I59" s="150">
        <f t="shared" si="3"/>
        <v>31336.230000000003</v>
      </c>
      <c r="J59" s="150">
        <f t="shared" si="6"/>
        <v>1468.8429166666667</v>
      </c>
      <c r="L59" s="33">
        <f t="shared" si="7"/>
        <v>0</v>
      </c>
    </row>
    <row r="60" spans="2:12" x14ac:dyDescent="0.35">
      <c r="B60" s="26" t="s">
        <v>1131</v>
      </c>
      <c r="C60" s="52">
        <v>35</v>
      </c>
      <c r="D60" s="33">
        <v>7017</v>
      </c>
      <c r="E60" s="33">
        <f t="shared" si="2"/>
        <v>200.48571428571429</v>
      </c>
      <c r="F60" s="33">
        <v>400</v>
      </c>
      <c r="G60" s="33">
        <f t="shared" si="5"/>
        <v>6617</v>
      </c>
      <c r="H60" s="258">
        <v>1</v>
      </c>
      <c r="I60" s="150">
        <f t="shared" si="3"/>
        <v>6617</v>
      </c>
      <c r="J60" s="150">
        <f t="shared" si="6"/>
        <v>200.48571428571429</v>
      </c>
      <c r="L60" s="33">
        <f t="shared" si="7"/>
        <v>0</v>
      </c>
    </row>
    <row r="61" spans="2:12" x14ac:dyDescent="0.35">
      <c r="B61" s="26" t="s">
        <v>1132</v>
      </c>
      <c r="C61" s="52">
        <v>15</v>
      </c>
      <c r="D61" s="33">
        <v>13325.2</v>
      </c>
      <c r="E61" s="33">
        <v>888</v>
      </c>
      <c r="F61" s="33">
        <v>1332</v>
      </c>
      <c r="G61" s="33">
        <f t="shared" si="5"/>
        <v>11993.2</v>
      </c>
      <c r="H61" s="258">
        <v>1</v>
      </c>
      <c r="I61" s="150">
        <f t="shared" si="3"/>
        <v>11993.2</v>
      </c>
      <c r="J61" s="150">
        <f t="shared" si="6"/>
        <v>888</v>
      </c>
      <c r="L61" s="33">
        <f t="shared" si="7"/>
        <v>0</v>
      </c>
    </row>
    <row r="62" spans="2:12" x14ac:dyDescent="0.35">
      <c r="B62" s="26" t="s">
        <v>1133</v>
      </c>
      <c r="C62" s="52">
        <v>15</v>
      </c>
      <c r="D62" s="33">
        <v>10284</v>
      </c>
      <c r="E62" s="33">
        <v>685</v>
      </c>
      <c r="F62" s="33">
        <v>971</v>
      </c>
      <c r="G62" s="33">
        <f t="shared" si="5"/>
        <v>9313</v>
      </c>
      <c r="H62" s="258">
        <v>1</v>
      </c>
      <c r="I62" s="150">
        <f t="shared" si="3"/>
        <v>9313</v>
      </c>
      <c r="J62" s="150">
        <f t="shared" si="6"/>
        <v>685</v>
      </c>
      <c r="L62" s="33">
        <f t="shared" si="7"/>
        <v>0</v>
      </c>
    </row>
    <row r="63" spans="2:12" x14ac:dyDescent="0.35">
      <c r="B63" s="26" t="s">
        <v>1134</v>
      </c>
      <c r="C63" s="52">
        <v>15</v>
      </c>
      <c r="D63" s="33">
        <v>8361.9699999999993</v>
      </c>
      <c r="E63" s="33">
        <v>557</v>
      </c>
      <c r="F63" s="33">
        <v>789</v>
      </c>
      <c r="G63" s="33">
        <f t="shared" si="5"/>
        <v>7572.9699999999993</v>
      </c>
      <c r="H63" s="258">
        <v>1</v>
      </c>
      <c r="I63" s="150">
        <f t="shared" si="3"/>
        <v>7572.9699999999993</v>
      </c>
      <c r="J63" s="150">
        <f t="shared" si="6"/>
        <v>557</v>
      </c>
      <c r="L63" s="33">
        <f t="shared" si="7"/>
        <v>0</v>
      </c>
    </row>
    <row r="64" spans="2:12" x14ac:dyDescent="0.35">
      <c r="B64" s="26" t="s">
        <v>1135</v>
      </c>
      <c r="C64" s="52">
        <v>35</v>
      </c>
      <c r="D64" s="33">
        <v>95522.45</v>
      </c>
      <c r="E64" s="33">
        <v>2729</v>
      </c>
      <c r="F64" s="33">
        <v>3411</v>
      </c>
      <c r="G64" s="33">
        <f t="shared" si="5"/>
        <v>92111.45</v>
      </c>
      <c r="H64" s="258">
        <v>1</v>
      </c>
      <c r="I64" s="150">
        <f t="shared" si="3"/>
        <v>92111.45</v>
      </c>
      <c r="J64" s="150">
        <f t="shared" si="6"/>
        <v>2729</v>
      </c>
      <c r="L64" s="33">
        <f t="shared" si="7"/>
        <v>0</v>
      </c>
    </row>
    <row r="65" spans="1:28" x14ac:dyDescent="0.35">
      <c r="B65" s="26" t="s">
        <v>1136</v>
      </c>
      <c r="C65" s="52">
        <v>15</v>
      </c>
      <c r="D65" s="33">
        <v>16898.900000000001</v>
      </c>
      <c r="E65" s="33">
        <v>1126</v>
      </c>
      <c r="F65" s="33">
        <v>1314</v>
      </c>
      <c r="G65" s="33">
        <f t="shared" si="5"/>
        <v>15584.900000000001</v>
      </c>
      <c r="H65" s="258">
        <v>1</v>
      </c>
      <c r="I65" s="150">
        <f t="shared" si="3"/>
        <v>15584.900000000001</v>
      </c>
      <c r="J65" s="150">
        <f t="shared" si="6"/>
        <v>1126</v>
      </c>
      <c r="L65" s="33">
        <f t="shared" si="7"/>
        <v>0</v>
      </c>
    </row>
    <row r="66" spans="1:28" x14ac:dyDescent="0.35">
      <c r="B66" s="26" t="s">
        <v>1137</v>
      </c>
      <c r="C66" s="52">
        <v>50</v>
      </c>
      <c r="D66" s="33">
        <v>74909.59</v>
      </c>
      <c r="E66" s="33">
        <v>1498</v>
      </c>
      <c r="F66" s="33">
        <v>1747</v>
      </c>
      <c r="G66" s="33">
        <f t="shared" si="5"/>
        <v>73162.59</v>
      </c>
      <c r="H66" s="258">
        <v>1</v>
      </c>
      <c r="I66" s="150">
        <f t="shared" si="3"/>
        <v>73162.59</v>
      </c>
      <c r="J66" s="150">
        <f t="shared" si="6"/>
        <v>1498</v>
      </c>
      <c r="L66" s="33">
        <f t="shared" si="7"/>
        <v>0</v>
      </c>
    </row>
    <row r="67" spans="1:28" x14ac:dyDescent="0.35">
      <c r="B67" s="26" t="s">
        <v>1138</v>
      </c>
      <c r="C67" s="52">
        <v>15</v>
      </c>
      <c r="D67" s="33">
        <v>13768.34</v>
      </c>
      <c r="E67" s="33">
        <v>1530</v>
      </c>
      <c r="F67" s="33">
        <v>1530</v>
      </c>
      <c r="G67" s="33">
        <f t="shared" si="5"/>
        <v>12238.34</v>
      </c>
      <c r="H67" s="258">
        <v>1</v>
      </c>
      <c r="I67" s="150">
        <f t="shared" si="3"/>
        <v>12238.34</v>
      </c>
      <c r="J67" s="150">
        <f t="shared" si="6"/>
        <v>1530</v>
      </c>
      <c r="L67" s="33">
        <f t="shared" si="7"/>
        <v>0</v>
      </c>
    </row>
    <row r="68" spans="1:28" x14ac:dyDescent="0.35">
      <c r="B68" s="26" t="s">
        <v>1514</v>
      </c>
      <c r="C68" s="52">
        <v>50</v>
      </c>
      <c r="D68" s="33">
        <v>153526</v>
      </c>
      <c r="E68" s="33">
        <v>2303</v>
      </c>
      <c r="F68" s="33">
        <v>2303</v>
      </c>
      <c r="G68" s="33">
        <f t="shared" si="5"/>
        <v>151223</v>
      </c>
      <c r="H68" s="258">
        <v>1</v>
      </c>
      <c r="I68" s="150">
        <f t="shared" ref="I68:I69" si="8">G68*H68</f>
        <v>151223</v>
      </c>
      <c r="J68" s="150">
        <f t="shared" ref="J68:J69" si="9">E68*H68</f>
        <v>2303</v>
      </c>
      <c r="L68" s="33">
        <f t="shared" si="7"/>
        <v>0</v>
      </c>
    </row>
    <row r="69" spans="1:28" x14ac:dyDescent="0.35">
      <c r="B69" s="26" t="s">
        <v>1515</v>
      </c>
      <c r="C69" s="52">
        <v>10</v>
      </c>
      <c r="D69" s="33">
        <v>4913</v>
      </c>
      <c r="E69" s="33">
        <v>204</v>
      </c>
      <c r="F69" s="33">
        <v>204</v>
      </c>
      <c r="G69" s="33">
        <f t="shared" si="5"/>
        <v>4709</v>
      </c>
      <c r="H69" s="258">
        <v>1</v>
      </c>
      <c r="I69" s="150">
        <f t="shared" si="8"/>
        <v>4709</v>
      </c>
      <c r="J69" s="150">
        <f t="shared" si="9"/>
        <v>204</v>
      </c>
      <c r="L69" s="33">
        <f t="shared" si="7"/>
        <v>0</v>
      </c>
    </row>
    <row r="70" spans="1:28" x14ac:dyDescent="0.35">
      <c r="B70" s="25" t="s">
        <v>234</v>
      </c>
      <c r="C70" s="27"/>
      <c r="D70" s="36">
        <f>SUBTOTAL(9,D11:D69)</f>
        <v>27071897.779999997</v>
      </c>
      <c r="E70" s="36">
        <f t="shared" ref="E70:G70" si="10">SUBTOTAL(9,E11:E69)</f>
        <v>631384.1265547619</v>
      </c>
      <c r="F70" s="36">
        <f t="shared" si="10"/>
        <v>13462605.15</v>
      </c>
      <c r="G70" s="36">
        <f t="shared" si="10"/>
        <v>13609292.629999999</v>
      </c>
      <c r="H70" s="258"/>
      <c r="I70" s="150"/>
      <c r="J70" s="150"/>
      <c r="L70" s="33"/>
    </row>
    <row r="71" spans="1:28" x14ac:dyDescent="0.35">
      <c r="A71" s="25" t="s">
        <v>1550</v>
      </c>
      <c r="E71" s="33"/>
      <c r="I71" s="150"/>
      <c r="J71" s="150"/>
      <c r="L71" s="33"/>
    </row>
    <row r="72" spans="1:28" x14ac:dyDescent="0.35">
      <c r="B72" s="26" t="s">
        <v>538</v>
      </c>
      <c r="C72" s="52">
        <v>7</v>
      </c>
      <c r="D72" s="33">
        <v>6197.51</v>
      </c>
      <c r="E72" s="33">
        <f t="shared" ref="E72:E117" si="11">IF(D72&gt;F72,D72/C72,0)</f>
        <v>885.35857142857151</v>
      </c>
      <c r="F72" s="33">
        <v>3541</v>
      </c>
      <c r="G72" s="33">
        <f t="shared" ref="G72:G84" si="12">D72-F72</f>
        <v>2656.51</v>
      </c>
      <c r="H72" s="258">
        <v>1</v>
      </c>
      <c r="I72" s="150">
        <f t="shared" ref="I72:I97" si="13">G72*H72</f>
        <v>2656.51</v>
      </c>
      <c r="J72" s="150">
        <f t="shared" ref="J72:J84" si="14">E72*H72</f>
        <v>885.35857142857151</v>
      </c>
      <c r="L72" s="33">
        <f t="shared" ref="L72:L84" si="15">IF(D72-(F72+E72)&lt;0,-E72,0)</f>
        <v>0</v>
      </c>
    </row>
    <row r="73" spans="1:28" x14ac:dyDescent="0.35">
      <c r="B73" s="26" t="s">
        <v>539</v>
      </c>
      <c r="C73" s="52">
        <v>5</v>
      </c>
      <c r="D73" s="33">
        <v>1208.45</v>
      </c>
      <c r="E73" s="33">
        <f t="shared" si="11"/>
        <v>241.69</v>
      </c>
      <c r="F73" s="33">
        <v>966</v>
      </c>
      <c r="G73" s="33">
        <f t="shared" si="12"/>
        <v>242.45000000000005</v>
      </c>
      <c r="H73" s="258">
        <v>1</v>
      </c>
      <c r="I73" s="150">
        <f t="shared" si="13"/>
        <v>242.45000000000005</v>
      </c>
      <c r="J73" s="150">
        <f t="shared" si="14"/>
        <v>241.69</v>
      </c>
      <c r="L73" s="33">
        <f t="shared" si="15"/>
        <v>0</v>
      </c>
    </row>
    <row r="74" spans="1:28" x14ac:dyDescent="0.35">
      <c r="B74" s="26" t="s">
        <v>674</v>
      </c>
      <c r="C74" s="52">
        <v>50</v>
      </c>
      <c r="D74" s="33">
        <v>95071.15</v>
      </c>
      <c r="E74" s="33">
        <f t="shared" si="11"/>
        <v>1901.4229999999998</v>
      </c>
      <c r="F74" s="33">
        <v>7605</v>
      </c>
      <c r="G74" s="33">
        <f t="shared" si="12"/>
        <v>87466.15</v>
      </c>
      <c r="H74" s="258">
        <v>1</v>
      </c>
      <c r="I74" s="150">
        <f>G74*H74</f>
        <v>87466.15</v>
      </c>
      <c r="J74" s="150">
        <f t="shared" si="14"/>
        <v>1901.4229999999998</v>
      </c>
      <c r="L74" s="33">
        <f t="shared" si="15"/>
        <v>0</v>
      </c>
    </row>
    <row r="75" spans="1:28" x14ac:dyDescent="0.35">
      <c r="B75" s="26" t="s">
        <v>540</v>
      </c>
      <c r="C75" s="52">
        <v>7</v>
      </c>
      <c r="D75" s="33">
        <v>1850</v>
      </c>
      <c r="E75" s="33">
        <f t="shared" si="11"/>
        <v>264.28571428571428</v>
      </c>
      <c r="F75" s="33">
        <v>1013</v>
      </c>
      <c r="G75" s="33">
        <f t="shared" si="12"/>
        <v>837</v>
      </c>
      <c r="H75" s="258">
        <v>1</v>
      </c>
      <c r="I75" s="150">
        <f t="shared" si="13"/>
        <v>837</v>
      </c>
      <c r="J75" s="150">
        <f t="shared" si="14"/>
        <v>264.28571428571428</v>
      </c>
      <c r="L75" s="33">
        <f t="shared" si="15"/>
        <v>0</v>
      </c>
    </row>
    <row r="76" spans="1:28" x14ac:dyDescent="0.35">
      <c r="B76" s="26" t="s">
        <v>541</v>
      </c>
      <c r="C76" s="52">
        <v>40</v>
      </c>
      <c r="D76" s="33">
        <v>31528</v>
      </c>
      <c r="E76" s="33">
        <f t="shared" si="11"/>
        <v>788.2</v>
      </c>
      <c r="F76" s="33">
        <v>2693</v>
      </c>
      <c r="G76" s="33">
        <f t="shared" si="12"/>
        <v>28835</v>
      </c>
      <c r="H76" s="355">
        <v>1</v>
      </c>
      <c r="I76" s="150">
        <f t="shared" si="13"/>
        <v>28835</v>
      </c>
      <c r="J76" s="150">
        <f t="shared" si="14"/>
        <v>788.2</v>
      </c>
      <c r="L76" s="33">
        <f t="shared" si="15"/>
        <v>0</v>
      </c>
    </row>
    <row r="77" spans="1:28" s="200" customFormat="1" x14ac:dyDescent="0.35">
      <c r="A77" s="26"/>
      <c r="B77" s="26" t="s">
        <v>1043</v>
      </c>
      <c r="C77" s="52">
        <v>15</v>
      </c>
      <c r="D77" s="33">
        <v>136258.28</v>
      </c>
      <c r="E77" s="33">
        <f t="shared" si="11"/>
        <v>9083.8853333333336</v>
      </c>
      <c r="F77" s="33">
        <v>24223</v>
      </c>
      <c r="G77" s="33">
        <f t="shared" si="12"/>
        <v>112035.28</v>
      </c>
      <c r="H77" s="258">
        <v>1</v>
      </c>
      <c r="I77" s="150">
        <f t="shared" ref="I77:I84" si="16">G77*H77</f>
        <v>112035.28</v>
      </c>
      <c r="J77" s="150">
        <f t="shared" si="14"/>
        <v>9083.8853333333336</v>
      </c>
      <c r="K77" s="26"/>
      <c r="L77" s="33">
        <f t="shared" si="15"/>
        <v>0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00" customFormat="1" x14ac:dyDescent="0.35">
      <c r="A78" s="26"/>
      <c r="B78" s="26" t="s">
        <v>1044</v>
      </c>
      <c r="C78" s="52">
        <v>10</v>
      </c>
      <c r="D78" s="33">
        <v>5900</v>
      </c>
      <c r="E78" s="33">
        <f t="shared" si="11"/>
        <v>590</v>
      </c>
      <c r="F78" s="33">
        <v>1327</v>
      </c>
      <c r="G78" s="33">
        <f t="shared" si="12"/>
        <v>4573</v>
      </c>
      <c r="H78" s="258">
        <v>1</v>
      </c>
      <c r="I78" s="150">
        <f t="shared" si="16"/>
        <v>4573</v>
      </c>
      <c r="J78" s="150">
        <f t="shared" si="14"/>
        <v>590</v>
      </c>
      <c r="K78" s="26"/>
      <c r="L78" s="33">
        <f t="shared" si="15"/>
        <v>0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00" customFormat="1" x14ac:dyDescent="0.35">
      <c r="A79" s="26"/>
      <c r="B79" s="26" t="s">
        <v>1045</v>
      </c>
      <c r="C79" s="52">
        <v>35</v>
      </c>
      <c r="D79" s="33">
        <v>700</v>
      </c>
      <c r="E79" s="33">
        <f t="shared" si="11"/>
        <v>20</v>
      </c>
      <c r="F79" s="33">
        <v>43</v>
      </c>
      <c r="G79" s="33">
        <f t="shared" si="12"/>
        <v>657</v>
      </c>
      <c r="H79" s="258">
        <v>1</v>
      </c>
      <c r="I79" s="150">
        <f t="shared" si="16"/>
        <v>657</v>
      </c>
      <c r="J79" s="150">
        <f t="shared" si="14"/>
        <v>20</v>
      </c>
      <c r="K79" s="26"/>
      <c r="L79" s="33">
        <f t="shared" si="15"/>
        <v>0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00" customFormat="1" x14ac:dyDescent="0.35">
      <c r="A80" s="26"/>
      <c r="B80" s="26" t="s">
        <v>1046</v>
      </c>
      <c r="C80" s="52">
        <v>10</v>
      </c>
      <c r="D80" s="33">
        <v>2284.85</v>
      </c>
      <c r="E80" s="33">
        <f t="shared" si="11"/>
        <v>228.48499999999999</v>
      </c>
      <c r="F80" s="33">
        <v>476</v>
      </c>
      <c r="G80" s="33">
        <f t="shared" si="12"/>
        <v>1808.85</v>
      </c>
      <c r="H80" s="258">
        <v>1</v>
      </c>
      <c r="I80" s="150">
        <f t="shared" si="16"/>
        <v>1808.85</v>
      </c>
      <c r="J80" s="150">
        <f t="shared" si="14"/>
        <v>228.48499999999999</v>
      </c>
      <c r="K80" s="26"/>
      <c r="L80" s="33">
        <f t="shared" si="15"/>
        <v>0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00" customFormat="1" x14ac:dyDescent="0.35">
      <c r="A81" s="26"/>
      <c r="B81" s="26" t="s">
        <v>1043</v>
      </c>
      <c r="C81" s="52">
        <v>15</v>
      </c>
      <c r="D81" s="33">
        <v>15017.48</v>
      </c>
      <c r="E81" s="33">
        <f t="shared" si="11"/>
        <v>1001.1653333333333</v>
      </c>
      <c r="F81" s="33">
        <v>2002</v>
      </c>
      <c r="G81" s="33">
        <f t="shared" si="12"/>
        <v>13015.48</v>
      </c>
      <c r="H81" s="258">
        <v>1</v>
      </c>
      <c r="I81" s="150">
        <f t="shared" si="16"/>
        <v>13015.48</v>
      </c>
      <c r="J81" s="150">
        <f t="shared" si="14"/>
        <v>1001.1653333333333</v>
      </c>
      <c r="K81" s="26"/>
      <c r="L81" s="33">
        <f t="shared" si="15"/>
        <v>0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00" customFormat="1" x14ac:dyDescent="0.35">
      <c r="A82" s="26"/>
      <c r="B82" s="26" t="s">
        <v>1139</v>
      </c>
      <c r="C82" s="52">
        <v>20</v>
      </c>
      <c r="D82" s="33">
        <v>26113.25</v>
      </c>
      <c r="E82" s="33">
        <f t="shared" si="11"/>
        <v>1305.6624999999999</v>
      </c>
      <c r="F82" s="33">
        <v>2611</v>
      </c>
      <c r="G82" s="33">
        <f t="shared" si="12"/>
        <v>23502.25</v>
      </c>
      <c r="H82" s="258">
        <v>1</v>
      </c>
      <c r="I82" s="150">
        <f t="shared" si="16"/>
        <v>23502.25</v>
      </c>
      <c r="J82" s="150">
        <f t="shared" si="14"/>
        <v>1305.6624999999999</v>
      </c>
      <c r="K82" s="26"/>
      <c r="L82" s="33">
        <f t="shared" si="15"/>
        <v>0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00" customFormat="1" x14ac:dyDescent="0.35">
      <c r="A83" s="26"/>
      <c r="B83" s="26" t="s">
        <v>1140</v>
      </c>
      <c r="C83" s="52">
        <v>50</v>
      </c>
      <c r="D83" s="33">
        <v>117771.78</v>
      </c>
      <c r="E83" s="33">
        <f t="shared" si="11"/>
        <v>2355.4355999999998</v>
      </c>
      <c r="F83" s="33">
        <v>4710</v>
      </c>
      <c r="G83" s="33">
        <f t="shared" si="12"/>
        <v>113061.78</v>
      </c>
      <c r="H83" s="258">
        <v>1</v>
      </c>
      <c r="I83" s="150">
        <f t="shared" si="16"/>
        <v>113061.78</v>
      </c>
      <c r="J83" s="150">
        <f t="shared" si="14"/>
        <v>2355.4355999999998</v>
      </c>
      <c r="K83" s="26"/>
      <c r="L83" s="33">
        <f t="shared" si="15"/>
        <v>0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00" customFormat="1" x14ac:dyDescent="0.35">
      <c r="A84" s="26"/>
      <c r="B84" s="26" t="s">
        <v>1141</v>
      </c>
      <c r="C84" s="52">
        <v>50</v>
      </c>
      <c r="D84" s="33">
        <v>13578.12</v>
      </c>
      <c r="E84" s="33">
        <f t="shared" si="11"/>
        <v>271.56240000000003</v>
      </c>
      <c r="F84" s="33">
        <v>543</v>
      </c>
      <c r="G84" s="33">
        <f t="shared" si="12"/>
        <v>13035.12</v>
      </c>
      <c r="H84" s="258">
        <v>1</v>
      </c>
      <c r="I84" s="150">
        <f t="shared" si="16"/>
        <v>13035.12</v>
      </c>
      <c r="J84" s="150">
        <f t="shared" si="14"/>
        <v>271.56240000000003</v>
      </c>
      <c r="K84" s="26"/>
      <c r="L84" s="33">
        <f t="shared" si="15"/>
        <v>0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00" customFormat="1" x14ac:dyDescent="0.35">
      <c r="A85" s="26"/>
      <c r="B85" s="25" t="s">
        <v>234</v>
      </c>
      <c r="C85" s="52"/>
      <c r="D85" s="36">
        <f>SUBTOTAL(9,D72:D84)</f>
        <v>453478.87</v>
      </c>
      <c r="E85" s="36">
        <f t="shared" ref="E85:G85" si="17">SUBTOTAL(9,E72:E84)</f>
        <v>18937.153452380953</v>
      </c>
      <c r="F85" s="36">
        <f t="shared" si="17"/>
        <v>51753</v>
      </c>
      <c r="G85" s="36">
        <f t="shared" si="17"/>
        <v>401725.87</v>
      </c>
      <c r="H85" s="258"/>
      <c r="I85" s="150"/>
      <c r="J85" s="150"/>
      <c r="K85" s="26"/>
      <c r="L85" s="33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x14ac:dyDescent="0.35">
      <c r="A86" s="25" t="s">
        <v>1551</v>
      </c>
      <c r="E86" s="33"/>
      <c r="I86" s="150"/>
      <c r="J86" s="150"/>
      <c r="L86" s="33"/>
    </row>
    <row r="87" spans="1:28" x14ac:dyDescent="0.35">
      <c r="B87" s="26" t="s">
        <v>542</v>
      </c>
      <c r="C87" s="52">
        <v>50</v>
      </c>
      <c r="D87" s="33">
        <v>63676.74</v>
      </c>
      <c r="E87" s="33">
        <f t="shared" si="11"/>
        <v>1273.5347999999999</v>
      </c>
      <c r="F87" s="33">
        <v>17192</v>
      </c>
      <c r="G87" s="33">
        <f t="shared" ref="G87:G134" si="18">D87-F87</f>
        <v>46484.74</v>
      </c>
      <c r="H87" s="283">
        <f>'Inch_Ft Piping'!$I$29</f>
        <v>0.45430994088953769</v>
      </c>
      <c r="I87" s="150">
        <f t="shared" si="13"/>
        <v>21118.479481665527</v>
      </c>
      <c r="J87" s="150">
        <f t="shared" ref="J87:J126" si="19">E87*H87</f>
        <v>578.57951970876911</v>
      </c>
      <c r="L87" s="33">
        <f t="shared" ref="L87:L134" si="20">IF(D87-(F87+E87)&lt;0,-E87,0)</f>
        <v>0</v>
      </c>
    </row>
    <row r="88" spans="1:28" x14ac:dyDescent="0.35">
      <c r="B88" s="26" t="s">
        <v>543</v>
      </c>
      <c r="C88" s="52">
        <v>50</v>
      </c>
      <c r="D88" s="33">
        <v>45485</v>
      </c>
      <c r="E88" s="33">
        <f t="shared" si="11"/>
        <v>909.7</v>
      </c>
      <c r="F88" s="33">
        <f>9951+510</f>
        <v>10461</v>
      </c>
      <c r="G88" s="33">
        <f t="shared" si="18"/>
        <v>35024</v>
      </c>
      <c r="H88" s="283">
        <f>'Inch_Ft Piping'!$I$29</f>
        <v>0.45430994088953769</v>
      </c>
      <c r="I88" s="150">
        <f t="shared" si="13"/>
        <v>15911.751369715168</v>
      </c>
      <c r="J88" s="150">
        <f t="shared" si="19"/>
        <v>413.28575322721247</v>
      </c>
      <c r="L88" s="33">
        <f t="shared" si="20"/>
        <v>0</v>
      </c>
    </row>
    <row r="89" spans="1:28" x14ac:dyDescent="0.35">
      <c r="B89" s="26" t="s">
        <v>544</v>
      </c>
      <c r="C89" s="52">
        <v>50</v>
      </c>
      <c r="D89" s="33">
        <v>19454</v>
      </c>
      <c r="E89" s="33">
        <f t="shared" si="11"/>
        <v>389.08</v>
      </c>
      <c r="F89" s="33">
        <v>4085</v>
      </c>
      <c r="G89" s="33">
        <f t="shared" si="18"/>
        <v>15369</v>
      </c>
      <c r="H89" s="283">
        <f>'Inch_Ft Piping'!$I$29</f>
        <v>0.45430994088953769</v>
      </c>
      <c r="I89" s="150">
        <f t="shared" si="13"/>
        <v>6982.2894815313048</v>
      </c>
      <c r="J89" s="150">
        <f t="shared" si="19"/>
        <v>176.76291180130133</v>
      </c>
      <c r="L89" s="33">
        <f t="shared" si="20"/>
        <v>0</v>
      </c>
    </row>
    <row r="90" spans="1:28" x14ac:dyDescent="0.35">
      <c r="B90" s="26" t="s">
        <v>545</v>
      </c>
      <c r="C90" s="52">
        <v>50</v>
      </c>
      <c r="D90" s="33">
        <v>84416.26</v>
      </c>
      <c r="E90" s="33">
        <f t="shared" si="11"/>
        <v>1688.3252</v>
      </c>
      <c r="F90" s="33">
        <v>19593</v>
      </c>
      <c r="G90" s="33">
        <f t="shared" si="18"/>
        <v>64823.259999999995</v>
      </c>
      <c r="H90" s="283">
        <f>'Inch_Ft Piping'!$I$29</f>
        <v>0.45430994088953769</v>
      </c>
      <c r="I90" s="150">
        <f t="shared" si="13"/>
        <v>29449.851418867129</v>
      </c>
      <c r="J90" s="150">
        <f t="shared" si="19"/>
        <v>767.02292181431687</v>
      </c>
      <c r="L90" s="33">
        <f t="shared" si="20"/>
        <v>0</v>
      </c>
    </row>
    <row r="91" spans="1:28" x14ac:dyDescent="0.35">
      <c r="B91" s="26" t="s">
        <v>546</v>
      </c>
      <c r="C91" s="52">
        <v>50</v>
      </c>
      <c r="D91" s="33">
        <v>10292</v>
      </c>
      <c r="E91" s="33">
        <f t="shared" si="11"/>
        <v>205.84</v>
      </c>
      <c r="F91" s="33">
        <v>2161</v>
      </c>
      <c r="G91" s="33">
        <f t="shared" si="18"/>
        <v>8131</v>
      </c>
      <c r="H91" s="283">
        <f>'Inch_Ft Piping'!$I$29</f>
        <v>0.45430994088953769</v>
      </c>
      <c r="I91" s="150">
        <f t="shared" si="13"/>
        <v>3693.9941293728311</v>
      </c>
      <c r="J91" s="150">
        <f t="shared" si="19"/>
        <v>93.515158232702433</v>
      </c>
      <c r="L91" s="33">
        <f t="shared" si="20"/>
        <v>0</v>
      </c>
    </row>
    <row r="92" spans="1:28" x14ac:dyDescent="0.35">
      <c r="B92" s="26" t="s">
        <v>547</v>
      </c>
      <c r="C92" s="52">
        <v>50</v>
      </c>
      <c r="D92" s="33">
        <v>10800</v>
      </c>
      <c r="E92" s="33">
        <f t="shared" si="11"/>
        <v>216</v>
      </c>
      <c r="F92" s="33">
        <v>2268</v>
      </c>
      <c r="G92" s="33">
        <f t="shared" si="18"/>
        <v>8532</v>
      </c>
      <c r="H92" s="283">
        <f>'Inch_Ft Piping'!$I$29</f>
        <v>0.45430994088953769</v>
      </c>
      <c r="I92" s="150">
        <f t="shared" si="13"/>
        <v>3876.1724156695354</v>
      </c>
      <c r="J92" s="150">
        <f t="shared" si="19"/>
        <v>98.130947232140144</v>
      </c>
      <c r="L92" s="33">
        <f t="shared" si="20"/>
        <v>0</v>
      </c>
    </row>
    <row r="93" spans="1:28" x14ac:dyDescent="0.35">
      <c r="B93" s="26" t="s">
        <v>548</v>
      </c>
      <c r="C93" s="52">
        <v>50</v>
      </c>
      <c r="D93" s="33">
        <v>8000</v>
      </c>
      <c r="E93" s="33">
        <f t="shared" si="11"/>
        <v>160</v>
      </c>
      <c r="F93" s="33">
        <v>2680</v>
      </c>
      <c r="G93" s="33">
        <f t="shared" si="18"/>
        <v>5320</v>
      </c>
      <c r="H93" s="283">
        <f>'Inch_Ft Piping'!$I$29</f>
        <v>0.45430994088953769</v>
      </c>
      <c r="I93" s="150">
        <f t="shared" si="13"/>
        <v>2416.9288855323407</v>
      </c>
      <c r="J93" s="150">
        <f t="shared" si="19"/>
        <v>72.68959054232603</v>
      </c>
      <c r="L93" s="33">
        <f t="shared" si="20"/>
        <v>0</v>
      </c>
    </row>
    <row r="94" spans="1:28" x14ac:dyDescent="0.35">
      <c r="B94" s="26" t="s">
        <v>549</v>
      </c>
      <c r="C94" s="52">
        <v>50</v>
      </c>
      <c r="D94" s="33">
        <v>5200</v>
      </c>
      <c r="E94" s="33">
        <f t="shared" si="11"/>
        <v>104</v>
      </c>
      <c r="F94" s="33">
        <v>1742</v>
      </c>
      <c r="G94" s="33">
        <f t="shared" si="18"/>
        <v>3458</v>
      </c>
      <c r="H94" s="283">
        <f>'Inch_Ft Piping'!$I$29</f>
        <v>0.45430994088953769</v>
      </c>
      <c r="I94" s="150">
        <f t="shared" si="13"/>
        <v>1571.0037755960213</v>
      </c>
      <c r="J94" s="150">
        <f t="shared" si="19"/>
        <v>47.248233852511916</v>
      </c>
      <c r="L94" s="33">
        <f t="shared" si="20"/>
        <v>0</v>
      </c>
    </row>
    <row r="95" spans="1:28" x14ac:dyDescent="0.35">
      <c r="B95" s="26" t="s">
        <v>550</v>
      </c>
      <c r="C95" s="52">
        <v>50</v>
      </c>
      <c r="D95" s="33">
        <v>6858.26</v>
      </c>
      <c r="E95" s="33">
        <f t="shared" si="11"/>
        <v>137.1652</v>
      </c>
      <c r="F95" s="33">
        <v>2298</v>
      </c>
      <c r="G95" s="33">
        <f t="shared" si="18"/>
        <v>4560.26</v>
      </c>
      <c r="H95" s="283">
        <f>'Inch_Ft Piping'!$I$29</f>
        <v>0.45430994088953769</v>
      </c>
      <c r="I95" s="150">
        <f t="shared" si="13"/>
        <v>2071.7714510409232</v>
      </c>
      <c r="J95" s="150">
        <f t="shared" si="19"/>
        <v>62.315513904101614</v>
      </c>
      <c r="L95" s="33">
        <f t="shared" si="20"/>
        <v>0</v>
      </c>
    </row>
    <row r="96" spans="1:28" x14ac:dyDescent="0.35">
      <c r="B96" s="26" t="s">
        <v>551</v>
      </c>
      <c r="C96" s="52">
        <v>50</v>
      </c>
      <c r="D96" s="33">
        <v>8000</v>
      </c>
      <c r="E96" s="33">
        <f t="shared" si="11"/>
        <v>160</v>
      </c>
      <c r="F96" s="33">
        <v>2680</v>
      </c>
      <c r="G96" s="33">
        <f t="shared" si="18"/>
        <v>5320</v>
      </c>
      <c r="H96" s="283">
        <f>'Inch_Ft Piping'!$I$29</f>
        <v>0.45430994088953769</v>
      </c>
      <c r="I96" s="150">
        <f t="shared" si="13"/>
        <v>2416.9288855323407</v>
      </c>
      <c r="J96" s="150">
        <f t="shared" si="19"/>
        <v>72.68959054232603</v>
      </c>
      <c r="L96" s="33">
        <f t="shared" si="20"/>
        <v>0</v>
      </c>
    </row>
    <row r="97" spans="2:12" x14ac:dyDescent="0.35">
      <c r="B97" s="26" t="s">
        <v>552</v>
      </c>
      <c r="C97" s="52">
        <v>50</v>
      </c>
      <c r="D97" s="33">
        <v>19000</v>
      </c>
      <c r="E97" s="33">
        <f t="shared" si="11"/>
        <v>380</v>
      </c>
      <c r="F97" s="33">
        <v>4815</v>
      </c>
      <c r="G97" s="33">
        <f t="shared" si="18"/>
        <v>14185</v>
      </c>
      <c r="H97" s="283">
        <f>'Inch_Ft Piping'!$I$29</f>
        <v>0.45430994088953769</v>
      </c>
      <c r="I97" s="150">
        <f t="shared" si="13"/>
        <v>6444.3865115180924</v>
      </c>
      <c r="J97" s="150">
        <f t="shared" si="19"/>
        <v>172.63777753802432</v>
      </c>
      <c r="L97" s="33">
        <f t="shared" si="20"/>
        <v>0</v>
      </c>
    </row>
    <row r="98" spans="2:12" x14ac:dyDescent="0.35">
      <c r="B98" s="26" t="s">
        <v>553</v>
      </c>
      <c r="C98" s="52">
        <v>50</v>
      </c>
      <c r="D98" s="33">
        <v>13989.800000000001</v>
      </c>
      <c r="E98" s="33">
        <f t="shared" si="11"/>
        <v>279.79600000000005</v>
      </c>
      <c r="F98" s="33">
        <v>2588</v>
      </c>
      <c r="G98" s="33">
        <f t="shared" si="18"/>
        <v>11401.800000000001</v>
      </c>
      <c r="H98" s="283">
        <f>'Inch_Ft Piping'!$I$29</f>
        <v>0.45430994088953769</v>
      </c>
      <c r="I98" s="150">
        <f t="shared" ref="I98:I215" si="21">G98*H98</f>
        <v>5179.951084034331</v>
      </c>
      <c r="J98" s="150">
        <f t="shared" si="19"/>
        <v>127.11410422112911</v>
      </c>
      <c r="L98" s="33">
        <f t="shared" si="20"/>
        <v>0</v>
      </c>
    </row>
    <row r="99" spans="2:12" x14ac:dyDescent="0.35">
      <c r="B99" s="26" t="s">
        <v>554</v>
      </c>
      <c r="C99" s="52">
        <v>50</v>
      </c>
      <c r="D99" s="33">
        <v>421217.31</v>
      </c>
      <c r="E99" s="33">
        <f t="shared" si="11"/>
        <v>8424.3462</v>
      </c>
      <c r="F99" s="33">
        <v>77924</v>
      </c>
      <c r="G99" s="33">
        <f t="shared" si="18"/>
        <v>343293.31</v>
      </c>
      <c r="H99" s="283">
        <f>'Inch_Ft Piping'!$I$29</f>
        <v>0.45430994088953769</v>
      </c>
      <c r="I99" s="150">
        <f t="shared" si="21"/>
        <v>155961.56337387374</v>
      </c>
      <c r="J99" s="150">
        <f t="shared" si="19"/>
        <v>3827.2642241550016</v>
      </c>
      <c r="L99" s="33">
        <f t="shared" si="20"/>
        <v>0</v>
      </c>
    </row>
    <row r="100" spans="2:12" x14ac:dyDescent="0.35">
      <c r="B100" s="26" t="s">
        <v>555</v>
      </c>
      <c r="C100" s="52">
        <v>50</v>
      </c>
      <c r="D100" s="33">
        <v>662177.31000000006</v>
      </c>
      <c r="E100" s="33">
        <f t="shared" si="11"/>
        <v>13243.546200000001</v>
      </c>
      <c r="F100" s="306">
        <v>122502</v>
      </c>
      <c r="G100" s="33">
        <f t="shared" si="18"/>
        <v>539675.31000000006</v>
      </c>
      <c r="H100" s="283">
        <f>'Inch_Ft Piping'!$I$29</f>
        <v>0.45430994088953769</v>
      </c>
      <c r="I100" s="150">
        <f t="shared" si="21"/>
        <v>245179.85818564295</v>
      </c>
      <c r="J100" s="150">
        <f t="shared" si="19"/>
        <v>6016.6746912898616</v>
      </c>
      <c r="L100" s="33">
        <f t="shared" si="20"/>
        <v>0</v>
      </c>
    </row>
    <row r="101" spans="2:12" x14ac:dyDescent="0.35">
      <c r="B101" s="26" t="s">
        <v>556</v>
      </c>
      <c r="C101" s="52">
        <v>50</v>
      </c>
      <c r="D101" s="33">
        <v>334331.96999999997</v>
      </c>
      <c r="E101" s="33">
        <f t="shared" si="11"/>
        <v>6686.6393999999991</v>
      </c>
      <c r="F101" s="33">
        <v>33433</v>
      </c>
      <c r="G101" s="33">
        <f t="shared" si="18"/>
        <v>300898.96999999997</v>
      </c>
      <c r="H101" s="283">
        <f>'Inch_Ft Piping'!$I$29</f>
        <v>0.45430994088953769</v>
      </c>
      <c r="I101" s="150">
        <f t="shared" si="21"/>
        <v>136701.39327442276</v>
      </c>
      <c r="J101" s="150">
        <f t="shared" si="19"/>
        <v>3037.8067505636532</v>
      </c>
      <c r="L101" s="33">
        <f t="shared" si="20"/>
        <v>0</v>
      </c>
    </row>
    <row r="102" spans="2:12" x14ac:dyDescent="0.35">
      <c r="B102" s="26" t="s">
        <v>557</v>
      </c>
      <c r="C102" s="52">
        <v>50</v>
      </c>
      <c r="D102" s="33">
        <v>63197.17</v>
      </c>
      <c r="E102" s="33">
        <f t="shared" si="11"/>
        <v>1263.9433999999999</v>
      </c>
      <c r="F102" s="33">
        <v>6319</v>
      </c>
      <c r="G102" s="33">
        <f t="shared" si="18"/>
        <v>56878.17</v>
      </c>
      <c r="H102" s="283">
        <f>'Inch_Ft Piping'!$I$29</f>
        <v>0.45430994088953769</v>
      </c>
      <c r="I102" s="150">
        <f t="shared" si="21"/>
        <v>25840.318050605074</v>
      </c>
      <c r="J102" s="150">
        <f t="shared" si="19"/>
        <v>574.22205134172123</v>
      </c>
      <c r="L102" s="33">
        <f t="shared" si="20"/>
        <v>0</v>
      </c>
    </row>
    <row r="103" spans="2:12" x14ac:dyDescent="0.35">
      <c r="B103" s="26" t="s">
        <v>558</v>
      </c>
      <c r="C103" s="52">
        <v>50</v>
      </c>
      <c r="D103" s="33">
        <v>82160</v>
      </c>
      <c r="E103" s="33">
        <f t="shared" si="11"/>
        <v>1643.2</v>
      </c>
      <c r="F103" s="33">
        <f>929+7287</f>
        <v>8216</v>
      </c>
      <c r="G103" s="33">
        <f t="shared" si="18"/>
        <v>73944</v>
      </c>
      <c r="H103" s="283">
        <f>'Inch_Ft Piping'!$I$29</f>
        <v>0.45430994088953769</v>
      </c>
      <c r="I103" s="150">
        <f t="shared" si="21"/>
        <v>33593.494269135976</v>
      </c>
      <c r="J103" s="150">
        <f t="shared" si="19"/>
        <v>746.52209486968832</v>
      </c>
      <c r="L103" s="33">
        <f t="shared" si="20"/>
        <v>0</v>
      </c>
    </row>
    <row r="104" spans="2:12" x14ac:dyDescent="0.35">
      <c r="B104" s="26" t="s">
        <v>559</v>
      </c>
      <c r="C104" s="52">
        <v>50</v>
      </c>
      <c r="D104" s="33">
        <v>71805.81</v>
      </c>
      <c r="E104" s="33">
        <f t="shared" si="11"/>
        <v>1436.1161999999999</v>
      </c>
      <c r="F104" s="33">
        <v>5984</v>
      </c>
      <c r="G104" s="33">
        <f t="shared" si="18"/>
        <v>65821.81</v>
      </c>
      <c r="H104" s="283">
        <f>'Inch_Ft Piping'!$I$29</f>
        <v>0.45430994088953769</v>
      </c>
      <c r="I104" s="150">
        <f t="shared" si="21"/>
        <v>29903.502610342381</v>
      </c>
      <c r="J104" s="150">
        <f t="shared" si="19"/>
        <v>652.44186593250743</v>
      </c>
      <c r="L104" s="33">
        <f t="shared" si="20"/>
        <v>0</v>
      </c>
    </row>
    <row r="105" spans="2:12" x14ac:dyDescent="0.35">
      <c r="B105" s="26" t="s">
        <v>560</v>
      </c>
      <c r="C105" s="52">
        <v>50</v>
      </c>
      <c r="D105" s="33">
        <v>15727.43</v>
      </c>
      <c r="E105" s="33">
        <f t="shared" si="11"/>
        <v>314.54860000000002</v>
      </c>
      <c r="F105" s="33">
        <v>1311</v>
      </c>
      <c r="G105" s="33">
        <f t="shared" si="18"/>
        <v>14416.43</v>
      </c>
      <c r="H105" s="283">
        <f>'Inch_Ft Piping'!$I$29</f>
        <v>0.45430994088953769</v>
      </c>
      <c r="I105" s="150">
        <f t="shared" si="21"/>
        <v>6549.5274611381583</v>
      </c>
      <c r="J105" s="150">
        <f t="shared" si="19"/>
        <v>142.90255587288684</v>
      </c>
      <c r="L105" s="33">
        <f t="shared" si="20"/>
        <v>0</v>
      </c>
    </row>
    <row r="106" spans="2:12" x14ac:dyDescent="0.35">
      <c r="B106" s="26" t="s">
        <v>561</v>
      </c>
      <c r="C106" s="52">
        <v>50</v>
      </c>
      <c r="D106" s="33">
        <v>223798.58000000002</v>
      </c>
      <c r="E106" s="33">
        <f t="shared" si="11"/>
        <v>4475.9716000000008</v>
      </c>
      <c r="F106" s="33">
        <v>18277</v>
      </c>
      <c r="G106" s="33">
        <f t="shared" si="18"/>
        <v>205521.58000000002</v>
      </c>
      <c r="H106" s="283">
        <f>'Inch_Ft Piping'!$I$29</f>
        <v>0.45430994088953769</v>
      </c>
      <c r="I106" s="150">
        <f t="shared" si="21"/>
        <v>93370.496861324398</v>
      </c>
      <c r="J106" s="150">
        <f t="shared" si="19"/>
        <v>2033.4783930192498</v>
      </c>
      <c r="L106" s="33">
        <f t="shared" si="20"/>
        <v>0</v>
      </c>
    </row>
    <row r="107" spans="2:12" x14ac:dyDescent="0.35">
      <c r="B107" s="26" t="s">
        <v>562</v>
      </c>
      <c r="C107" s="52">
        <v>50</v>
      </c>
      <c r="D107" s="33">
        <v>313839.12</v>
      </c>
      <c r="E107" s="33">
        <f t="shared" si="11"/>
        <v>6276.7824000000001</v>
      </c>
      <c r="F107" s="33">
        <v>25107</v>
      </c>
      <c r="G107" s="33">
        <f t="shared" si="18"/>
        <v>288732.12</v>
      </c>
      <c r="H107" s="283">
        <f>'Inch_Ft Piping'!$I$29</f>
        <v>0.45430994088953769</v>
      </c>
      <c r="I107" s="150">
        <f t="shared" si="21"/>
        <v>131173.87237011091</v>
      </c>
      <c r="J107" s="150">
        <f t="shared" si="19"/>
        <v>2851.6046411204907</v>
      </c>
      <c r="L107" s="33">
        <f t="shared" si="20"/>
        <v>0</v>
      </c>
    </row>
    <row r="108" spans="2:12" x14ac:dyDescent="0.35">
      <c r="B108" s="26" t="s">
        <v>563</v>
      </c>
      <c r="C108" s="52">
        <v>50</v>
      </c>
      <c r="D108" s="33">
        <v>2800</v>
      </c>
      <c r="E108" s="33">
        <f t="shared" si="11"/>
        <v>56</v>
      </c>
      <c r="F108" s="33">
        <v>224</v>
      </c>
      <c r="G108" s="33">
        <f t="shared" si="18"/>
        <v>2576</v>
      </c>
      <c r="H108" s="283">
        <f>'Inch_Ft Piping'!$I$29</f>
        <v>0.45430994088953769</v>
      </c>
      <c r="I108" s="150">
        <f t="shared" si="21"/>
        <v>1170.3024077314492</v>
      </c>
      <c r="J108" s="150">
        <f t="shared" si="19"/>
        <v>25.441356689814111</v>
      </c>
      <c r="L108" s="33">
        <f t="shared" si="20"/>
        <v>0</v>
      </c>
    </row>
    <row r="109" spans="2:12" x14ac:dyDescent="0.35">
      <c r="B109" s="26" t="s">
        <v>564</v>
      </c>
      <c r="C109" s="52">
        <v>50</v>
      </c>
      <c r="D109" s="33">
        <v>4020</v>
      </c>
      <c r="E109" s="33">
        <f t="shared" si="11"/>
        <v>80.400000000000006</v>
      </c>
      <c r="F109" s="33">
        <v>321</v>
      </c>
      <c r="G109" s="33">
        <f t="shared" si="18"/>
        <v>3699</v>
      </c>
      <c r="H109" s="283">
        <f>'Inch_Ft Piping'!$I$29</f>
        <v>0.45430994088953769</v>
      </c>
      <c r="I109" s="150">
        <f t="shared" si="21"/>
        <v>1680.4924713503999</v>
      </c>
      <c r="J109" s="150">
        <f t="shared" si="19"/>
        <v>36.526519247518834</v>
      </c>
      <c r="L109" s="33">
        <f t="shared" si="20"/>
        <v>0</v>
      </c>
    </row>
    <row r="110" spans="2:12" x14ac:dyDescent="0.35">
      <c r="B110" s="26" t="s">
        <v>565</v>
      </c>
      <c r="C110" s="52">
        <v>10</v>
      </c>
      <c r="D110" s="33">
        <v>5032.3500000000004</v>
      </c>
      <c r="E110" s="33">
        <f t="shared" si="11"/>
        <v>503.23500000000001</v>
      </c>
      <c r="F110" s="33">
        <v>2013</v>
      </c>
      <c r="G110" s="33">
        <f t="shared" si="18"/>
        <v>3019.3500000000004</v>
      </c>
      <c r="H110" s="283">
        <f>'Inch_Ft Piping'!$I$29</f>
        <v>0.45430994088953769</v>
      </c>
      <c r="I110" s="150">
        <f t="shared" si="21"/>
        <v>1371.7207200248258</v>
      </c>
      <c r="J110" s="150">
        <f t="shared" si="19"/>
        <v>228.62466310354651</v>
      </c>
      <c r="L110" s="33">
        <f t="shared" si="20"/>
        <v>0</v>
      </c>
    </row>
    <row r="111" spans="2:12" x14ac:dyDescent="0.35">
      <c r="B111" s="26" t="s">
        <v>566</v>
      </c>
      <c r="C111" s="52">
        <v>50</v>
      </c>
      <c r="D111" s="33">
        <v>12199.54</v>
      </c>
      <c r="E111" s="33">
        <f t="shared" si="11"/>
        <v>243.99080000000001</v>
      </c>
      <c r="F111" s="33">
        <v>976</v>
      </c>
      <c r="G111" s="33">
        <f t="shared" si="18"/>
        <v>11223.54</v>
      </c>
      <c r="H111" s="283">
        <f>'Inch_Ft Piping'!$I$29</f>
        <v>0.45430994088953769</v>
      </c>
      <c r="I111" s="150">
        <f t="shared" si="21"/>
        <v>5098.9657939713625</v>
      </c>
      <c r="J111" s="150">
        <f t="shared" si="19"/>
        <v>110.84744592559102</v>
      </c>
      <c r="L111" s="33">
        <f t="shared" si="20"/>
        <v>0</v>
      </c>
    </row>
    <row r="112" spans="2:12" x14ac:dyDescent="0.35">
      <c r="B112" s="26" t="s">
        <v>567</v>
      </c>
      <c r="C112" s="52">
        <v>50</v>
      </c>
      <c r="D112" s="33">
        <v>141632.14000000001</v>
      </c>
      <c r="E112" s="33">
        <f t="shared" si="11"/>
        <v>2832.6428000000001</v>
      </c>
      <c r="F112" s="33">
        <v>9914</v>
      </c>
      <c r="G112" s="33">
        <f t="shared" si="18"/>
        <v>131718.14000000001</v>
      </c>
      <c r="H112" s="283">
        <f>'Inch_Ft Piping'!$I$29</f>
        <v>0.45430994088953769</v>
      </c>
      <c r="I112" s="150">
        <f t="shared" si="21"/>
        <v>59840.860397479853</v>
      </c>
      <c r="J112" s="150">
        <f t="shared" si="19"/>
        <v>1286.8977830291747</v>
      </c>
      <c r="L112" s="33">
        <f t="shared" si="20"/>
        <v>0</v>
      </c>
    </row>
    <row r="113" spans="2:12" x14ac:dyDescent="0.35">
      <c r="B113" s="26" t="s">
        <v>1047</v>
      </c>
      <c r="C113" s="52">
        <v>50</v>
      </c>
      <c r="D113" s="33">
        <v>5849.23</v>
      </c>
      <c r="E113" s="33">
        <f t="shared" si="11"/>
        <v>116.98459999999999</v>
      </c>
      <c r="F113" s="33">
        <v>331</v>
      </c>
      <c r="G113" s="33">
        <f t="shared" si="18"/>
        <v>5518.23</v>
      </c>
      <c r="H113" s="283">
        <f>'Inch_Ft Piping'!$I$29</f>
        <v>0.45430994088953769</v>
      </c>
      <c r="I113" s="150">
        <f t="shared" si="21"/>
        <v>2506.9867451148734</v>
      </c>
      <c r="J113" s="150">
        <f t="shared" si="19"/>
        <v>53.147266710986202</v>
      </c>
      <c r="L113" s="33">
        <f t="shared" si="20"/>
        <v>0</v>
      </c>
    </row>
    <row r="114" spans="2:12" x14ac:dyDescent="0.35">
      <c r="B114" s="26" t="s">
        <v>1048</v>
      </c>
      <c r="C114" s="52">
        <v>50</v>
      </c>
      <c r="D114" s="33">
        <v>26374.51</v>
      </c>
      <c r="E114" s="33">
        <f t="shared" si="11"/>
        <v>527.49019999999996</v>
      </c>
      <c r="F114" s="33">
        <v>1319</v>
      </c>
      <c r="G114" s="33">
        <f t="shared" si="18"/>
        <v>25055.51</v>
      </c>
      <c r="H114" s="283">
        <f>'Inch_Ft Piping'!$I$29</f>
        <v>0.45430994088953769</v>
      </c>
      <c r="I114" s="150">
        <f t="shared" si="21"/>
        <v>11382.96726705722</v>
      </c>
      <c r="J114" s="150">
        <f t="shared" si="19"/>
        <v>239.6440415818104</v>
      </c>
      <c r="L114" s="33">
        <f t="shared" si="20"/>
        <v>0</v>
      </c>
    </row>
    <row r="115" spans="2:12" x14ac:dyDescent="0.35">
      <c r="B115" s="26" t="s">
        <v>1049</v>
      </c>
      <c r="C115" s="52">
        <v>50</v>
      </c>
      <c r="D115" s="33">
        <v>46358.33</v>
      </c>
      <c r="E115" s="33">
        <f t="shared" si="11"/>
        <v>927.16660000000002</v>
      </c>
      <c r="F115" s="33">
        <v>1932</v>
      </c>
      <c r="G115" s="33">
        <f t="shared" si="18"/>
        <v>44426.33</v>
      </c>
      <c r="H115" s="283">
        <f>'Inch_Ft Piping'!$I$29</f>
        <v>0.45430994088953769</v>
      </c>
      <c r="I115" s="150">
        <f t="shared" si="21"/>
        <v>20183.323356239096</v>
      </c>
      <c r="J115" s="150">
        <f t="shared" si="19"/>
        <v>421.22100324075365</v>
      </c>
      <c r="L115" s="33">
        <f t="shared" si="20"/>
        <v>0</v>
      </c>
    </row>
    <row r="116" spans="2:12" ht="15.65" customHeight="1" x14ac:dyDescent="0.35">
      <c r="B116" s="26" t="s">
        <v>1050</v>
      </c>
      <c r="C116" s="52">
        <v>50</v>
      </c>
      <c r="D116" s="33">
        <v>63514.79</v>
      </c>
      <c r="E116" s="33">
        <f t="shared" si="11"/>
        <v>1270.2958000000001</v>
      </c>
      <c r="F116" s="33">
        <v>2646</v>
      </c>
      <c r="G116" s="33">
        <f t="shared" si="18"/>
        <v>60868.79</v>
      </c>
      <c r="H116" s="283">
        <f>'Inch_Ft Piping'!$I$29</f>
        <v>0.45430994088953769</v>
      </c>
      <c r="I116" s="150">
        <f t="shared" si="21"/>
        <v>27653.296386917682</v>
      </c>
      <c r="J116" s="150">
        <f t="shared" si="19"/>
        <v>577.10800981022805</v>
      </c>
      <c r="L116" s="33">
        <f t="shared" si="20"/>
        <v>0</v>
      </c>
    </row>
    <row r="117" spans="2:12" ht="15.65" customHeight="1" x14ac:dyDescent="0.35">
      <c r="B117" s="26" t="s">
        <v>1142</v>
      </c>
      <c r="C117" s="52">
        <v>50</v>
      </c>
      <c r="D117" s="33">
        <v>9713.52</v>
      </c>
      <c r="E117" s="33">
        <f t="shared" si="11"/>
        <v>194.2704</v>
      </c>
      <c r="F117" s="33">
        <v>388</v>
      </c>
      <c r="G117" s="33">
        <f t="shared" si="18"/>
        <v>9325.52</v>
      </c>
      <c r="H117" s="283">
        <f>'Inch_Ft Piping'!$I$29</f>
        <v>0.45430994088953769</v>
      </c>
      <c r="I117" s="150">
        <f t="shared" ref="I117:I126" si="22">G117*H117</f>
        <v>4236.6764399642016</v>
      </c>
      <c r="J117" s="150">
        <f t="shared" si="19"/>
        <v>88.258973940586841</v>
      </c>
      <c r="L117" s="33">
        <f t="shared" si="20"/>
        <v>0</v>
      </c>
    </row>
    <row r="118" spans="2:12" ht="15.75" customHeight="1" x14ac:dyDescent="0.35">
      <c r="B118" s="26" t="s">
        <v>1143</v>
      </c>
      <c r="C118" s="52">
        <v>50</v>
      </c>
      <c r="D118" s="33">
        <v>7519.62</v>
      </c>
      <c r="E118" s="33">
        <v>150</v>
      </c>
      <c r="F118" s="33">
        <v>263</v>
      </c>
      <c r="G118" s="33">
        <f t="shared" si="18"/>
        <v>7256.62</v>
      </c>
      <c r="H118" s="283">
        <f>'Inch_Ft Piping'!$I$29</f>
        <v>0.45430994088953769</v>
      </c>
      <c r="I118" s="150">
        <f t="shared" si="22"/>
        <v>3296.7546032578371</v>
      </c>
      <c r="J118" s="150">
        <f t="shared" si="19"/>
        <v>68.146491133430658</v>
      </c>
      <c r="L118" s="33">
        <f t="shared" si="20"/>
        <v>0</v>
      </c>
    </row>
    <row r="119" spans="2:12" ht="15.75" customHeight="1" x14ac:dyDescent="0.35">
      <c r="B119" s="26" t="s">
        <v>1144</v>
      </c>
      <c r="C119" s="52">
        <v>50</v>
      </c>
      <c r="D119" s="33">
        <v>57279.839999999997</v>
      </c>
      <c r="E119" s="33">
        <v>1145</v>
      </c>
      <c r="F119" s="33">
        <v>1527</v>
      </c>
      <c r="G119" s="33">
        <f t="shared" si="18"/>
        <v>55752.84</v>
      </c>
      <c r="H119" s="283">
        <f>'Inch_Ft Piping'!$I$29</f>
        <v>0.45430994088953769</v>
      </c>
      <c r="I119" s="150">
        <f t="shared" si="22"/>
        <v>25329.06944482385</v>
      </c>
      <c r="J119" s="150">
        <f t="shared" si="19"/>
        <v>520.18488231852064</v>
      </c>
      <c r="L119" s="33">
        <f t="shared" si="20"/>
        <v>0</v>
      </c>
    </row>
    <row r="120" spans="2:12" ht="15.75" customHeight="1" x14ac:dyDescent="0.35">
      <c r="B120" s="26" t="s">
        <v>1145</v>
      </c>
      <c r="C120" s="52">
        <v>50</v>
      </c>
      <c r="D120" s="33">
        <v>1424414.71</v>
      </c>
      <c r="E120" s="33">
        <v>28488</v>
      </c>
      <c r="F120" s="33">
        <v>37984</v>
      </c>
      <c r="G120" s="33">
        <f t="shared" si="18"/>
        <v>1386430.71</v>
      </c>
      <c r="H120" s="283">
        <f>'Inch_Ft Piping'!$I$29</f>
        <v>0.45430994088953769</v>
      </c>
      <c r="I120" s="150">
        <f t="shared" si="22"/>
        <v>629869.25390753977</v>
      </c>
      <c r="J120" s="150">
        <f t="shared" si="19"/>
        <v>12942.38159606115</v>
      </c>
      <c r="L120" s="33">
        <f t="shared" si="20"/>
        <v>0</v>
      </c>
    </row>
    <row r="121" spans="2:12" ht="15.75" customHeight="1" x14ac:dyDescent="0.35">
      <c r="B121" s="26" t="s">
        <v>1146</v>
      </c>
      <c r="C121" s="52">
        <v>50</v>
      </c>
      <c r="D121" s="33">
        <v>170217.63</v>
      </c>
      <c r="E121" s="33">
        <v>3404</v>
      </c>
      <c r="F121" s="33">
        <v>4255</v>
      </c>
      <c r="G121" s="33">
        <f t="shared" si="18"/>
        <v>165962.63</v>
      </c>
      <c r="H121" s="283">
        <f>'Inch_Ft Piping'!$I$29</f>
        <v>0.45430994088953769</v>
      </c>
      <c r="I121" s="150">
        <f t="shared" si="22"/>
        <v>75398.472625172217</v>
      </c>
      <c r="J121" s="150">
        <f t="shared" si="19"/>
        <v>1546.4710387879863</v>
      </c>
      <c r="L121" s="33">
        <f t="shared" si="20"/>
        <v>0</v>
      </c>
    </row>
    <row r="122" spans="2:12" ht="15.75" customHeight="1" x14ac:dyDescent="0.35">
      <c r="B122" s="26" t="s">
        <v>1147</v>
      </c>
      <c r="C122" s="52">
        <v>50</v>
      </c>
      <c r="D122" s="33">
        <f>4012+22782+148644</f>
        <v>175438</v>
      </c>
      <c r="E122" s="33">
        <f>80+456+2973</f>
        <v>3509</v>
      </c>
      <c r="F122" s="33">
        <f>100+569+3716</f>
        <v>4385</v>
      </c>
      <c r="G122" s="33">
        <f t="shared" si="18"/>
        <v>171053</v>
      </c>
      <c r="H122" s="283">
        <f>'Inch_Ft Piping'!$I$29</f>
        <v>0.45430994088953769</v>
      </c>
      <c r="I122" s="150">
        <f t="shared" si="22"/>
        <v>77711.078318978092</v>
      </c>
      <c r="J122" s="150">
        <f t="shared" si="19"/>
        <v>1594.1735825813878</v>
      </c>
      <c r="L122" s="33">
        <f t="shared" si="20"/>
        <v>0</v>
      </c>
    </row>
    <row r="123" spans="2:12" ht="15.75" customHeight="1" x14ac:dyDescent="0.35">
      <c r="B123" s="26" t="s">
        <v>1148</v>
      </c>
      <c r="C123" s="52">
        <v>50</v>
      </c>
      <c r="D123" s="33">
        <v>21513.15</v>
      </c>
      <c r="E123" s="33">
        <v>430</v>
      </c>
      <c r="F123" s="33">
        <v>502</v>
      </c>
      <c r="G123" s="33">
        <f t="shared" si="18"/>
        <v>21011.15</v>
      </c>
      <c r="H123" s="283">
        <f>'Inch_Ft Piping'!$I$29</f>
        <v>0.45430994088953769</v>
      </c>
      <c r="I123" s="150">
        <f t="shared" si="22"/>
        <v>9545.5743145212109</v>
      </c>
      <c r="J123" s="150">
        <f t="shared" si="19"/>
        <v>195.3532745825012</v>
      </c>
      <c r="L123" s="33">
        <f t="shared" si="20"/>
        <v>0</v>
      </c>
    </row>
    <row r="124" spans="2:12" ht="15.75" customHeight="1" x14ac:dyDescent="0.35">
      <c r="B124" s="26" t="s">
        <v>1149</v>
      </c>
      <c r="C124" s="52">
        <v>50</v>
      </c>
      <c r="D124" s="33">
        <v>64657.98</v>
      </c>
      <c r="E124" s="33">
        <v>1293</v>
      </c>
      <c r="F124" s="33">
        <v>1509</v>
      </c>
      <c r="G124" s="33">
        <f t="shared" si="18"/>
        <v>63148.98</v>
      </c>
      <c r="H124" s="283">
        <f>'Inch_Ft Piping'!$I$29</f>
        <v>0.45430994088953769</v>
      </c>
      <c r="I124" s="150">
        <f t="shared" si="22"/>
        <v>28689.209371034598</v>
      </c>
      <c r="J124" s="150">
        <f t="shared" si="19"/>
        <v>587.42275357017218</v>
      </c>
      <c r="L124" s="33">
        <f t="shared" si="20"/>
        <v>0</v>
      </c>
    </row>
    <row r="125" spans="2:12" ht="15.75" customHeight="1" x14ac:dyDescent="0.35">
      <c r="B125" s="26" t="s">
        <v>1150</v>
      </c>
      <c r="C125" s="52">
        <v>50</v>
      </c>
      <c r="D125" s="33">
        <v>6438.98</v>
      </c>
      <c r="E125" s="33">
        <v>129</v>
      </c>
      <c r="F125" s="33">
        <v>139</v>
      </c>
      <c r="G125" s="33">
        <f t="shared" si="18"/>
        <v>6299.98</v>
      </c>
      <c r="H125" s="283">
        <f>'Inch_Ft Piping'!$I$29</f>
        <v>0.45430994088953769</v>
      </c>
      <c r="I125" s="150">
        <f t="shared" si="22"/>
        <v>2862.1435414052694</v>
      </c>
      <c r="J125" s="150">
        <f t="shared" si="19"/>
        <v>58.605982374750361</v>
      </c>
      <c r="L125" s="33">
        <f t="shared" si="20"/>
        <v>0</v>
      </c>
    </row>
    <row r="126" spans="2:12" ht="15.75" customHeight="1" x14ac:dyDescent="0.35">
      <c r="B126" s="26" t="s">
        <v>1151</v>
      </c>
      <c r="C126" s="52">
        <v>50</v>
      </c>
      <c r="D126" s="33">
        <v>9281.76</v>
      </c>
      <c r="E126" s="33">
        <v>186</v>
      </c>
      <c r="F126" s="33">
        <v>186</v>
      </c>
      <c r="G126" s="33">
        <f t="shared" si="18"/>
        <v>9095.76</v>
      </c>
      <c r="H126" s="283">
        <f>'Inch_Ft Piping'!$I$29</f>
        <v>0.45430994088953769</v>
      </c>
      <c r="I126" s="150">
        <f t="shared" si="22"/>
        <v>4132.2941879454211</v>
      </c>
      <c r="J126" s="150">
        <f t="shared" si="19"/>
        <v>84.501649005454013</v>
      </c>
      <c r="L126" s="33">
        <f t="shared" si="20"/>
        <v>0</v>
      </c>
    </row>
    <row r="127" spans="2:12" ht="15.75" customHeight="1" x14ac:dyDescent="0.35">
      <c r="B127" s="26" t="s">
        <v>1516</v>
      </c>
      <c r="C127" s="52">
        <v>50</v>
      </c>
      <c r="D127" s="33">
        <v>7559</v>
      </c>
      <c r="E127" s="33">
        <v>138</v>
      </c>
      <c r="F127" s="33">
        <v>138</v>
      </c>
      <c r="G127" s="33">
        <f t="shared" si="18"/>
        <v>7421</v>
      </c>
      <c r="H127" s="283">
        <f>'Inch_Ft Piping'!$I$29</f>
        <v>0.45430994088953769</v>
      </c>
      <c r="I127" s="150">
        <f t="shared" ref="I127:I134" si="23">G127*H127</f>
        <v>3371.4340713412594</v>
      </c>
      <c r="J127" s="150">
        <f t="shared" ref="J127:J134" si="24">E127*H127</f>
        <v>62.694771842756204</v>
      </c>
      <c r="L127" s="33">
        <f t="shared" si="20"/>
        <v>0</v>
      </c>
    </row>
    <row r="128" spans="2:12" ht="15.75" customHeight="1" x14ac:dyDescent="0.35">
      <c r="B128" s="26" t="s">
        <v>1517</v>
      </c>
      <c r="C128" s="52">
        <v>50</v>
      </c>
      <c r="D128" s="33">
        <v>314350</v>
      </c>
      <c r="E128" s="33">
        <v>4715</v>
      </c>
      <c r="F128" s="33">
        <v>4715</v>
      </c>
      <c r="G128" s="33">
        <f t="shared" si="18"/>
        <v>309635</v>
      </c>
      <c r="H128" s="283">
        <f>'Inch_Ft Piping'!$I$29</f>
        <v>0.45430994088953769</v>
      </c>
      <c r="I128" s="150">
        <f t="shared" si="23"/>
        <v>140670.25854733199</v>
      </c>
      <c r="J128" s="150">
        <f t="shared" si="24"/>
        <v>2142.0713712941701</v>
      </c>
      <c r="L128" s="33">
        <f t="shared" si="20"/>
        <v>0</v>
      </c>
    </row>
    <row r="129" spans="1:12" ht="15.75" customHeight="1" x14ac:dyDescent="0.35">
      <c r="B129" s="26" t="s">
        <v>1518</v>
      </c>
      <c r="C129" s="52">
        <v>50</v>
      </c>
      <c r="D129" s="33">
        <v>2353</v>
      </c>
      <c r="E129" s="33">
        <v>23</v>
      </c>
      <c r="F129" s="33">
        <v>23</v>
      </c>
      <c r="G129" s="33">
        <f t="shared" si="18"/>
        <v>2330</v>
      </c>
      <c r="H129" s="283">
        <f>'Inch_Ft Piping'!$I$29</f>
        <v>0.45430994088953769</v>
      </c>
      <c r="I129" s="150">
        <f t="shared" si="23"/>
        <v>1058.5421622726228</v>
      </c>
      <c r="J129" s="150">
        <f t="shared" si="24"/>
        <v>10.449128640459367</v>
      </c>
      <c r="L129" s="33">
        <f t="shared" si="20"/>
        <v>0</v>
      </c>
    </row>
    <row r="130" spans="1:12" ht="15.75" customHeight="1" x14ac:dyDescent="0.35">
      <c r="B130" s="26" t="s">
        <v>1519</v>
      </c>
      <c r="C130" s="52">
        <v>50</v>
      </c>
      <c r="D130" s="33">
        <v>48232</v>
      </c>
      <c r="E130" s="33">
        <v>0</v>
      </c>
      <c r="F130" s="33">
        <v>0</v>
      </c>
      <c r="G130" s="33">
        <f t="shared" si="18"/>
        <v>48232</v>
      </c>
      <c r="H130" s="283">
        <f>'Inch_Ft Piping'!$I$29</f>
        <v>0.45430994088953769</v>
      </c>
      <c r="I130" s="150">
        <f t="shared" si="23"/>
        <v>21912.277068984182</v>
      </c>
      <c r="J130" s="150">
        <f t="shared" si="24"/>
        <v>0</v>
      </c>
      <c r="L130" s="33">
        <f t="shared" si="20"/>
        <v>0</v>
      </c>
    </row>
    <row r="131" spans="1:12" ht="15.75" customHeight="1" x14ac:dyDescent="0.35">
      <c r="B131" s="26" t="s">
        <v>1520</v>
      </c>
      <c r="C131" s="52">
        <v>30</v>
      </c>
      <c r="D131" s="33">
        <v>18782</v>
      </c>
      <c r="E131" s="33">
        <v>0</v>
      </c>
      <c r="F131" s="33">
        <v>0</v>
      </c>
      <c r="G131" s="33">
        <f t="shared" si="18"/>
        <v>18782</v>
      </c>
      <c r="H131" s="283">
        <f>'Inch_Ft Piping'!$I$29</f>
        <v>0.45430994088953769</v>
      </c>
      <c r="I131" s="150">
        <f t="shared" si="23"/>
        <v>8532.8493097872961</v>
      </c>
      <c r="J131" s="150">
        <f t="shared" si="24"/>
        <v>0</v>
      </c>
      <c r="L131" s="33">
        <f t="shared" si="20"/>
        <v>0</v>
      </c>
    </row>
    <row r="132" spans="1:12" ht="15.75" customHeight="1" x14ac:dyDescent="0.35">
      <c r="B132" s="26" t="s">
        <v>1521</v>
      </c>
      <c r="C132" s="52">
        <v>50</v>
      </c>
      <c r="D132" s="33">
        <v>91262</v>
      </c>
      <c r="E132" s="33">
        <v>0</v>
      </c>
      <c r="F132" s="33">
        <v>0</v>
      </c>
      <c r="G132" s="33">
        <f t="shared" si="18"/>
        <v>91262</v>
      </c>
      <c r="H132" s="283">
        <f>'Inch_Ft Piping'!$I$29</f>
        <v>0.45430994088953769</v>
      </c>
      <c r="I132" s="150">
        <f t="shared" si="23"/>
        <v>41461.233825460986</v>
      </c>
      <c r="J132" s="150">
        <f t="shared" si="24"/>
        <v>0</v>
      </c>
      <c r="L132" s="33">
        <f t="shared" si="20"/>
        <v>0</v>
      </c>
    </row>
    <row r="133" spans="1:12" ht="15.75" customHeight="1" x14ac:dyDescent="0.35">
      <c r="B133" s="26" t="s">
        <v>1522</v>
      </c>
      <c r="C133" s="52">
        <v>50</v>
      </c>
      <c r="D133" s="33">
        <v>45377</v>
      </c>
      <c r="E133" s="33">
        <v>0</v>
      </c>
      <c r="F133" s="33">
        <v>0</v>
      </c>
      <c r="G133" s="33">
        <f t="shared" si="18"/>
        <v>45377</v>
      </c>
      <c r="H133" s="283">
        <f>'Inch_Ft Piping'!$I$29</f>
        <v>0.45430994088953769</v>
      </c>
      <c r="I133" s="150">
        <f t="shared" si="23"/>
        <v>20615.222187744552</v>
      </c>
      <c r="J133" s="150">
        <f t="shared" si="24"/>
        <v>0</v>
      </c>
      <c r="L133" s="33">
        <f t="shared" si="20"/>
        <v>0</v>
      </c>
    </row>
    <row r="134" spans="1:12" ht="15.75" customHeight="1" x14ac:dyDescent="0.35">
      <c r="B134" s="26" t="s">
        <v>1523</v>
      </c>
      <c r="C134" s="52">
        <v>30</v>
      </c>
      <c r="D134" s="33">
        <v>5989</v>
      </c>
      <c r="E134" s="33">
        <v>0</v>
      </c>
      <c r="F134" s="33">
        <v>0</v>
      </c>
      <c r="G134" s="33">
        <f t="shared" si="18"/>
        <v>5989</v>
      </c>
      <c r="H134" s="283">
        <f>'Inch_Ft Piping'!$I$29</f>
        <v>0.45430994088953769</v>
      </c>
      <c r="I134" s="150">
        <f t="shared" si="23"/>
        <v>2720.8622359874412</v>
      </c>
      <c r="J134" s="150">
        <f t="shared" si="24"/>
        <v>0</v>
      </c>
      <c r="L134" s="33">
        <f t="shared" si="20"/>
        <v>0</v>
      </c>
    </row>
    <row r="135" spans="1:12" ht="15.75" customHeight="1" x14ac:dyDescent="0.35">
      <c r="B135" s="25" t="s">
        <v>234</v>
      </c>
      <c r="C135" s="27"/>
      <c r="D135" s="36">
        <f>SUBTOTAL(9,D87:D134)</f>
        <v>5271586.8400000008</v>
      </c>
      <c r="E135" s="36">
        <f t="shared" ref="E135:G135" si="25">SUBTOTAL(9,E87:E134)</f>
        <v>100031.01139999999</v>
      </c>
      <c r="F135" s="36">
        <f t="shared" si="25"/>
        <v>447326</v>
      </c>
      <c r="G135" s="36">
        <f t="shared" si="25"/>
        <v>4824260.8400000017</v>
      </c>
      <c r="H135" s="283"/>
      <c r="I135" s="150"/>
      <c r="J135" s="150"/>
      <c r="L135" s="33"/>
    </row>
    <row r="136" spans="1:12" x14ac:dyDescent="0.35">
      <c r="A136" s="25" t="s">
        <v>1552</v>
      </c>
      <c r="E136" s="33"/>
      <c r="I136" s="150"/>
      <c r="J136" s="150"/>
      <c r="L136" s="33"/>
    </row>
    <row r="137" spans="1:12" x14ac:dyDescent="0.35">
      <c r="B137" s="26" t="s">
        <v>568</v>
      </c>
      <c r="C137" s="52">
        <v>40</v>
      </c>
      <c r="D137" s="33">
        <v>64070.02</v>
      </c>
      <c r="E137" s="33">
        <f t="shared" ref="E137:E209" si="26">IF(D137&gt;F137,D137/C137,0)</f>
        <v>1601.7504999999999</v>
      </c>
      <c r="F137" s="33">
        <v>50184</v>
      </c>
      <c r="G137" s="33">
        <f>D137-F137</f>
        <v>13886.019999999997</v>
      </c>
      <c r="H137" s="258">
        <v>1</v>
      </c>
      <c r="I137" s="150">
        <f t="shared" si="21"/>
        <v>13886.019999999997</v>
      </c>
      <c r="J137" s="150">
        <f>E137*H137</f>
        <v>1601.7504999999999</v>
      </c>
      <c r="L137" s="33">
        <f t="shared" ref="L137:L147" si="27">IF(D137-(F137+E137)&lt;0,-E137,0)</f>
        <v>0</v>
      </c>
    </row>
    <row r="138" spans="1:12" x14ac:dyDescent="0.35">
      <c r="B138" s="26" t="s">
        <v>569</v>
      </c>
      <c r="C138" s="52">
        <v>40</v>
      </c>
      <c r="D138" s="33">
        <v>85929.98</v>
      </c>
      <c r="E138" s="33">
        <f t="shared" si="26"/>
        <v>2148.2494999999999</v>
      </c>
      <c r="F138" s="33">
        <v>64738</v>
      </c>
      <c r="G138" s="33">
        <f>D138-F138</f>
        <v>21191.979999999996</v>
      </c>
      <c r="H138" s="258">
        <v>1</v>
      </c>
      <c r="I138" s="150">
        <f t="shared" si="21"/>
        <v>21191.979999999996</v>
      </c>
      <c r="J138" s="150">
        <f>E138*H138</f>
        <v>2148.2494999999999</v>
      </c>
      <c r="L138" s="33">
        <f t="shared" si="27"/>
        <v>0</v>
      </c>
    </row>
    <row r="139" spans="1:12" x14ac:dyDescent="0.35">
      <c r="B139" s="25" t="s">
        <v>234</v>
      </c>
      <c r="C139" s="27"/>
      <c r="D139" s="36">
        <f>SUBTOTAL(9,D137:D138)</f>
        <v>150000</v>
      </c>
      <c r="E139" s="36">
        <f t="shared" ref="E139:G139" si="28">SUBTOTAL(9,E137:E138)</f>
        <v>3750</v>
      </c>
      <c r="F139" s="36">
        <f t="shared" si="28"/>
        <v>114922</v>
      </c>
      <c r="G139" s="36">
        <f t="shared" si="28"/>
        <v>35077.999999999993</v>
      </c>
      <c r="H139" s="258"/>
      <c r="I139" s="150"/>
      <c r="J139" s="150"/>
      <c r="L139" s="33"/>
    </row>
    <row r="140" spans="1:12" x14ac:dyDescent="0.35">
      <c r="A140" s="25" t="s">
        <v>1553</v>
      </c>
      <c r="E140" s="33"/>
      <c r="I140" s="150"/>
      <c r="J140" s="150"/>
      <c r="L140" s="33">
        <f t="shared" si="27"/>
        <v>0</v>
      </c>
    </row>
    <row r="141" spans="1:12" x14ac:dyDescent="0.35">
      <c r="B141" s="26" t="s">
        <v>570</v>
      </c>
      <c r="C141" s="52">
        <v>7</v>
      </c>
      <c r="D141" s="33">
        <v>3356.5</v>
      </c>
      <c r="E141" s="33">
        <f t="shared" si="26"/>
        <v>479.5</v>
      </c>
      <c r="F141" s="33">
        <v>1918</v>
      </c>
      <c r="G141" s="33">
        <f t="shared" ref="G141:G147" si="29">D141-F141</f>
        <v>1438.5</v>
      </c>
      <c r="H141" s="258">
        <v>0</v>
      </c>
      <c r="I141" s="150">
        <f t="shared" si="21"/>
        <v>0</v>
      </c>
      <c r="J141" s="150">
        <f t="shared" ref="J141:J146" si="30">E141*H141</f>
        <v>0</v>
      </c>
      <c r="L141" s="33">
        <f t="shared" si="27"/>
        <v>0</v>
      </c>
    </row>
    <row r="142" spans="1:12" x14ac:dyDescent="0.35">
      <c r="B142" s="26" t="s">
        <v>571</v>
      </c>
      <c r="C142" s="52">
        <v>7</v>
      </c>
      <c r="D142" s="33">
        <v>1150</v>
      </c>
      <c r="E142" s="33">
        <f t="shared" si="26"/>
        <v>164.28571428571428</v>
      </c>
      <c r="F142" s="33">
        <v>657</v>
      </c>
      <c r="G142" s="33">
        <f t="shared" si="29"/>
        <v>493</v>
      </c>
      <c r="H142" s="258">
        <v>0</v>
      </c>
      <c r="I142" s="150">
        <f t="shared" si="21"/>
        <v>0</v>
      </c>
      <c r="J142" s="150">
        <f t="shared" si="30"/>
        <v>0</v>
      </c>
      <c r="L142" s="33">
        <f t="shared" si="27"/>
        <v>0</v>
      </c>
    </row>
    <row r="143" spans="1:12" x14ac:dyDescent="0.35">
      <c r="B143" s="26" t="s">
        <v>572</v>
      </c>
      <c r="C143" s="52">
        <v>7</v>
      </c>
      <c r="D143" s="33">
        <v>1253.44</v>
      </c>
      <c r="E143" s="33">
        <f t="shared" si="26"/>
        <v>179.06285714285715</v>
      </c>
      <c r="F143" s="33">
        <v>657</v>
      </c>
      <c r="G143" s="33">
        <f t="shared" si="29"/>
        <v>596.44000000000005</v>
      </c>
      <c r="H143" s="258">
        <v>0</v>
      </c>
      <c r="I143" s="150">
        <f t="shared" si="21"/>
        <v>0</v>
      </c>
      <c r="J143" s="150">
        <f t="shared" si="30"/>
        <v>0</v>
      </c>
      <c r="L143" s="33">
        <f t="shared" si="27"/>
        <v>0</v>
      </c>
    </row>
    <row r="144" spans="1:12" x14ac:dyDescent="0.35">
      <c r="B144" s="26" t="s">
        <v>573</v>
      </c>
      <c r="C144" s="52">
        <v>30</v>
      </c>
      <c r="D144" s="33">
        <v>1745.3400000000001</v>
      </c>
      <c r="E144" s="33">
        <f t="shared" si="26"/>
        <v>58.178000000000004</v>
      </c>
      <c r="F144" s="33">
        <v>213</v>
      </c>
      <c r="G144" s="33">
        <f t="shared" si="29"/>
        <v>1532.3400000000001</v>
      </c>
      <c r="H144" s="258">
        <v>0</v>
      </c>
      <c r="I144" s="150">
        <f t="shared" si="21"/>
        <v>0</v>
      </c>
      <c r="J144" s="150">
        <f t="shared" si="30"/>
        <v>0</v>
      </c>
      <c r="L144" s="33">
        <f t="shared" si="27"/>
        <v>0</v>
      </c>
    </row>
    <row r="145" spans="1:12" x14ac:dyDescent="0.35">
      <c r="B145" s="26" t="s">
        <v>574</v>
      </c>
      <c r="C145" s="52">
        <v>10</v>
      </c>
      <c r="D145" s="33">
        <v>2383.5100000000002</v>
      </c>
      <c r="E145" s="33">
        <f t="shared" si="26"/>
        <v>238.35100000000003</v>
      </c>
      <c r="F145" s="33">
        <v>814</v>
      </c>
      <c r="G145" s="33">
        <f t="shared" si="29"/>
        <v>1569.5100000000002</v>
      </c>
      <c r="H145" s="258">
        <v>0</v>
      </c>
      <c r="I145" s="150">
        <f t="shared" si="21"/>
        <v>0</v>
      </c>
      <c r="J145" s="150">
        <f t="shared" si="30"/>
        <v>0</v>
      </c>
      <c r="L145" s="33">
        <f t="shared" si="27"/>
        <v>0</v>
      </c>
    </row>
    <row r="146" spans="1:12" x14ac:dyDescent="0.35">
      <c r="B146" s="26" t="s">
        <v>1051</v>
      </c>
      <c r="C146" s="52">
        <v>7</v>
      </c>
      <c r="D146" s="33">
        <v>1405.65</v>
      </c>
      <c r="E146" s="33">
        <f t="shared" si="26"/>
        <v>200.80714285714288</v>
      </c>
      <c r="F146" s="33">
        <v>552</v>
      </c>
      <c r="G146" s="33">
        <f t="shared" si="29"/>
        <v>853.65000000000009</v>
      </c>
      <c r="H146" s="258">
        <v>0</v>
      </c>
      <c r="I146" s="150">
        <f t="shared" si="21"/>
        <v>0</v>
      </c>
      <c r="J146" s="150">
        <f t="shared" si="30"/>
        <v>0</v>
      </c>
      <c r="L146" s="33">
        <f t="shared" si="27"/>
        <v>0</v>
      </c>
    </row>
    <row r="147" spans="1:12" x14ac:dyDescent="0.35">
      <c r="B147" s="26" t="s">
        <v>1524</v>
      </c>
      <c r="C147" s="52">
        <v>35</v>
      </c>
      <c r="D147" s="33">
        <v>3034</v>
      </c>
      <c r="E147" s="33">
        <v>29</v>
      </c>
      <c r="F147" s="33">
        <v>29</v>
      </c>
      <c r="G147" s="33">
        <f t="shared" si="29"/>
        <v>3005</v>
      </c>
      <c r="H147" s="258">
        <v>0</v>
      </c>
      <c r="I147" s="150">
        <f t="shared" ref="I147" si="31">G147*H147</f>
        <v>0</v>
      </c>
      <c r="J147" s="150">
        <f t="shared" ref="J147" si="32">E147*H147</f>
        <v>0</v>
      </c>
      <c r="L147" s="33">
        <f t="shared" si="27"/>
        <v>0</v>
      </c>
    </row>
    <row r="148" spans="1:12" x14ac:dyDescent="0.35">
      <c r="B148" s="25" t="s">
        <v>234</v>
      </c>
      <c r="C148" s="27"/>
      <c r="D148" s="36">
        <f>SUBTOTAL(9,D141:D147)</f>
        <v>14328.44</v>
      </c>
      <c r="E148" s="36">
        <f t="shared" ref="E148:G148" si="33">SUBTOTAL(9,E141:E147)</f>
        <v>1349.1847142857143</v>
      </c>
      <c r="F148" s="36">
        <f t="shared" si="33"/>
        <v>4840</v>
      </c>
      <c r="G148" s="36">
        <f t="shared" si="33"/>
        <v>9488.44</v>
      </c>
      <c r="H148" s="258"/>
      <c r="I148" s="150"/>
      <c r="J148" s="150"/>
      <c r="L148" s="33"/>
    </row>
    <row r="149" spans="1:12" x14ac:dyDescent="0.35">
      <c r="A149" s="25" t="s">
        <v>1554</v>
      </c>
      <c r="E149" s="33"/>
      <c r="I149" s="150"/>
      <c r="J149" s="150"/>
      <c r="L149" s="33"/>
    </row>
    <row r="150" spans="1:12" s="200" customFormat="1" x14ac:dyDescent="0.35">
      <c r="B150" s="200" t="s">
        <v>1152</v>
      </c>
      <c r="C150" s="201">
        <v>10</v>
      </c>
      <c r="D150" s="294">
        <v>3745</v>
      </c>
      <c r="E150" s="33">
        <f t="shared" si="26"/>
        <v>0</v>
      </c>
      <c r="F150" s="294">
        <v>3745</v>
      </c>
      <c r="G150" s="294">
        <f>D150-F150</f>
        <v>0</v>
      </c>
      <c r="H150" s="283">
        <f>'Inch_Ft Piping'!$I$29</f>
        <v>0.45430994088953769</v>
      </c>
      <c r="I150" s="150">
        <f t="shared" si="21"/>
        <v>0</v>
      </c>
      <c r="J150" s="150">
        <f>E150*H150</f>
        <v>0</v>
      </c>
      <c r="L150" s="33">
        <f>IF(D150-(F150+E150)&lt;0,-E150,0)</f>
        <v>0</v>
      </c>
    </row>
    <row r="151" spans="1:12" s="200" customFormat="1" x14ac:dyDescent="0.35">
      <c r="B151" s="200" t="s">
        <v>1152</v>
      </c>
      <c r="C151" s="201">
        <v>10</v>
      </c>
      <c r="D151" s="294">
        <v>3745</v>
      </c>
      <c r="E151" s="33">
        <f t="shared" si="26"/>
        <v>0</v>
      </c>
      <c r="F151" s="294">
        <v>3745</v>
      </c>
      <c r="G151" s="294">
        <f>D151-F151</f>
        <v>0</v>
      </c>
      <c r="H151" s="283">
        <f>'Inch_Ft Piping'!$I$29</f>
        <v>0.45430994088953769</v>
      </c>
      <c r="I151" s="150">
        <f t="shared" si="21"/>
        <v>0</v>
      </c>
      <c r="J151" s="150">
        <f>E151*H151</f>
        <v>0</v>
      </c>
      <c r="L151" s="33">
        <f>IF(D151-(F151+E151)&lt;0,-E151,0)</f>
        <v>0</v>
      </c>
    </row>
    <row r="152" spans="1:12" x14ac:dyDescent="0.35">
      <c r="B152" s="26" t="s">
        <v>1153</v>
      </c>
      <c r="C152" s="52">
        <v>10</v>
      </c>
      <c r="D152" s="33">
        <v>2410</v>
      </c>
      <c r="E152" s="33">
        <f t="shared" si="26"/>
        <v>241</v>
      </c>
      <c r="F152" s="33">
        <v>904</v>
      </c>
      <c r="G152" s="33">
        <f>D152-F152</f>
        <v>1506</v>
      </c>
      <c r="H152" s="283">
        <f>'Inch_Ft Piping'!$I$29</f>
        <v>0.45430994088953769</v>
      </c>
      <c r="I152" s="150">
        <f t="shared" si="21"/>
        <v>684.19077097964373</v>
      </c>
      <c r="J152" s="150">
        <f>E152*H152</f>
        <v>109.48869575437858</v>
      </c>
      <c r="L152" s="33">
        <f>IF(D152-(F152+E152)&lt;0,-E152,0)</f>
        <v>0</v>
      </c>
    </row>
    <row r="153" spans="1:12" x14ac:dyDescent="0.35">
      <c r="B153" s="25" t="s">
        <v>234</v>
      </c>
      <c r="C153" s="27"/>
      <c r="D153" s="36">
        <f>SUBTOTAL(9,D150:D152)</f>
        <v>9900</v>
      </c>
      <c r="E153" s="36">
        <f t="shared" ref="E153:G153" si="34">SUBTOTAL(9,E150:E152)</f>
        <v>241</v>
      </c>
      <c r="F153" s="36">
        <f t="shared" si="34"/>
        <v>8394</v>
      </c>
      <c r="G153" s="36">
        <f t="shared" si="34"/>
        <v>1506</v>
      </c>
      <c r="H153" s="283"/>
      <c r="I153" s="150"/>
      <c r="J153" s="150"/>
      <c r="L153" s="33"/>
    </row>
    <row r="154" spans="1:12" x14ac:dyDescent="0.35">
      <c r="A154" s="25" t="s">
        <v>1556</v>
      </c>
      <c r="E154" s="33"/>
      <c r="I154" s="150"/>
      <c r="J154" s="150"/>
      <c r="L154" s="33"/>
    </row>
    <row r="155" spans="1:12" x14ac:dyDescent="0.35">
      <c r="B155" s="26" t="s">
        <v>575</v>
      </c>
      <c r="C155" s="52">
        <v>10</v>
      </c>
      <c r="D155" s="33">
        <v>28168</v>
      </c>
      <c r="E155" s="33">
        <f t="shared" si="26"/>
        <v>2816.8</v>
      </c>
      <c r="F155" s="33">
        <v>15492</v>
      </c>
      <c r="G155" s="33">
        <f t="shared" ref="G155:G165" si="35">D155-F155</f>
        <v>12676</v>
      </c>
      <c r="H155" s="283">
        <f>'Inch_Ft Piping'!$I$29</f>
        <v>0.45430994088953769</v>
      </c>
      <c r="I155" s="150">
        <f t="shared" si="21"/>
        <v>5758.8328107157795</v>
      </c>
      <c r="J155" s="150">
        <f t="shared" ref="J155:J161" si="36">E155*H155</f>
        <v>1279.7002414976498</v>
      </c>
      <c r="L155" s="33">
        <f t="shared" ref="L155:L165" si="37">IF(D155-(F155+E155)&lt;0,-E155,0)</f>
        <v>0</v>
      </c>
    </row>
    <row r="156" spans="1:12" x14ac:dyDescent="0.35">
      <c r="B156" s="26" t="s">
        <v>576</v>
      </c>
      <c r="C156" s="52">
        <v>7</v>
      </c>
      <c r="D156" s="33">
        <v>5615.59</v>
      </c>
      <c r="E156" s="33">
        <f t="shared" si="26"/>
        <v>802.22714285714289</v>
      </c>
      <c r="F156" s="33">
        <v>3209</v>
      </c>
      <c r="G156" s="33">
        <f t="shared" si="35"/>
        <v>2406.59</v>
      </c>
      <c r="H156" s="283">
        <f>'Inch_Ft Piping'!$I$29</f>
        <v>0.45430994088953769</v>
      </c>
      <c r="I156" s="150">
        <f t="shared" si="21"/>
        <v>1093.3377606453525</v>
      </c>
      <c r="J156" s="150">
        <f t="shared" si="36"/>
        <v>364.4597658514113</v>
      </c>
      <c r="L156" s="33">
        <f t="shared" si="37"/>
        <v>0</v>
      </c>
    </row>
    <row r="157" spans="1:12" x14ac:dyDescent="0.35">
      <c r="B157" s="26" t="s">
        <v>577</v>
      </c>
      <c r="C157" s="52">
        <v>7</v>
      </c>
      <c r="D157" s="33">
        <v>2316</v>
      </c>
      <c r="E157" s="33">
        <f t="shared" si="26"/>
        <v>330.85714285714283</v>
      </c>
      <c r="F157" s="33">
        <v>1323</v>
      </c>
      <c r="G157" s="33">
        <f t="shared" si="35"/>
        <v>993</v>
      </c>
      <c r="H157" s="283">
        <f>'Inch_Ft Piping'!$I$29</f>
        <v>0.45430994088953769</v>
      </c>
      <c r="I157" s="150">
        <f t="shared" si="21"/>
        <v>451.12977130331092</v>
      </c>
      <c r="J157" s="150">
        <f t="shared" si="36"/>
        <v>150.31168901430988</v>
      </c>
      <c r="L157" s="33">
        <f t="shared" si="37"/>
        <v>0</v>
      </c>
    </row>
    <row r="158" spans="1:12" x14ac:dyDescent="0.35">
      <c r="B158" s="26" t="s">
        <v>578</v>
      </c>
      <c r="C158" s="52">
        <v>7</v>
      </c>
      <c r="D158" s="33">
        <v>1987.28</v>
      </c>
      <c r="E158" s="33">
        <f t="shared" si="26"/>
        <v>283.89714285714285</v>
      </c>
      <c r="F158" s="33">
        <v>1136</v>
      </c>
      <c r="G158" s="33">
        <f t="shared" si="35"/>
        <v>851.28</v>
      </c>
      <c r="H158" s="283">
        <f>'Inch_Ft Piping'!$I$29</f>
        <v>0.45430994088953769</v>
      </c>
      <c r="I158" s="150">
        <f t="shared" si="21"/>
        <v>386.74496648044561</v>
      </c>
      <c r="J158" s="150">
        <f t="shared" si="36"/>
        <v>128.9772941901372</v>
      </c>
      <c r="L158" s="33">
        <f t="shared" si="37"/>
        <v>0</v>
      </c>
    </row>
    <row r="159" spans="1:12" x14ac:dyDescent="0.35">
      <c r="B159" s="26" t="s">
        <v>579</v>
      </c>
      <c r="C159" s="52">
        <v>7</v>
      </c>
      <c r="D159" s="33">
        <v>6785.9400000000005</v>
      </c>
      <c r="E159" s="33">
        <f t="shared" si="26"/>
        <v>969.42000000000007</v>
      </c>
      <c r="F159" s="33">
        <v>3878</v>
      </c>
      <c r="G159" s="33">
        <f t="shared" si="35"/>
        <v>2907.9400000000005</v>
      </c>
      <c r="H159" s="283">
        <f>'Inch_Ft Piping'!$I$29</f>
        <v>0.45430994088953769</v>
      </c>
      <c r="I159" s="150">
        <f t="shared" si="21"/>
        <v>1321.1060495103225</v>
      </c>
      <c r="J159" s="150">
        <f t="shared" si="36"/>
        <v>440.41714289713565</v>
      </c>
      <c r="L159" s="33">
        <f t="shared" si="37"/>
        <v>0</v>
      </c>
    </row>
    <row r="160" spans="1:12" x14ac:dyDescent="0.35">
      <c r="B160" s="26" t="s">
        <v>675</v>
      </c>
      <c r="C160" s="52">
        <v>35</v>
      </c>
      <c r="D160" s="33">
        <v>3573.03</v>
      </c>
      <c r="E160" s="33">
        <f t="shared" si="26"/>
        <v>102.08657142857143</v>
      </c>
      <c r="F160" s="33">
        <v>383</v>
      </c>
      <c r="G160" s="33">
        <f t="shared" si="35"/>
        <v>3190.03</v>
      </c>
      <c r="H160" s="283">
        <f>'Inch_Ft Piping'!$I$29</f>
        <v>0.45430994088953769</v>
      </c>
      <c r="I160" s="150">
        <f>G160*H160</f>
        <v>1449.2623407358519</v>
      </c>
      <c r="J160" s="150">
        <f t="shared" si="36"/>
        <v>46.378944231329854</v>
      </c>
      <c r="L160" s="33">
        <f t="shared" si="37"/>
        <v>0</v>
      </c>
    </row>
    <row r="161" spans="1:14" x14ac:dyDescent="0.35">
      <c r="B161" s="26" t="s">
        <v>1052</v>
      </c>
      <c r="C161" s="52">
        <v>10</v>
      </c>
      <c r="D161" s="33">
        <v>4444.01</v>
      </c>
      <c r="E161" s="33">
        <f t="shared" si="26"/>
        <v>444.40100000000001</v>
      </c>
      <c r="F161" s="33">
        <v>1147</v>
      </c>
      <c r="G161" s="33">
        <f t="shared" si="35"/>
        <v>3297.01</v>
      </c>
      <c r="H161" s="283">
        <f>'Inch_Ft Piping'!$I$29</f>
        <v>0.45430994088953769</v>
      </c>
      <c r="I161" s="150">
        <f>G161*H161</f>
        <v>1497.8644182122148</v>
      </c>
      <c r="J161" s="150">
        <f t="shared" si="36"/>
        <v>201.89579204125144</v>
      </c>
      <c r="L161" s="33">
        <f t="shared" si="37"/>
        <v>0</v>
      </c>
    </row>
    <row r="162" spans="1:14" x14ac:dyDescent="0.35">
      <c r="B162" s="26" t="s">
        <v>1525</v>
      </c>
      <c r="C162" s="52">
        <v>10</v>
      </c>
      <c r="D162" s="33">
        <v>134987</v>
      </c>
      <c r="E162" s="33">
        <v>10124</v>
      </c>
      <c r="F162" s="33">
        <v>10124</v>
      </c>
      <c r="G162" s="33">
        <f t="shared" si="35"/>
        <v>124863</v>
      </c>
      <c r="H162" s="283">
        <f>'Inch_Ft Piping'!$I$29</f>
        <v>0.45430994088953769</v>
      </c>
      <c r="I162" s="150">
        <f t="shared" ref="I162:I165" si="38">G162*H162</f>
        <v>56726.502149290347</v>
      </c>
      <c r="J162" s="150">
        <f t="shared" ref="J162:J165" si="39">E162*H162</f>
        <v>4599.4338415656794</v>
      </c>
      <c r="L162" s="33">
        <f t="shared" si="37"/>
        <v>0</v>
      </c>
    </row>
    <row r="163" spans="1:14" x14ac:dyDescent="0.35">
      <c r="B163" s="26" t="s">
        <v>1526</v>
      </c>
      <c r="C163" s="52">
        <v>7</v>
      </c>
      <c r="D163" s="33">
        <v>24395</v>
      </c>
      <c r="E163" s="33">
        <v>2613</v>
      </c>
      <c r="F163" s="33">
        <v>2613</v>
      </c>
      <c r="G163" s="33">
        <f t="shared" si="35"/>
        <v>21782</v>
      </c>
      <c r="H163" s="283">
        <f>'Inch_Ft Piping'!$I$29</f>
        <v>0.45430994088953769</v>
      </c>
      <c r="I163" s="150">
        <f t="shared" si="38"/>
        <v>9895.7791324559093</v>
      </c>
      <c r="J163" s="150">
        <f t="shared" si="39"/>
        <v>1187.111875544362</v>
      </c>
      <c r="L163" s="33">
        <f t="shared" si="37"/>
        <v>0</v>
      </c>
    </row>
    <row r="164" spans="1:14" x14ac:dyDescent="0.35">
      <c r="B164" s="26" t="s">
        <v>1527</v>
      </c>
      <c r="C164" s="52">
        <v>10</v>
      </c>
      <c r="D164" s="33">
        <v>25758</v>
      </c>
      <c r="E164" s="33">
        <v>859</v>
      </c>
      <c r="F164" s="33">
        <v>859</v>
      </c>
      <c r="G164" s="33">
        <f t="shared" si="35"/>
        <v>24899</v>
      </c>
      <c r="H164" s="283">
        <f>'Inch_Ft Piping'!$I$29</f>
        <v>0.45430994088953769</v>
      </c>
      <c r="I164" s="150">
        <f t="shared" si="38"/>
        <v>11311.863218208598</v>
      </c>
      <c r="J164" s="150">
        <f t="shared" si="39"/>
        <v>390.25223922411288</v>
      </c>
      <c r="L164" s="33">
        <f t="shared" si="37"/>
        <v>0</v>
      </c>
    </row>
    <row r="165" spans="1:14" x14ac:dyDescent="0.35">
      <c r="B165" s="26" t="s">
        <v>1528</v>
      </c>
      <c r="C165" s="52">
        <v>7</v>
      </c>
      <c r="D165" s="33">
        <v>1352</v>
      </c>
      <c r="E165" s="33">
        <v>0</v>
      </c>
      <c r="F165" s="33">
        <v>0</v>
      </c>
      <c r="G165" s="33">
        <f t="shared" si="35"/>
        <v>1352</v>
      </c>
      <c r="H165" s="283">
        <f>'Inch_Ft Piping'!$I$29</f>
        <v>0.45430994088953769</v>
      </c>
      <c r="I165" s="150">
        <f t="shared" si="38"/>
        <v>614.22704008265498</v>
      </c>
      <c r="J165" s="150">
        <f t="shared" si="39"/>
        <v>0</v>
      </c>
      <c r="L165" s="33">
        <f t="shared" si="37"/>
        <v>0</v>
      </c>
    </row>
    <row r="166" spans="1:14" x14ac:dyDescent="0.35">
      <c r="B166" s="25" t="s">
        <v>234</v>
      </c>
      <c r="C166" s="27"/>
      <c r="D166" s="36">
        <f>SUBTOTAL(9,D155:D165)</f>
        <v>239381.85</v>
      </c>
      <c r="E166" s="36">
        <f t="shared" ref="E166:G166" si="40">SUBTOTAL(9,E155:E165)</f>
        <v>19345.688999999998</v>
      </c>
      <c r="F166" s="36">
        <f t="shared" si="40"/>
        <v>40164</v>
      </c>
      <c r="G166" s="36">
        <f t="shared" si="40"/>
        <v>199217.85</v>
      </c>
      <c r="H166" s="283"/>
      <c r="I166" s="150"/>
      <c r="J166" s="150"/>
      <c r="L166" s="33"/>
    </row>
    <row r="167" spans="1:14" x14ac:dyDescent="0.35">
      <c r="A167" s="25" t="s">
        <v>1555</v>
      </c>
      <c r="C167" s="52"/>
      <c r="E167" s="33"/>
      <c r="I167" s="150"/>
      <c r="J167" s="150"/>
      <c r="L167" s="33"/>
    </row>
    <row r="168" spans="1:14" x14ac:dyDescent="0.35">
      <c r="B168" s="26" t="s">
        <v>580</v>
      </c>
      <c r="C168" s="52">
        <v>10</v>
      </c>
      <c r="D168" s="33">
        <v>27810</v>
      </c>
      <c r="E168" s="33">
        <v>0</v>
      </c>
      <c r="F168" s="33">
        <v>27810</v>
      </c>
      <c r="G168" s="33">
        <f>D168-F168</f>
        <v>0</v>
      </c>
      <c r="H168" s="283">
        <f>'Inch_Ft Piping'!I29</f>
        <v>0.45430994088953769</v>
      </c>
      <c r="I168" s="150">
        <f t="shared" si="21"/>
        <v>0</v>
      </c>
      <c r="J168" s="150">
        <f>E168*H168</f>
        <v>0</v>
      </c>
      <c r="L168" s="33">
        <f>IF(D168-(F168+E168)&lt;0,-E168,0)</f>
        <v>0</v>
      </c>
      <c r="N168" s="44"/>
    </row>
    <row r="169" spans="1:14" x14ac:dyDescent="0.35">
      <c r="B169" s="25" t="s">
        <v>234</v>
      </c>
      <c r="C169" s="27"/>
      <c r="D169" s="36">
        <f>SUBTOTAL(9,D168)</f>
        <v>27810</v>
      </c>
      <c r="E169" s="36">
        <f t="shared" ref="E169:G169" si="41">SUBTOTAL(9,E168)</f>
        <v>0</v>
      </c>
      <c r="F169" s="36">
        <f t="shared" si="41"/>
        <v>27810</v>
      </c>
      <c r="G169" s="36">
        <f t="shared" si="41"/>
        <v>0</v>
      </c>
      <c r="H169" s="283"/>
      <c r="I169" s="150"/>
      <c r="J169" s="150"/>
      <c r="L169" s="33"/>
      <c r="N169" s="44"/>
    </row>
    <row r="170" spans="1:14" x14ac:dyDescent="0.35">
      <c r="A170" s="25" t="s">
        <v>1557</v>
      </c>
      <c r="E170" s="33"/>
      <c r="I170" s="150"/>
      <c r="J170" s="150"/>
      <c r="L170" s="33"/>
    </row>
    <row r="171" spans="1:14" x14ac:dyDescent="0.35">
      <c r="B171" s="26" t="s">
        <v>581</v>
      </c>
      <c r="C171" s="52">
        <v>10</v>
      </c>
      <c r="D171" s="33">
        <v>34600</v>
      </c>
      <c r="E171" s="33">
        <f t="shared" si="26"/>
        <v>3460</v>
      </c>
      <c r="F171" s="33">
        <v>22490</v>
      </c>
      <c r="G171" s="33">
        <f t="shared" ref="G171:G190" si="42">D171-F171</f>
        <v>12110</v>
      </c>
      <c r="H171" s="258">
        <v>1</v>
      </c>
      <c r="I171" s="150">
        <f t="shared" si="21"/>
        <v>12110</v>
      </c>
      <c r="J171" s="150">
        <f t="shared" ref="J171:J183" si="43">E171*H171</f>
        <v>3460</v>
      </c>
      <c r="L171" s="33">
        <f t="shared" ref="L171:L190" si="44">IF(D171-(F171+E171)&lt;0,-E171,0)</f>
        <v>0</v>
      </c>
    </row>
    <row r="172" spans="1:14" x14ac:dyDescent="0.35">
      <c r="B172" s="26" t="s">
        <v>582</v>
      </c>
      <c r="C172" s="52">
        <v>10</v>
      </c>
      <c r="D172" s="33">
        <v>17000</v>
      </c>
      <c r="E172" s="33">
        <f t="shared" si="26"/>
        <v>1700</v>
      </c>
      <c r="F172" s="33">
        <v>12086</v>
      </c>
      <c r="G172" s="33">
        <f t="shared" si="42"/>
        <v>4914</v>
      </c>
      <c r="H172" s="258">
        <v>1</v>
      </c>
      <c r="I172" s="150">
        <f t="shared" si="21"/>
        <v>4914</v>
      </c>
      <c r="J172" s="150">
        <f t="shared" si="43"/>
        <v>1700</v>
      </c>
      <c r="L172" s="33">
        <f t="shared" si="44"/>
        <v>0</v>
      </c>
    </row>
    <row r="173" spans="1:14" x14ac:dyDescent="0.35">
      <c r="B173" s="26" t="s">
        <v>583</v>
      </c>
      <c r="C173" s="52">
        <v>10</v>
      </c>
      <c r="D173" s="33">
        <v>12217</v>
      </c>
      <c r="E173" s="33">
        <f t="shared" si="26"/>
        <v>1221.7</v>
      </c>
      <c r="F173" s="33">
        <v>6108</v>
      </c>
      <c r="G173" s="33">
        <f t="shared" si="42"/>
        <v>6109</v>
      </c>
      <c r="H173" s="258">
        <v>1</v>
      </c>
      <c r="I173" s="150">
        <f t="shared" si="21"/>
        <v>6109</v>
      </c>
      <c r="J173" s="150">
        <f t="shared" si="43"/>
        <v>1221.7</v>
      </c>
      <c r="L173" s="33">
        <f t="shared" si="44"/>
        <v>0</v>
      </c>
    </row>
    <row r="174" spans="1:14" x14ac:dyDescent="0.35">
      <c r="B174" s="26" t="s">
        <v>584</v>
      </c>
      <c r="C174" s="52">
        <v>10</v>
      </c>
      <c r="D174" s="33">
        <v>8998</v>
      </c>
      <c r="E174" s="33">
        <f t="shared" si="26"/>
        <v>899.8</v>
      </c>
      <c r="F174" s="33">
        <v>4499</v>
      </c>
      <c r="G174" s="33">
        <f t="shared" si="42"/>
        <v>4499</v>
      </c>
      <c r="H174" s="258">
        <v>1</v>
      </c>
      <c r="I174" s="150">
        <f t="shared" si="21"/>
        <v>4499</v>
      </c>
      <c r="J174" s="150">
        <f t="shared" si="43"/>
        <v>899.8</v>
      </c>
      <c r="L174" s="33">
        <f t="shared" si="44"/>
        <v>0</v>
      </c>
    </row>
    <row r="175" spans="1:14" x14ac:dyDescent="0.35">
      <c r="B175" s="26" t="s">
        <v>585</v>
      </c>
      <c r="C175" s="52">
        <v>25</v>
      </c>
      <c r="D175" s="33">
        <v>11614.960000000001</v>
      </c>
      <c r="E175" s="33">
        <f t="shared" si="26"/>
        <v>464.59840000000003</v>
      </c>
      <c r="F175" s="33">
        <v>1858</v>
      </c>
      <c r="G175" s="33">
        <f t="shared" si="42"/>
        <v>9756.9600000000009</v>
      </c>
      <c r="H175" s="258">
        <v>1</v>
      </c>
      <c r="I175" s="150">
        <f t="shared" si="21"/>
        <v>9756.9600000000009</v>
      </c>
      <c r="J175" s="150">
        <f t="shared" si="43"/>
        <v>464.59840000000003</v>
      </c>
      <c r="L175" s="33">
        <f t="shared" si="44"/>
        <v>0</v>
      </c>
    </row>
    <row r="176" spans="1:14" x14ac:dyDescent="0.35">
      <c r="B176" s="26" t="s">
        <v>586</v>
      </c>
      <c r="C176" s="52">
        <v>7</v>
      </c>
      <c r="D176" s="33">
        <v>2024.17</v>
      </c>
      <c r="E176" s="33">
        <f t="shared" si="26"/>
        <v>289.16714285714289</v>
      </c>
      <c r="F176" s="33">
        <v>1157</v>
      </c>
      <c r="G176" s="33">
        <f t="shared" si="42"/>
        <v>867.17000000000007</v>
      </c>
      <c r="H176" s="258">
        <v>1</v>
      </c>
      <c r="I176" s="150">
        <f t="shared" si="21"/>
        <v>867.17000000000007</v>
      </c>
      <c r="J176" s="150">
        <f t="shared" si="43"/>
        <v>289.16714285714289</v>
      </c>
      <c r="L176" s="33">
        <f t="shared" si="44"/>
        <v>0</v>
      </c>
    </row>
    <row r="177" spans="1:12" x14ac:dyDescent="0.35">
      <c r="B177" s="26" t="s">
        <v>587</v>
      </c>
      <c r="C177" s="52">
        <v>7</v>
      </c>
      <c r="D177" s="33">
        <v>9024.27</v>
      </c>
      <c r="E177" s="33">
        <f t="shared" si="26"/>
        <v>1289.1814285714286</v>
      </c>
      <c r="F177" s="33">
        <v>5156</v>
      </c>
      <c r="G177" s="33">
        <f t="shared" si="42"/>
        <v>3868.2700000000004</v>
      </c>
      <c r="H177" s="258">
        <v>1</v>
      </c>
      <c r="I177" s="150">
        <f t="shared" si="21"/>
        <v>3868.2700000000004</v>
      </c>
      <c r="J177" s="150">
        <f t="shared" si="43"/>
        <v>1289.1814285714286</v>
      </c>
      <c r="L177" s="33">
        <f t="shared" si="44"/>
        <v>0</v>
      </c>
    </row>
    <row r="178" spans="1:12" x14ac:dyDescent="0.35">
      <c r="B178" s="26" t="s">
        <v>588</v>
      </c>
      <c r="C178" s="52">
        <v>7</v>
      </c>
      <c r="D178" s="33">
        <v>7527</v>
      </c>
      <c r="E178" s="33">
        <f t="shared" si="26"/>
        <v>1075.2857142857142</v>
      </c>
      <c r="F178" s="33">
        <v>4302</v>
      </c>
      <c r="G178" s="33">
        <f t="shared" si="42"/>
        <v>3225</v>
      </c>
      <c r="H178" s="258">
        <v>1</v>
      </c>
      <c r="I178" s="150">
        <f t="shared" si="21"/>
        <v>3225</v>
      </c>
      <c r="J178" s="150">
        <f t="shared" si="43"/>
        <v>1075.2857142857142</v>
      </c>
      <c r="L178" s="33">
        <f t="shared" si="44"/>
        <v>0</v>
      </c>
    </row>
    <row r="179" spans="1:12" x14ac:dyDescent="0.35">
      <c r="B179" s="26" t="s">
        <v>589</v>
      </c>
      <c r="C179" s="52">
        <v>7</v>
      </c>
      <c r="D179" s="33">
        <v>23499.56</v>
      </c>
      <c r="E179" s="33">
        <v>3357.08</v>
      </c>
      <c r="F179" s="33">
        <v>12847</v>
      </c>
      <c r="G179" s="33">
        <f t="shared" si="42"/>
        <v>10652.560000000001</v>
      </c>
      <c r="H179" s="258">
        <v>1</v>
      </c>
      <c r="I179" s="150">
        <f t="shared" si="21"/>
        <v>10652.560000000001</v>
      </c>
      <c r="J179" s="150">
        <f t="shared" si="43"/>
        <v>3357.08</v>
      </c>
      <c r="L179" s="33">
        <f t="shared" si="44"/>
        <v>0</v>
      </c>
    </row>
    <row r="180" spans="1:12" x14ac:dyDescent="0.35">
      <c r="B180" s="26" t="s">
        <v>590</v>
      </c>
      <c r="C180" s="52">
        <v>10</v>
      </c>
      <c r="D180" s="33">
        <v>2069.52</v>
      </c>
      <c r="E180" s="352">
        <v>206.95</v>
      </c>
      <c r="F180" s="33">
        <v>799</v>
      </c>
      <c r="G180" s="33">
        <f t="shared" si="42"/>
        <v>1270.52</v>
      </c>
      <c r="H180" s="258">
        <v>1</v>
      </c>
      <c r="I180" s="150">
        <f t="shared" si="21"/>
        <v>1270.52</v>
      </c>
      <c r="J180" s="150">
        <f t="shared" si="43"/>
        <v>206.95</v>
      </c>
      <c r="L180" s="33">
        <f t="shared" si="44"/>
        <v>0</v>
      </c>
    </row>
    <row r="181" spans="1:12" x14ac:dyDescent="0.35">
      <c r="B181" s="26" t="s">
        <v>1053</v>
      </c>
      <c r="C181" s="52">
        <v>7</v>
      </c>
      <c r="D181" s="33">
        <v>1842.55</v>
      </c>
      <c r="E181" s="33">
        <f t="shared" si="26"/>
        <v>263.22142857142859</v>
      </c>
      <c r="F181" s="33">
        <v>724</v>
      </c>
      <c r="G181" s="33">
        <f t="shared" si="42"/>
        <v>1118.55</v>
      </c>
      <c r="H181" s="258">
        <v>1</v>
      </c>
      <c r="I181" s="150">
        <f>G181*H181</f>
        <v>1118.55</v>
      </c>
      <c r="J181" s="150">
        <f t="shared" si="43"/>
        <v>263.22142857142859</v>
      </c>
      <c r="L181" s="33">
        <f t="shared" si="44"/>
        <v>0</v>
      </c>
    </row>
    <row r="182" spans="1:12" x14ac:dyDescent="0.35">
      <c r="B182" s="26" t="s">
        <v>1054</v>
      </c>
      <c r="C182" s="52">
        <v>10</v>
      </c>
      <c r="D182" s="33">
        <v>17163.810000000001</v>
      </c>
      <c r="E182" s="33">
        <f t="shared" si="26"/>
        <v>1716.3810000000001</v>
      </c>
      <c r="F182" s="33">
        <v>4005</v>
      </c>
      <c r="G182" s="33">
        <f t="shared" si="42"/>
        <v>13158.810000000001</v>
      </c>
      <c r="H182" s="258">
        <v>1</v>
      </c>
      <c r="I182" s="150">
        <f>G182*H182</f>
        <v>13158.810000000001</v>
      </c>
      <c r="J182" s="150">
        <f t="shared" si="43"/>
        <v>1716.3810000000001</v>
      </c>
      <c r="L182" s="33">
        <f t="shared" si="44"/>
        <v>0</v>
      </c>
    </row>
    <row r="183" spans="1:12" x14ac:dyDescent="0.35">
      <c r="B183" s="26" t="s">
        <v>1154</v>
      </c>
      <c r="C183" s="52">
        <v>10</v>
      </c>
      <c r="D183" s="33">
        <v>4540.47</v>
      </c>
      <c r="E183" s="33">
        <v>454</v>
      </c>
      <c r="F183" s="33">
        <v>643</v>
      </c>
      <c r="G183" s="33">
        <f t="shared" si="42"/>
        <v>3897.4700000000003</v>
      </c>
      <c r="H183" s="258">
        <v>1</v>
      </c>
      <c r="I183" s="150">
        <f>G183*H183</f>
        <v>3897.4700000000003</v>
      </c>
      <c r="J183" s="150">
        <f t="shared" si="43"/>
        <v>454</v>
      </c>
      <c r="L183" s="33">
        <f t="shared" si="44"/>
        <v>0</v>
      </c>
    </row>
    <row r="184" spans="1:12" x14ac:dyDescent="0.35">
      <c r="B184" s="26" t="s">
        <v>1529</v>
      </c>
      <c r="C184" s="52">
        <v>15</v>
      </c>
      <c r="D184" s="33">
        <v>699</v>
      </c>
      <c r="E184" s="33">
        <v>35</v>
      </c>
      <c r="F184" s="33">
        <v>36</v>
      </c>
      <c r="G184" s="33">
        <f t="shared" si="42"/>
        <v>663</v>
      </c>
      <c r="H184" s="258">
        <v>1</v>
      </c>
      <c r="I184" s="150">
        <f t="shared" ref="I184:I190" si="45">G184*H184</f>
        <v>663</v>
      </c>
      <c r="J184" s="150">
        <f t="shared" ref="J184:J190" si="46">E184*H184</f>
        <v>35</v>
      </c>
      <c r="L184" s="33">
        <f t="shared" si="44"/>
        <v>0</v>
      </c>
    </row>
    <row r="185" spans="1:12" x14ac:dyDescent="0.35">
      <c r="B185" s="26" t="s">
        <v>1530</v>
      </c>
      <c r="C185" s="52">
        <v>15</v>
      </c>
      <c r="D185" s="33">
        <v>610</v>
      </c>
      <c r="E185" s="33">
        <v>31</v>
      </c>
      <c r="F185" s="33">
        <v>31</v>
      </c>
      <c r="G185" s="33">
        <f t="shared" si="42"/>
        <v>579</v>
      </c>
      <c r="H185" s="258">
        <v>1</v>
      </c>
      <c r="I185" s="150">
        <f t="shared" si="45"/>
        <v>579</v>
      </c>
      <c r="J185" s="150">
        <f t="shared" si="46"/>
        <v>31</v>
      </c>
      <c r="L185" s="33">
        <f t="shared" si="44"/>
        <v>0</v>
      </c>
    </row>
    <row r="186" spans="1:12" x14ac:dyDescent="0.35">
      <c r="B186" s="26" t="s">
        <v>1531</v>
      </c>
      <c r="C186" s="52">
        <v>10</v>
      </c>
      <c r="D186" s="33">
        <v>1400</v>
      </c>
      <c r="E186" s="33">
        <v>81</v>
      </c>
      <c r="F186" s="33">
        <v>81</v>
      </c>
      <c r="G186" s="33">
        <f t="shared" si="42"/>
        <v>1319</v>
      </c>
      <c r="H186" s="258">
        <v>1</v>
      </c>
      <c r="I186" s="150">
        <f t="shared" si="45"/>
        <v>1319</v>
      </c>
      <c r="J186" s="150">
        <f t="shared" si="46"/>
        <v>81</v>
      </c>
      <c r="L186" s="33">
        <f t="shared" si="44"/>
        <v>0</v>
      </c>
    </row>
    <row r="187" spans="1:12" x14ac:dyDescent="0.35">
      <c r="B187" s="26" t="s">
        <v>1532</v>
      </c>
      <c r="C187" s="52">
        <v>10</v>
      </c>
      <c r="D187" s="33">
        <v>1400</v>
      </c>
      <c r="E187" s="33">
        <v>81</v>
      </c>
      <c r="F187" s="33">
        <v>81</v>
      </c>
      <c r="G187" s="33">
        <f t="shared" si="42"/>
        <v>1319</v>
      </c>
      <c r="H187" s="258">
        <v>1</v>
      </c>
      <c r="I187" s="150">
        <f t="shared" si="45"/>
        <v>1319</v>
      </c>
      <c r="J187" s="150">
        <f t="shared" si="46"/>
        <v>81</v>
      </c>
      <c r="L187" s="33">
        <f t="shared" si="44"/>
        <v>0</v>
      </c>
    </row>
    <row r="188" spans="1:12" x14ac:dyDescent="0.35">
      <c r="B188" s="26" t="s">
        <v>1533</v>
      </c>
      <c r="C188" s="52">
        <v>10</v>
      </c>
      <c r="D188" s="33">
        <v>17980</v>
      </c>
      <c r="E188" s="33">
        <v>899</v>
      </c>
      <c r="F188" s="33">
        <v>900</v>
      </c>
      <c r="G188" s="33">
        <f t="shared" si="42"/>
        <v>17080</v>
      </c>
      <c r="H188" s="258">
        <v>1</v>
      </c>
      <c r="I188" s="150">
        <f t="shared" si="45"/>
        <v>17080</v>
      </c>
      <c r="J188" s="150">
        <f t="shared" si="46"/>
        <v>899</v>
      </c>
      <c r="L188" s="33">
        <f t="shared" si="44"/>
        <v>0</v>
      </c>
    </row>
    <row r="189" spans="1:12" x14ac:dyDescent="0.35">
      <c r="B189" s="26" t="s">
        <v>1534</v>
      </c>
      <c r="C189" s="52">
        <v>7</v>
      </c>
      <c r="D189" s="33">
        <v>3105</v>
      </c>
      <c r="E189" s="33">
        <v>148</v>
      </c>
      <c r="F189" s="33">
        <v>148</v>
      </c>
      <c r="G189" s="33">
        <f t="shared" si="42"/>
        <v>2957</v>
      </c>
      <c r="H189" s="258">
        <v>1</v>
      </c>
      <c r="I189" s="150">
        <f t="shared" si="45"/>
        <v>2957</v>
      </c>
      <c r="J189" s="150">
        <f t="shared" si="46"/>
        <v>148</v>
      </c>
      <c r="L189" s="33">
        <f t="shared" si="44"/>
        <v>0</v>
      </c>
    </row>
    <row r="190" spans="1:12" x14ac:dyDescent="0.35">
      <c r="B190" s="26" t="s">
        <v>1535</v>
      </c>
      <c r="C190" s="52">
        <v>10</v>
      </c>
      <c r="D190" s="33">
        <v>1012</v>
      </c>
      <c r="E190" s="33">
        <v>0</v>
      </c>
      <c r="F190" s="33">
        <v>0</v>
      </c>
      <c r="G190" s="33">
        <f t="shared" si="42"/>
        <v>1012</v>
      </c>
      <c r="H190" s="258">
        <v>1</v>
      </c>
      <c r="I190" s="150">
        <f t="shared" si="45"/>
        <v>1012</v>
      </c>
      <c r="J190" s="150">
        <f t="shared" si="46"/>
        <v>0</v>
      </c>
      <c r="L190" s="33">
        <f t="shared" si="44"/>
        <v>0</v>
      </c>
    </row>
    <row r="191" spans="1:12" x14ac:dyDescent="0.35">
      <c r="B191" s="25" t="s">
        <v>234</v>
      </c>
      <c r="C191" s="27"/>
      <c r="D191" s="36">
        <f>SUBTOTAL(9,D171:D190)</f>
        <v>178327.31000000003</v>
      </c>
      <c r="E191" s="36">
        <f t="shared" ref="E191:G191" si="47">SUBTOTAL(9,E171:E190)</f>
        <v>17672.365114285712</v>
      </c>
      <c r="F191" s="36">
        <f t="shared" si="47"/>
        <v>77951</v>
      </c>
      <c r="G191" s="36">
        <f t="shared" si="47"/>
        <v>100376.31</v>
      </c>
      <c r="H191" s="258"/>
      <c r="I191" s="150"/>
      <c r="J191" s="150"/>
      <c r="L191" s="33"/>
    </row>
    <row r="192" spans="1:12" x14ac:dyDescent="0.35">
      <c r="A192" s="25" t="s">
        <v>1558</v>
      </c>
      <c r="E192" s="33"/>
      <c r="I192" s="150"/>
      <c r="J192" s="150"/>
      <c r="L192" s="33"/>
    </row>
    <row r="193" spans="1:12" x14ac:dyDescent="0.35">
      <c r="B193" s="26" t="s">
        <v>591</v>
      </c>
      <c r="C193" s="52">
        <v>20</v>
      </c>
      <c r="D193" s="33">
        <v>7795</v>
      </c>
      <c r="E193" s="33">
        <f t="shared" si="26"/>
        <v>389.75</v>
      </c>
      <c r="F193" s="33">
        <v>4793</v>
      </c>
      <c r="G193" s="33">
        <f t="shared" ref="G193:G197" si="48">D193-F193</f>
        <v>3002</v>
      </c>
      <c r="H193" s="258">
        <v>1</v>
      </c>
      <c r="I193" s="150">
        <f t="shared" si="21"/>
        <v>3002</v>
      </c>
      <c r="J193" s="150">
        <f t="shared" ref="J193:J200" si="49">E193*H193</f>
        <v>389.75</v>
      </c>
      <c r="L193" s="33">
        <f t="shared" ref="L193:L200" si="50">IF(D193-(F193+E193)&lt;0,-E193,0)</f>
        <v>0</v>
      </c>
    </row>
    <row r="194" spans="1:12" x14ac:dyDescent="0.35">
      <c r="B194" s="26" t="s">
        <v>1055</v>
      </c>
      <c r="C194" s="52">
        <v>5</v>
      </c>
      <c r="D194" s="33">
        <v>1017.24</v>
      </c>
      <c r="E194" s="33">
        <f t="shared" si="26"/>
        <v>203.44800000000001</v>
      </c>
      <c r="F194" s="33">
        <v>593</v>
      </c>
      <c r="G194" s="33">
        <f t="shared" si="48"/>
        <v>424.24</v>
      </c>
      <c r="H194" s="258">
        <v>1</v>
      </c>
      <c r="I194" s="150">
        <f t="shared" si="21"/>
        <v>424.24</v>
      </c>
      <c r="J194" s="150">
        <f t="shared" si="49"/>
        <v>203.44800000000001</v>
      </c>
      <c r="L194" s="33">
        <f t="shared" si="50"/>
        <v>0</v>
      </c>
    </row>
    <row r="195" spans="1:12" x14ac:dyDescent="0.35">
      <c r="B195" s="26" t="s">
        <v>1056</v>
      </c>
      <c r="C195" s="52">
        <v>25</v>
      </c>
      <c r="D195" s="33">
        <v>6368.52</v>
      </c>
      <c r="E195" s="33">
        <f t="shared" si="26"/>
        <v>254.74080000000001</v>
      </c>
      <c r="F195" s="33">
        <v>594</v>
      </c>
      <c r="G195" s="33">
        <f t="shared" si="48"/>
        <v>5774.52</v>
      </c>
      <c r="H195" s="258">
        <v>1</v>
      </c>
      <c r="I195" s="150">
        <f t="shared" si="21"/>
        <v>5774.52</v>
      </c>
      <c r="J195" s="150">
        <f t="shared" si="49"/>
        <v>254.74080000000001</v>
      </c>
      <c r="L195" s="33">
        <f t="shared" si="50"/>
        <v>0</v>
      </c>
    </row>
    <row r="196" spans="1:12" x14ac:dyDescent="0.35">
      <c r="B196" s="26" t="s">
        <v>1057</v>
      </c>
      <c r="C196" s="52">
        <v>10</v>
      </c>
      <c r="D196" s="33">
        <v>10939</v>
      </c>
      <c r="E196" s="33">
        <f t="shared" si="26"/>
        <v>1093.9000000000001</v>
      </c>
      <c r="F196" s="33">
        <v>2527</v>
      </c>
      <c r="G196" s="33">
        <f t="shared" si="48"/>
        <v>8412</v>
      </c>
      <c r="H196" s="258">
        <v>1</v>
      </c>
      <c r="I196" s="150">
        <f t="shared" si="21"/>
        <v>8412</v>
      </c>
      <c r="J196" s="150">
        <f t="shared" si="49"/>
        <v>1093.9000000000001</v>
      </c>
      <c r="L196" s="33">
        <f t="shared" si="50"/>
        <v>0</v>
      </c>
    </row>
    <row r="197" spans="1:12" x14ac:dyDescent="0.35">
      <c r="B197" s="26" t="s">
        <v>1155</v>
      </c>
      <c r="C197" s="52">
        <v>35</v>
      </c>
      <c r="D197" s="33">
        <v>19044.150000000001</v>
      </c>
      <c r="E197" s="33">
        <v>544</v>
      </c>
      <c r="F197" s="33">
        <v>861</v>
      </c>
      <c r="G197" s="33">
        <f t="shared" si="48"/>
        <v>18183.150000000001</v>
      </c>
      <c r="H197" s="258">
        <v>1</v>
      </c>
      <c r="I197" s="150">
        <f>G197*H197</f>
        <v>18183.150000000001</v>
      </c>
      <c r="J197" s="150">
        <f t="shared" si="49"/>
        <v>544</v>
      </c>
      <c r="L197" s="33">
        <f t="shared" si="50"/>
        <v>0</v>
      </c>
    </row>
    <row r="198" spans="1:12" x14ac:dyDescent="0.35">
      <c r="B198" s="26" t="s">
        <v>1156</v>
      </c>
      <c r="C198" s="52">
        <v>10</v>
      </c>
      <c r="D198" s="33">
        <v>2280</v>
      </c>
      <c r="E198" s="33">
        <v>228</v>
      </c>
      <c r="F198" s="33">
        <v>361</v>
      </c>
      <c r="G198" s="33">
        <v>361</v>
      </c>
      <c r="H198" s="258">
        <v>1</v>
      </c>
      <c r="I198" s="150">
        <f>G198*H198</f>
        <v>361</v>
      </c>
      <c r="J198" s="150">
        <f t="shared" si="49"/>
        <v>228</v>
      </c>
      <c r="L198" s="33">
        <f t="shared" si="50"/>
        <v>0</v>
      </c>
    </row>
    <row r="199" spans="1:12" x14ac:dyDescent="0.35">
      <c r="B199" s="26" t="s">
        <v>1157</v>
      </c>
      <c r="C199" s="52">
        <v>7</v>
      </c>
      <c r="D199" s="33">
        <v>798.5</v>
      </c>
      <c r="E199" s="33">
        <v>114</v>
      </c>
      <c r="F199" s="33">
        <v>180</v>
      </c>
      <c r="G199" s="33">
        <v>180</v>
      </c>
      <c r="H199" s="258">
        <v>1</v>
      </c>
      <c r="I199" s="150">
        <f>G199*H199</f>
        <v>180</v>
      </c>
      <c r="J199" s="150">
        <f t="shared" si="49"/>
        <v>114</v>
      </c>
      <c r="L199" s="33">
        <f t="shared" si="50"/>
        <v>0</v>
      </c>
    </row>
    <row r="200" spans="1:12" x14ac:dyDescent="0.35">
      <c r="B200" s="26" t="s">
        <v>1158</v>
      </c>
      <c r="C200" s="52">
        <v>15</v>
      </c>
      <c r="D200" s="33">
        <v>5075</v>
      </c>
      <c r="E200" s="33">
        <v>338</v>
      </c>
      <c r="F200" s="33">
        <v>451</v>
      </c>
      <c r="G200" s="33">
        <v>451</v>
      </c>
      <c r="H200" s="258">
        <v>1</v>
      </c>
      <c r="I200" s="150">
        <f>G200*H200</f>
        <v>451</v>
      </c>
      <c r="J200" s="150">
        <f t="shared" si="49"/>
        <v>338</v>
      </c>
      <c r="L200" s="33">
        <f t="shared" si="50"/>
        <v>0</v>
      </c>
    </row>
    <row r="201" spans="1:12" x14ac:dyDescent="0.35">
      <c r="B201" s="25" t="s">
        <v>234</v>
      </c>
      <c r="C201" s="27"/>
      <c r="D201" s="36">
        <f>SUBTOTAL(9,D193:D200)</f>
        <v>53317.41</v>
      </c>
      <c r="E201" s="36">
        <f t="shared" ref="E201:G201" si="51">SUBTOTAL(9,E193:E200)</f>
        <v>3165.8388</v>
      </c>
      <c r="F201" s="36">
        <f t="shared" si="51"/>
        <v>10360</v>
      </c>
      <c r="G201" s="36">
        <f t="shared" si="51"/>
        <v>36787.910000000003</v>
      </c>
      <c r="H201" s="258"/>
      <c r="I201" s="150"/>
      <c r="J201" s="150"/>
      <c r="L201" s="33"/>
    </row>
    <row r="202" spans="1:12" x14ac:dyDescent="0.35">
      <c r="A202" s="25" t="s">
        <v>1559</v>
      </c>
      <c r="E202" s="33"/>
      <c r="F202" s="33"/>
      <c r="I202" s="150"/>
      <c r="J202" s="150"/>
      <c r="L202" s="33"/>
    </row>
    <row r="203" spans="1:12" x14ac:dyDescent="0.35">
      <c r="B203" s="26" t="s">
        <v>592</v>
      </c>
      <c r="C203" s="52">
        <v>7</v>
      </c>
      <c r="D203" s="33">
        <v>3009.57</v>
      </c>
      <c r="E203" s="33">
        <v>71</v>
      </c>
      <c r="F203" s="33">
        <v>1819</v>
      </c>
      <c r="G203" s="33">
        <f t="shared" ref="G203:G232" si="52">D203-F203</f>
        <v>1190.5700000000002</v>
      </c>
      <c r="H203" s="258">
        <v>0</v>
      </c>
      <c r="I203" s="150">
        <f t="shared" si="21"/>
        <v>0</v>
      </c>
      <c r="J203" s="150">
        <f t="shared" ref="J203:J226" si="53">E203*H203</f>
        <v>0</v>
      </c>
      <c r="L203" s="33">
        <f t="shared" ref="L203:L232" si="54">IF(D203-(F203+E203)&lt;0,-E203,0)</f>
        <v>0</v>
      </c>
    </row>
    <row r="204" spans="1:12" x14ac:dyDescent="0.35">
      <c r="B204" s="26" t="s">
        <v>593</v>
      </c>
      <c r="C204" s="52">
        <v>13</v>
      </c>
      <c r="D204" s="33">
        <v>4500</v>
      </c>
      <c r="E204" s="33">
        <v>465</v>
      </c>
      <c r="F204" s="33">
        <v>3686</v>
      </c>
      <c r="G204" s="33">
        <f t="shared" si="52"/>
        <v>814</v>
      </c>
      <c r="H204" s="258">
        <v>0</v>
      </c>
      <c r="I204" s="150">
        <f t="shared" si="21"/>
        <v>0</v>
      </c>
      <c r="J204" s="150">
        <f t="shared" si="53"/>
        <v>0</v>
      </c>
      <c r="L204" s="33">
        <f t="shared" si="54"/>
        <v>0</v>
      </c>
    </row>
    <row r="205" spans="1:12" x14ac:dyDescent="0.35">
      <c r="B205" s="26" t="s">
        <v>594</v>
      </c>
      <c r="C205" s="52">
        <v>8</v>
      </c>
      <c r="D205" s="33">
        <v>2799</v>
      </c>
      <c r="E205" s="33">
        <v>0</v>
      </c>
      <c r="F205" s="33">
        <v>2799</v>
      </c>
      <c r="G205" s="33">
        <f t="shared" si="52"/>
        <v>0</v>
      </c>
      <c r="H205" s="258">
        <v>0</v>
      </c>
      <c r="I205" s="150">
        <f t="shared" si="21"/>
        <v>0</v>
      </c>
      <c r="J205" s="150">
        <f t="shared" si="53"/>
        <v>0</v>
      </c>
      <c r="L205" s="33">
        <f t="shared" si="54"/>
        <v>0</v>
      </c>
    </row>
    <row r="206" spans="1:12" x14ac:dyDescent="0.35">
      <c r="B206" s="26" t="s">
        <v>595</v>
      </c>
      <c r="C206" s="52">
        <v>7</v>
      </c>
      <c r="D206" s="33">
        <v>2812.26</v>
      </c>
      <c r="E206" s="33">
        <f t="shared" si="26"/>
        <v>401.75142857142862</v>
      </c>
      <c r="F206" s="33">
        <v>1814</v>
      </c>
      <c r="G206" s="33">
        <f t="shared" si="52"/>
        <v>998.26000000000022</v>
      </c>
      <c r="H206" s="258">
        <v>0</v>
      </c>
      <c r="I206" s="150">
        <f t="shared" si="21"/>
        <v>0</v>
      </c>
      <c r="J206" s="150">
        <f t="shared" si="53"/>
        <v>0</v>
      </c>
      <c r="L206" s="33">
        <f t="shared" si="54"/>
        <v>0</v>
      </c>
    </row>
    <row r="207" spans="1:12" x14ac:dyDescent="0.35">
      <c r="B207" s="26" t="s">
        <v>596</v>
      </c>
      <c r="C207" s="52">
        <v>10</v>
      </c>
      <c r="D207" s="33">
        <v>1064.7</v>
      </c>
      <c r="E207" s="33">
        <f t="shared" si="26"/>
        <v>106.47</v>
      </c>
      <c r="F207" s="33">
        <v>501</v>
      </c>
      <c r="G207" s="33">
        <f t="shared" si="52"/>
        <v>563.70000000000005</v>
      </c>
      <c r="H207" s="258">
        <v>0</v>
      </c>
      <c r="I207" s="150">
        <f t="shared" si="21"/>
        <v>0</v>
      </c>
      <c r="J207" s="150">
        <f t="shared" si="53"/>
        <v>0</v>
      </c>
      <c r="L207" s="33">
        <f t="shared" si="54"/>
        <v>0</v>
      </c>
    </row>
    <row r="208" spans="1:12" x14ac:dyDescent="0.35">
      <c r="B208" s="26" t="s">
        <v>597</v>
      </c>
      <c r="C208" s="52">
        <v>10</v>
      </c>
      <c r="D208" s="33">
        <v>4575</v>
      </c>
      <c r="E208" s="33">
        <f t="shared" si="26"/>
        <v>457.5</v>
      </c>
      <c r="F208" s="33">
        <v>2135</v>
      </c>
      <c r="G208" s="33">
        <f t="shared" si="52"/>
        <v>2440</v>
      </c>
      <c r="H208" s="258">
        <v>0</v>
      </c>
      <c r="I208" s="150">
        <f t="shared" si="21"/>
        <v>0</v>
      </c>
      <c r="J208" s="150">
        <f t="shared" si="53"/>
        <v>0</v>
      </c>
      <c r="L208" s="33">
        <f t="shared" si="54"/>
        <v>0</v>
      </c>
    </row>
    <row r="209" spans="2:12" x14ac:dyDescent="0.35">
      <c r="B209" s="26" t="s">
        <v>598</v>
      </c>
      <c r="C209" s="52">
        <v>10</v>
      </c>
      <c r="D209" s="33">
        <v>4878.8</v>
      </c>
      <c r="E209" s="33">
        <f t="shared" si="26"/>
        <v>487.88</v>
      </c>
      <c r="F209" s="33">
        <v>1992</v>
      </c>
      <c r="G209" s="33">
        <f t="shared" si="52"/>
        <v>2886.8</v>
      </c>
      <c r="H209" s="258">
        <v>0</v>
      </c>
      <c r="I209" s="150">
        <f t="shared" si="21"/>
        <v>0</v>
      </c>
      <c r="J209" s="150">
        <f t="shared" si="53"/>
        <v>0</v>
      </c>
      <c r="L209" s="33">
        <f t="shared" si="54"/>
        <v>0</v>
      </c>
    </row>
    <row r="210" spans="2:12" x14ac:dyDescent="0.35">
      <c r="B210" s="26" t="s">
        <v>599</v>
      </c>
      <c r="C210" s="52">
        <v>5</v>
      </c>
      <c r="D210" s="33">
        <v>467.2</v>
      </c>
      <c r="E210" s="33">
        <v>93.44</v>
      </c>
      <c r="F210" s="33">
        <v>273</v>
      </c>
      <c r="G210" s="33">
        <f t="shared" si="52"/>
        <v>194.2</v>
      </c>
      <c r="H210" s="258">
        <v>0</v>
      </c>
      <c r="I210" s="150">
        <f t="shared" si="21"/>
        <v>0</v>
      </c>
      <c r="J210" s="150">
        <f t="shared" si="53"/>
        <v>0</v>
      </c>
      <c r="L210" s="33">
        <f t="shared" si="54"/>
        <v>0</v>
      </c>
    </row>
    <row r="211" spans="2:12" x14ac:dyDescent="0.35">
      <c r="B211" s="26" t="s">
        <v>600</v>
      </c>
      <c r="C211" s="52">
        <v>10</v>
      </c>
      <c r="D211" s="33">
        <v>704.53</v>
      </c>
      <c r="E211" s="33">
        <f t="shared" ref="E211:E224" si="55">IF(D211&gt;F211,D211/C211,0)</f>
        <v>70.453000000000003</v>
      </c>
      <c r="F211" s="33">
        <v>264</v>
      </c>
      <c r="G211" s="33">
        <f t="shared" si="52"/>
        <v>440.53</v>
      </c>
      <c r="H211" s="258">
        <v>0</v>
      </c>
      <c r="I211" s="150">
        <f t="shared" si="21"/>
        <v>0</v>
      </c>
      <c r="J211" s="150">
        <f t="shared" si="53"/>
        <v>0</v>
      </c>
      <c r="L211" s="33">
        <f t="shared" si="54"/>
        <v>0</v>
      </c>
    </row>
    <row r="212" spans="2:12" x14ac:dyDescent="0.35">
      <c r="B212" s="26" t="s">
        <v>601</v>
      </c>
      <c r="C212" s="52">
        <v>10</v>
      </c>
      <c r="D212" s="33">
        <v>3657.54</v>
      </c>
      <c r="E212" s="33">
        <f t="shared" si="55"/>
        <v>365.75400000000002</v>
      </c>
      <c r="F212" s="33">
        <v>1372</v>
      </c>
      <c r="G212" s="33">
        <f t="shared" si="52"/>
        <v>2285.54</v>
      </c>
      <c r="H212" s="258">
        <v>0</v>
      </c>
      <c r="I212" s="150">
        <f t="shared" si="21"/>
        <v>0</v>
      </c>
      <c r="J212" s="150">
        <f t="shared" si="53"/>
        <v>0</v>
      </c>
      <c r="L212" s="33">
        <f t="shared" si="54"/>
        <v>0</v>
      </c>
    </row>
    <row r="213" spans="2:12" x14ac:dyDescent="0.35">
      <c r="B213" s="26" t="s">
        <v>602</v>
      </c>
      <c r="C213" s="52">
        <v>5</v>
      </c>
      <c r="D213" s="33">
        <v>875.6</v>
      </c>
      <c r="E213" s="33">
        <v>175.12</v>
      </c>
      <c r="F213" s="33">
        <v>511</v>
      </c>
      <c r="G213" s="33">
        <f t="shared" si="52"/>
        <v>364.6</v>
      </c>
      <c r="H213" s="258">
        <v>0</v>
      </c>
      <c r="I213" s="150">
        <f t="shared" si="21"/>
        <v>0</v>
      </c>
      <c r="J213" s="150">
        <f t="shared" si="53"/>
        <v>0</v>
      </c>
      <c r="L213" s="33">
        <f t="shared" si="54"/>
        <v>0</v>
      </c>
    </row>
    <row r="214" spans="2:12" x14ac:dyDescent="0.35">
      <c r="B214" s="26" t="s">
        <v>603</v>
      </c>
      <c r="C214" s="52">
        <v>5</v>
      </c>
      <c r="D214" s="33">
        <v>739.6</v>
      </c>
      <c r="E214" s="33">
        <v>147.91999999999999</v>
      </c>
      <c r="F214" s="33">
        <v>425</v>
      </c>
      <c r="G214" s="33">
        <f t="shared" si="52"/>
        <v>314.60000000000002</v>
      </c>
      <c r="H214" s="258">
        <v>0</v>
      </c>
      <c r="I214" s="150">
        <f t="shared" si="21"/>
        <v>0</v>
      </c>
      <c r="J214" s="150">
        <f t="shared" si="53"/>
        <v>0</v>
      </c>
      <c r="L214" s="33">
        <f t="shared" si="54"/>
        <v>0</v>
      </c>
    </row>
    <row r="215" spans="2:12" x14ac:dyDescent="0.35">
      <c r="B215" s="26" t="s">
        <v>604</v>
      </c>
      <c r="C215" s="52">
        <v>5</v>
      </c>
      <c r="D215" s="33">
        <v>739.6</v>
      </c>
      <c r="E215" s="33">
        <v>147.91999999999999</v>
      </c>
      <c r="F215" s="33">
        <v>425</v>
      </c>
      <c r="G215" s="33">
        <f t="shared" si="52"/>
        <v>314.60000000000002</v>
      </c>
      <c r="H215" s="258">
        <v>0</v>
      </c>
      <c r="I215" s="150">
        <f t="shared" si="21"/>
        <v>0</v>
      </c>
      <c r="J215" s="150">
        <f t="shared" si="53"/>
        <v>0</v>
      </c>
      <c r="L215" s="33">
        <f t="shared" si="54"/>
        <v>0</v>
      </c>
    </row>
    <row r="216" spans="2:12" x14ac:dyDescent="0.35">
      <c r="B216" s="26" t="s">
        <v>605</v>
      </c>
      <c r="C216" s="52">
        <v>10</v>
      </c>
      <c r="D216" s="33">
        <v>865.7</v>
      </c>
      <c r="E216" s="33">
        <f t="shared" si="55"/>
        <v>86.570000000000007</v>
      </c>
      <c r="F216" s="33">
        <v>310</v>
      </c>
      <c r="G216" s="33">
        <f t="shared" si="52"/>
        <v>555.70000000000005</v>
      </c>
      <c r="H216" s="258">
        <v>0</v>
      </c>
      <c r="I216" s="150">
        <f t="shared" ref="I216:I285" si="56">G216*H216</f>
        <v>0</v>
      </c>
      <c r="J216" s="150">
        <f t="shared" si="53"/>
        <v>0</v>
      </c>
      <c r="L216" s="33">
        <f t="shared" si="54"/>
        <v>0</v>
      </c>
    </row>
    <row r="217" spans="2:12" x14ac:dyDescent="0.35">
      <c r="B217" s="26" t="s">
        <v>606</v>
      </c>
      <c r="C217" s="52">
        <v>7</v>
      </c>
      <c r="D217" s="33">
        <v>407.88</v>
      </c>
      <c r="E217" s="33">
        <f t="shared" si="55"/>
        <v>58.268571428571427</v>
      </c>
      <c r="F217" s="33">
        <v>209</v>
      </c>
      <c r="G217" s="33">
        <f t="shared" si="52"/>
        <v>198.88</v>
      </c>
      <c r="H217" s="258">
        <v>0</v>
      </c>
      <c r="I217" s="150">
        <f t="shared" si="56"/>
        <v>0</v>
      </c>
      <c r="J217" s="150">
        <f t="shared" si="53"/>
        <v>0</v>
      </c>
      <c r="L217" s="33">
        <f t="shared" si="54"/>
        <v>0</v>
      </c>
    </row>
    <row r="218" spans="2:12" x14ac:dyDescent="0.35">
      <c r="B218" s="26" t="s">
        <v>679</v>
      </c>
      <c r="C218" s="52">
        <v>7</v>
      </c>
      <c r="D218" s="33">
        <v>460.51</v>
      </c>
      <c r="E218" s="33">
        <v>46.05</v>
      </c>
      <c r="F218" s="33">
        <v>138</v>
      </c>
      <c r="G218" s="33">
        <f t="shared" si="52"/>
        <v>322.51</v>
      </c>
      <c r="H218" s="258">
        <v>0</v>
      </c>
      <c r="I218" s="150">
        <f t="shared" si="56"/>
        <v>0</v>
      </c>
      <c r="J218" s="150">
        <f t="shared" si="53"/>
        <v>0</v>
      </c>
      <c r="L218" s="33">
        <f t="shared" si="54"/>
        <v>0</v>
      </c>
    </row>
    <row r="219" spans="2:12" x14ac:dyDescent="0.35">
      <c r="B219" s="26" t="s">
        <v>1058</v>
      </c>
      <c r="C219" s="52">
        <v>10</v>
      </c>
      <c r="D219" s="33">
        <v>691.68</v>
      </c>
      <c r="E219" s="33">
        <f t="shared" si="55"/>
        <v>69.167999999999992</v>
      </c>
      <c r="F219" s="33">
        <v>207</v>
      </c>
      <c r="G219" s="33">
        <f t="shared" si="52"/>
        <v>484.67999999999995</v>
      </c>
      <c r="H219" s="258">
        <v>0</v>
      </c>
      <c r="I219" s="150">
        <f t="shared" ref="I219:I225" si="57">G219*H219</f>
        <v>0</v>
      </c>
      <c r="J219" s="150">
        <f t="shared" si="53"/>
        <v>0</v>
      </c>
      <c r="L219" s="33">
        <f t="shared" si="54"/>
        <v>0</v>
      </c>
    </row>
    <row r="220" spans="2:12" x14ac:dyDescent="0.35">
      <c r="B220" s="26" t="s">
        <v>1059</v>
      </c>
      <c r="C220" s="52">
        <v>5</v>
      </c>
      <c r="D220" s="33">
        <v>287.52</v>
      </c>
      <c r="E220" s="33">
        <f t="shared" si="55"/>
        <v>57.503999999999998</v>
      </c>
      <c r="F220" s="33">
        <v>132</v>
      </c>
      <c r="G220" s="33">
        <f t="shared" si="52"/>
        <v>155.51999999999998</v>
      </c>
      <c r="H220" s="258">
        <v>0</v>
      </c>
      <c r="I220" s="150">
        <f t="shared" si="57"/>
        <v>0</v>
      </c>
      <c r="J220" s="150">
        <f t="shared" si="53"/>
        <v>0</v>
      </c>
      <c r="L220" s="33">
        <f t="shared" si="54"/>
        <v>0</v>
      </c>
    </row>
    <row r="221" spans="2:12" x14ac:dyDescent="0.35">
      <c r="B221" s="26" t="s">
        <v>1060</v>
      </c>
      <c r="C221" s="52">
        <v>5</v>
      </c>
      <c r="D221" s="33">
        <v>1569.8</v>
      </c>
      <c r="E221" s="33">
        <f t="shared" si="55"/>
        <v>313.95999999999998</v>
      </c>
      <c r="F221" s="33">
        <v>707</v>
      </c>
      <c r="G221" s="33">
        <f t="shared" si="52"/>
        <v>862.8</v>
      </c>
      <c r="H221" s="258">
        <v>0</v>
      </c>
      <c r="I221" s="150">
        <f t="shared" si="57"/>
        <v>0</v>
      </c>
      <c r="J221" s="150">
        <f t="shared" si="53"/>
        <v>0</v>
      </c>
      <c r="L221" s="33">
        <f t="shared" si="54"/>
        <v>0</v>
      </c>
    </row>
    <row r="222" spans="2:12" x14ac:dyDescent="0.35">
      <c r="B222" s="26" t="s">
        <v>1061</v>
      </c>
      <c r="C222" s="52">
        <v>10</v>
      </c>
      <c r="D222" s="33">
        <v>3850.34</v>
      </c>
      <c r="E222" s="33">
        <f t="shared" si="55"/>
        <v>385.03399999999999</v>
      </c>
      <c r="F222" s="33">
        <v>930</v>
      </c>
      <c r="G222" s="33">
        <f t="shared" si="52"/>
        <v>2920.34</v>
      </c>
      <c r="H222" s="258">
        <v>0</v>
      </c>
      <c r="I222" s="150">
        <f t="shared" si="57"/>
        <v>0</v>
      </c>
      <c r="J222" s="150">
        <f t="shared" si="53"/>
        <v>0</v>
      </c>
      <c r="L222" s="33">
        <f t="shared" si="54"/>
        <v>0</v>
      </c>
    </row>
    <row r="223" spans="2:12" x14ac:dyDescent="0.35">
      <c r="B223" s="26" t="s">
        <v>1062</v>
      </c>
      <c r="C223" s="52">
        <v>10</v>
      </c>
      <c r="D223" s="33">
        <v>1504</v>
      </c>
      <c r="E223" s="33">
        <f t="shared" si="55"/>
        <v>150.4</v>
      </c>
      <c r="F223" s="33">
        <v>352</v>
      </c>
      <c r="G223" s="33">
        <f t="shared" si="52"/>
        <v>1152</v>
      </c>
      <c r="H223" s="258">
        <v>0</v>
      </c>
      <c r="I223" s="150">
        <f t="shared" si="57"/>
        <v>0</v>
      </c>
      <c r="J223" s="150">
        <f t="shared" si="53"/>
        <v>0</v>
      </c>
      <c r="L223" s="33">
        <f t="shared" si="54"/>
        <v>0</v>
      </c>
    </row>
    <row r="224" spans="2:12" x14ac:dyDescent="0.35">
      <c r="B224" s="26" t="s">
        <v>1063</v>
      </c>
      <c r="C224" s="52">
        <v>10</v>
      </c>
      <c r="D224" s="33">
        <v>3701.25</v>
      </c>
      <c r="E224" s="33">
        <f t="shared" si="55"/>
        <v>370.125</v>
      </c>
      <c r="F224" s="33">
        <v>740</v>
      </c>
      <c r="G224" s="33">
        <f t="shared" si="52"/>
        <v>2961.25</v>
      </c>
      <c r="H224" s="258">
        <v>0</v>
      </c>
      <c r="I224" s="150">
        <f t="shared" si="57"/>
        <v>0</v>
      </c>
      <c r="J224" s="150">
        <f t="shared" si="53"/>
        <v>0</v>
      </c>
      <c r="L224" s="33">
        <f t="shared" si="54"/>
        <v>0</v>
      </c>
    </row>
    <row r="225" spans="1:12" x14ac:dyDescent="0.35">
      <c r="B225" s="26" t="s">
        <v>1064</v>
      </c>
      <c r="C225" s="52">
        <v>10</v>
      </c>
      <c r="D225" s="33">
        <v>257.58</v>
      </c>
      <c r="E225" s="33">
        <v>27</v>
      </c>
      <c r="F225" s="33">
        <v>54</v>
      </c>
      <c r="G225" s="33">
        <f t="shared" si="52"/>
        <v>203.57999999999998</v>
      </c>
      <c r="H225" s="258">
        <v>0</v>
      </c>
      <c r="I225" s="150">
        <f t="shared" si="57"/>
        <v>0</v>
      </c>
      <c r="J225" s="150">
        <f t="shared" si="53"/>
        <v>0</v>
      </c>
      <c r="L225" s="33">
        <f t="shared" si="54"/>
        <v>0</v>
      </c>
    </row>
    <row r="226" spans="1:12" x14ac:dyDescent="0.35">
      <c r="B226" s="26" t="s">
        <v>1159</v>
      </c>
      <c r="C226" s="52">
        <v>5</v>
      </c>
      <c r="D226" s="33">
        <v>807.94</v>
      </c>
      <c r="E226" s="33">
        <v>162</v>
      </c>
      <c r="F226" s="33">
        <v>270</v>
      </c>
      <c r="G226" s="33">
        <f t="shared" si="52"/>
        <v>537.94000000000005</v>
      </c>
      <c r="H226" s="258">
        <v>0</v>
      </c>
      <c r="I226" s="150">
        <f>G226*H226</f>
        <v>0</v>
      </c>
      <c r="J226" s="150">
        <f t="shared" si="53"/>
        <v>0</v>
      </c>
      <c r="L226" s="33">
        <f t="shared" si="54"/>
        <v>0</v>
      </c>
    </row>
    <row r="227" spans="1:12" x14ac:dyDescent="0.35">
      <c r="B227" s="26" t="s">
        <v>1536</v>
      </c>
      <c r="C227" s="52">
        <v>5</v>
      </c>
      <c r="D227" s="33">
        <v>264</v>
      </c>
      <c r="E227" s="33">
        <v>31</v>
      </c>
      <c r="F227" s="33">
        <v>30</v>
      </c>
      <c r="G227" s="33">
        <f t="shared" si="52"/>
        <v>234</v>
      </c>
      <c r="H227" s="258">
        <v>0</v>
      </c>
      <c r="I227" s="150">
        <f t="shared" ref="I227:I232" si="58">G227*H227</f>
        <v>0</v>
      </c>
      <c r="J227" s="150">
        <f t="shared" ref="J227:J232" si="59">E227*H227</f>
        <v>0</v>
      </c>
      <c r="L227" s="33">
        <f t="shared" si="54"/>
        <v>0</v>
      </c>
    </row>
    <row r="228" spans="1:12" x14ac:dyDescent="0.35">
      <c r="B228" s="26" t="s">
        <v>1537</v>
      </c>
      <c r="C228" s="52">
        <v>5</v>
      </c>
      <c r="D228" s="33">
        <v>2823</v>
      </c>
      <c r="E228" s="33">
        <v>235</v>
      </c>
      <c r="F228" s="33">
        <v>236</v>
      </c>
      <c r="G228" s="33">
        <f t="shared" si="52"/>
        <v>2587</v>
      </c>
      <c r="H228" s="258">
        <v>0</v>
      </c>
      <c r="I228" s="150">
        <f t="shared" si="58"/>
        <v>0</v>
      </c>
      <c r="J228" s="150">
        <f t="shared" si="59"/>
        <v>0</v>
      </c>
      <c r="L228" s="33">
        <f t="shared" si="54"/>
        <v>0</v>
      </c>
    </row>
    <row r="229" spans="1:12" x14ac:dyDescent="0.35">
      <c r="B229" s="26" t="s">
        <v>1538</v>
      </c>
      <c r="C229" s="52">
        <v>10</v>
      </c>
      <c r="D229" s="33">
        <v>1590</v>
      </c>
      <c r="E229" s="33">
        <v>66</v>
      </c>
      <c r="F229" s="33">
        <v>66</v>
      </c>
      <c r="G229" s="33">
        <f t="shared" si="52"/>
        <v>1524</v>
      </c>
      <c r="H229" s="258">
        <v>0</v>
      </c>
      <c r="I229" s="150">
        <f t="shared" si="58"/>
        <v>0</v>
      </c>
      <c r="J229" s="150">
        <f t="shared" si="59"/>
        <v>0</v>
      </c>
      <c r="L229" s="33">
        <f t="shared" si="54"/>
        <v>0</v>
      </c>
    </row>
    <row r="230" spans="1:12" x14ac:dyDescent="0.35">
      <c r="B230" s="26" t="s">
        <v>1539</v>
      </c>
      <c r="C230" s="52">
        <v>10</v>
      </c>
      <c r="D230" s="33">
        <v>710</v>
      </c>
      <c r="E230" s="33">
        <v>24</v>
      </c>
      <c r="F230" s="33">
        <v>24</v>
      </c>
      <c r="G230" s="33">
        <f t="shared" si="52"/>
        <v>686</v>
      </c>
      <c r="H230" s="258">
        <v>0</v>
      </c>
      <c r="I230" s="150">
        <f t="shared" si="58"/>
        <v>0</v>
      </c>
      <c r="J230" s="150">
        <f t="shared" si="59"/>
        <v>0</v>
      </c>
      <c r="L230" s="33">
        <f t="shared" si="54"/>
        <v>0</v>
      </c>
    </row>
    <row r="231" spans="1:12" x14ac:dyDescent="0.35">
      <c r="B231" s="26" t="s">
        <v>1540</v>
      </c>
      <c r="C231" s="52">
        <v>20</v>
      </c>
      <c r="D231" s="33">
        <v>914</v>
      </c>
      <c r="E231" s="33">
        <v>15</v>
      </c>
      <c r="F231" s="33">
        <v>15</v>
      </c>
      <c r="G231" s="33">
        <f t="shared" si="52"/>
        <v>899</v>
      </c>
      <c r="H231" s="258">
        <v>0</v>
      </c>
      <c r="I231" s="150">
        <f t="shared" si="58"/>
        <v>0</v>
      </c>
      <c r="J231" s="150">
        <f t="shared" si="59"/>
        <v>0</v>
      </c>
      <c r="L231" s="33">
        <f t="shared" si="54"/>
        <v>0</v>
      </c>
    </row>
    <row r="232" spans="1:12" x14ac:dyDescent="0.35">
      <c r="B232" s="26" t="s">
        <v>1539</v>
      </c>
      <c r="C232" s="52">
        <v>10</v>
      </c>
      <c r="D232" s="33">
        <v>674</v>
      </c>
      <c r="E232" s="33">
        <v>22</v>
      </c>
      <c r="F232" s="33">
        <v>22</v>
      </c>
      <c r="G232" s="33">
        <f t="shared" si="52"/>
        <v>652</v>
      </c>
      <c r="H232" s="258">
        <v>0</v>
      </c>
      <c r="I232" s="150">
        <f t="shared" si="58"/>
        <v>0</v>
      </c>
      <c r="J232" s="150">
        <f t="shared" si="59"/>
        <v>0</v>
      </c>
      <c r="L232" s="33">
        <f t="shared" si="54"/>
        <v>0</v>
      </c>
    </row>
    <row r="233" spans="1:12" x14ac:dyDescent="0.35">
      <c r="B233" s="25" t="s">
        <v>234</v>
      </c>
      <c r="C233" s="27"/>
      <c r="D233" s="36">
        <f>SUBTOTAL(9,D203:D232)</f>
        <v>52202.599999999991</v>
      </c>
      <c r="E233" s="36">
        <f t="shared" ref="E233:G233" si="60">SUBTOTAL(9,E203:E232)</f>
        <v>5109.2880000000005</v>
      </c>
      <c r="F233" s="36">
        <f t="shared" si="60"/>
        <v>22458</v>
      </c>
      <c r="G233" s="36">
        <f t="shared" si="60"/>
        <v>29744.600000000002</v>
      </c>
      <c r="H233" s="258"/>
      <c r="I233" s="150"/>
      <c r="J233" s="150"/>
      <c r="L233" s="33"/>
    </row>
    <row r="234" spans="1:12" x14ac:dyDescent="0.35">
      <c r="A234" s="25" t="s">
        <v>1560</v>
      </c>
      <c r="E234" s="33"/>
      <c r="I234" s="150"/>
      <c r="J234" s="150"/>
      <c r="L234" s="33"/>
    </row>
    <row r="235" spans="1:12" x14ac:dyDescent="0.35">
      <c r="B235" s="26" t="s">
        <v>607</v>
      </c>
      <c r="C235" s="52">
        <v>7</v>
      </c>
      <c r="D235" s="33">
        <v>23005</v>
      </c>
      <c r="E235" s="33">
        <f t="shared" ref="E235:E280" si="61">IF(D235&gt;F235,D235/C235,0)</f>
        <v>0</v>
      </c>
      <c r="F235" s="33">
        <v>23005</v>
      </c>
      <c r="G235" s="33">
        <f t="shared" ref="G235:G260" si="62">D235-F235</f>
        <v>0</v>
      </c>
      <c r="H235" s="283">
        <f>'Inch_Ft Piping'!$I$29</f>
        <v>0.45430994088953769</v>
      </c>
      <c r="I235" s="150">
        <f t="shared" si="56"/>
        <v>0</v>
      </c>
      <c r="J235" s="150">
        <f t="shared" ref="J235:J257" si="63">E235*H235</f>
        <v>0</v>
      </c>
      <c r="L235" s="33">
        <f t="shared" ref="L235:L260" si="64">IF(D235-(F235+E235)&lt;0,-E235,0)</f>
        <v>0</v>
      </c>
    </row>
    <row r="236" spans="1:12" x14ac:dyDescent="0.35">
      <c r="B236" s="26" t="s">
        <v>608</v>
      </c>
      <c r="C236" s="52">
        <v>12</v>
      </c>
      <c r="D236" s="33">
        <v>6142</v>
      </c>
      <c r="E236" s="352">
        <v>426.55</v>
      </c>
      <c r="F236" s="33">
        <v>6142</v>
      </c>
      <c r="G236" s="33">
        <f t="shared" si="62"/>
        <v>0</v>
      </c>
      <c r="H236" s="283">
        <f>'Inch_Ft Piping'!$I$29</f>
        <v>0.45430994088953769</v>
      </c>
      <c r="I236" s="150">
        <f t="shared" si="56"/>
        <v>0</v>
      </c>
      <c r="J236" s="150">
        <f t="shared" si="63"/>
        <v>193.7859052864323</v>
      </c>
      <c r="L236" s="468">
        <f t="shared" si="64"/>
        <v>-426.55</v>
      </c>
    </row>
    <row r="237" spans="1:12" x14ac:dyDescent="0.35">
      <c r="B237" s="26" t="s">
        <v>609</v>
      </c>
      <c r="C237" s="52">
        <v>14</v>
      </c>
      <c r="D237" s="33">
        <v>4095</v>
      </c>
      <c r="E237" s="33">
        <v>427</v>
      </c>
      <c r="F237" s="33">
        <v>3668</v>
      </c>
      <c r="G237" s="33">
        <f t="shared" si="62"/>
        <v>427</v>
      </c>
      <c r="H237" s="283">
        <f>'Inch_Ft Piping'!$I$29</f>
        <v>0.45430994088953769</v>
      </c>
      <c r="I237" s="150">
        <f t="shared" si="56"/>
        <v>193.9903447598326</v>
      </c>
      <c r="J237" s="150">
        <f t="shared" si="63"/>
        <v>193.9903447598326</v>
      </c>
      <c r="L237" s="33">
        <f t="shared" si="64"/>
        <v>0</v>
      </c>
    </row>
    <row r="238" spans="1:12" x14ac:dyDescent="0.35">
      <c r="B238" s="26" t="s">
        <v>610</v>
      </c>
      <c r="C238" s="52">
        <v>15</v>
      </c>
      <c r="D238" s="33">
        <v>194875</v>
      </c>
      <c r="E238" s="33">
        <f t="shared" si="61"/>
        <v>12991.666666666666</v>
      </c>
      <c r="F238" s="33">
        <v>125501</v>
      </c>
      <c r="G238" s="33">
        <f t="shared" si="62"/>
        <v>69374</v>
      </c>
      <c r="H238" s="283">
        <f>'Inch_Ft Piping'!$I$29</f>
        <v>0.45430994088953769</v>
      </c>
      <c r="I238" s="150">
        <f t="shared" si="56"/>
        <v>31517.297839270788</v>
      </c>
      <c r="J238" s="150">
        <f t="shared" si="63"/>
        <v>5902.2433153899101</v>
      </c>
      <c r="L238" s="33">
        <f t="shared" si="64"/>
        <v>0</v>
      </c>
    </row>
    <row r="239" spans="1:12" x14ac:dyDescent="0.35">
      <c r="B239" s="26" t="s">
        <v>611</v>
      </c>
      <c r="C239" s="52">
        <v>10</v>
      </c>
      <c r="D239" s="33">
        <v>14366</v>
      </c>
      <c r="E239" s="33">
        <v>541</v>
      </c>
      <c r="F239" s="33">
        <v>14366</v>
      </c>
      <c r="G239" s="33">
        <f t="shared" si="62"/>
        <v>0</v>
      </c>
      <c r="H239" s="283">
        <f>'Inch_Ft Piping'!$I$29</f>
        <v>0.45430994088953769</v>
      </c>
      <c r="I239" s="150">
        <f t="shared" si="56"/>
        <v>0</v>
      </c>
      <c r="J239" s="150">
        <f t="shared" si="63"/>
        <v>245.78167802123988</v>
      </c>
      <c r="L239" s="468">
        <f t="shared" si="64"/>
        <v>-541</v>
      </c>
    </row>
    <row r="240" spans="1:12" x14ac:dyDescent="0.35">
      <c r="B240" s="26" t="s">
        <v>612</v>
      </c>
      <c r="C240" s="52">
        <v>10</v>
      </c>
      <c r="D240" s="33">
        <v>25423</v>
      </c>
      <c r="E240" s="33">
        <v>3223</v>
      </c>
      <c r="F240" s="33">
        <v>24349</v>
      </c>
      <c r="G240" s="33">
        <f t="shared" si="62"/>
        <v>1074</v>
      </c>
      <c r="H240" s="283">
        <f>'Inch_Ft Piping'!$I$29</f>
        <v>0.45430994088953769</v>
      </c>
      <c r="I240" s="150">
        <f t="shared" si="56"/>
        <v>487.92887651536347</v>
      </c>
      <c r="J240" s="150">
        <f t="shared" si="63"/>
        <v>1464.2409394869799</v>
      </c>
      <c r="L240" s="468">
        <f t="shared" si="64"/>
        <v>-3223</v>
      </c>
    </row>
    <row r="241" spans="2:12" x14ac:dyDescent="0.35">
      <c r="B241" s="26" t="s">
        <v>613</v>
      </c>
      <c r="C241" s="52">
        <v>10</v>
      </c>
      <c r="D241" s="33">
        <v>20444</v>
      </c>
      <c r="E241" s="352">
        <v>2803</v>
      </c>
      <c r="F241" s="33">
        <v>20445</v>
      </c>
      <c r="G241" s="33">
        <f t="shared" si="62"/>
        <v>-1</v>
      </c>
      <c r="H241" s="283">
        <f>'Inch_Ft Piping'!$I$29</f>
        <v>0.45430994088953769</v>
      </c>
      <c r="I241" s="150">
        <f t="shared" si="56"/>
        <v>-0.45430994088953769</v>
      </c>
      <c r="J241" s="150">
        <f t="shared" si="63"/>
        <v>1273.4307643133741</v>
      </c>
      <c r="L241" s="468">
        <f t="shared" si="64"/>
        <v>-2803</v>
      </c>
    </row>
    <row r="242" spans="2:12" x14ac:dyDescent="0.35">
      <c r="B242" s="26" t="s">
        <v>614</v>
      </c>
      <c r="C242" s="52">
        <v>10</v>
      </c>
      <c r="D242" s="33">
        <v>9350</v>
      </c>
      <c r="E242" s="33">
        <f t="shared" si="61"/>
        <v>935</v>
      </c>
      <c r="F242" s="33">
        <v>9116</v>
      </c>
      <c r="G242" s="33">
        <f t="shared" si="62"/>
        <v>234</v>
      </c>
      <c r="H242" s="283">
        <f>'Inch_Ft Piping'!$I$29</f>
        <v>0.45430994088953769</v>
      </c>
      <c r="I242" s="150">
        <f t="shared" si="56"/>
        <v>106.30852616815181</v>
      </c>
      <c r="J242" s="150">
        <f t="shared" si="63"/>
        <v>424.77979473171774</v>
      </c>
      <c r="L242" s="468">
        <f t="shared" si="64"/>
        <v>-935</v>
      </c>
    </row>
    <row r="243" spans="2:12" x14ac:dyDescent="0.35">
      <c r="B243" s="26" t="s">
        <v>615</v>
      </c>
      <c r="C243" s="52">
        <v>7</v>
      </c>
      <c r="D243" s="33">
        <v>8225</v>
      </c>
      <c r="E243" s="33">
        <f t="shared" si="61"/>
        <v>1175</v>
      </c>
      <c r="F243" s="33">
        <v>5582</v>
      </c>
      <c r="G243" s="33">
        <f t="shared" si="62"/>
        <v>2643</v>
      </c>
      <c r="H243" s="283">
        <f>'Inch_Ft Piping'!$I$29</f>
        <v>0.45430994088953769</v>
      </c>
      <c r="I243" s="150">
        <f t="shared" si="56"/>
        <v>1200.7411737710481</v>
      </c>
      <c r="J243" s="150">
        <f t="shared" si="63"/>
        <v>533.8141805452068</v>
      </c>
      <c r="L243" s="33">
        <f t="shared" si="64"/>
        <v>0</v>
      </c>
    </row>
    <row r="244" spans="2:12" x14ac:dyDescent="0.35">
      <c r="B244" s="26" t="s">
        <v>616</v>
      </c>
      <c r="C244" s="52">
        <v>7</v>
      </c>
      <c r="D244" s="33">
        <v>7171.5</v>
      </c>
      <c r="E244" s="352">
        <v>256</v>
      </c>
      <c r="F244" s="33">
        <v>7173</v>
      </c>
      <c r="G244" s="33">
        <f t="shared" si="62"/>
        <v>-1.5</v>
      </c>
      <c r="H244" s="283">
        <f>'Inch_Ft Piping'!$I$29</f>
        <v>0.45430994088953769</v>
      </c>
      <c r="I244" s="150">
        <f t="shared" si="56"/>
        <v>-0.68146491133430653</v>
      </c>
      <c r="J244" s="150">
        <f t="shared" si="63"/>
        <v>116.30334486772165</v>
      </c>
      <c r="L244" s="468">
        <f t="shared" si="64"/>
        <v>-256</v>
      </c>
    </row>
    <row r="245" spans="2:12" x14ac:dyDescent="0.35">
      <c r="B245" s="26" t="s">
        <v>617</v>
      </c>
      <c r="C245" s="52">
        <v>7</v>
      </c>
      <c r="D245" s="33">
        <v>10531.75</v>
      </c>
      <c r="E245" s="33">
        <f t="shared" si="61"/>
        <v>1504.5357142857142</v>
      </c>
      <c r="F245" s="33">
        <v>7397</v>
      </c>
      <c r="G245" s="33">
        <f t="shared" si="62"/>
        <v>3134.75</v>
      </c>
      <c r="H245" s="283">
        <f>'Inch_Ft Piping'!$I$29</f>
        <v>0.45430994088953769</v>
      </c>
      <c r="I245" s="150">
        <f t="shared" si="56"/>
        <v>1424.1480872034783</v>
      </c>
      <c r="J245" s="150">
        <f t="shared" si="63"/>
        <v>683.52553142334125</v>
      </c>
      <c r="L245" s="33">
        <f t="shared" si="64"/>
        <v>0</v>
      </c>
    </row>
    <row r="246" spans="2:12" x14ac:dyDescent="0.35">
      <c r="B246" s="26" t="s">
        <v>618</v>
      </c>
      <c r="C246" s="52">
        <v>7</v>
      </c>
      <c r="D246" s="33">
        <v>16448</v>
      </c>
      <c r="E246" s="33">
        <f t="shared" si="61"/>
        <v>2349.7142857142858</v>
      </c>
      <c r="F246" s="33">
        <v>10770</v>
      </c>
      <c r="G246" s="33">
        <f t="shared" si="62"/>
        <v>5678</v>
      </c>
      <c r="H246" s="283">
        <f>'Inch_Ft Piping'!$I$29</f>
        <v>0.45430994088953769</v>
      </c>
      <c r="I246" s="150">
        <f t="shared" si="56"/>
        <v>2579.5718443707951</v>
      </c>
      <c r="J246" s="150">
        <f t="shared" si="63"/>
        <v>1067.4985582501595</v>
      </c>
      <c r="L246" s="33">
        <f t="shared" si="64"/>
        <v>0</v>
      </c>
    </row>
    <row r="247" spans="2:12" x14ac:dyDescent="0.35">
      <c r="B247" s="26" t="s">
        <v>619</v>
      </c>
      <c r="C247" s="52">
        <v>10</v>
      </c>
      <c r="D247" s="33">
        <v>9860</v>
      </c>
      <c r="E247" s="33">
        <f t="shared" si="61"/>
        <v>986</v>
      </c>
      <c r="F247" s="33">
        <v>4272</v>
      </c>
      <c r="G247" s="33">
        <f t="shared" si="62"/>
        <v>5588</v>
      </c>
      <c r="H247" s="283">
        <f>'Inch_Ft Piping'!$I$29</f>
        <v>0.45430994088953769</v>
      </c>
      <c r="I247" s="150">
        <f t="shared" si="56"/>
        <v>2538.6839496907364</v>
      </c>
      <c r="J247" s="150">
        <f t="shared" si="63"/>
        <v>447.94960171708414</v>
      </c>
      <c r="L247" s="33">
        <f t="shared" si="64"/>
        <v>0</v>
      </c>
    </row>
    <row r="248" spans="2:12" x14ac:dyDescent="0.35">
      <c r="B248" s="26" t="s">
        <v>620</v>
      </c>
      <c r="C248" s="52">
        <v>7</v>
      </c>
      <c r="D248" s="33">
        <v>434.97</v>
      </c>
      <c r="E248" s="33">
        <f t="shared" si="61"/>
        <v>62.138571428571431</v>
      </c>
      <c r="F248" s="33">
        <v>270</v>
      </c>
      <c r="G248" s="33">
        <f t="shared" si="62"/>
        <v>164.97000000000003</v>
      </c>
      <c r="H248" s="283">
        <f>'Inch_Ft Piping'!$I$29</f>
        <v>0.45430994088953769</v>
      </c>
      <c r="I248" s="150">
        <f t="shared" si="56"/>
        <v>74.947510948547048</v>
      </c>
      <c r="J248" s="150">
        <f t="shared" si="63"/>
        <v>28.230170712674603</v>
      </c>
      <c r="L248" s="33">
        <f t="shared" si="64"/>
        <v>0</v>
      </c>
    </row>
    <row r="249" spans="2:12" x14ac:dyDescent="0.35">
      <c r="B249" s="26" t="s">
        <v>621</v>
      </c>
      <c r="C249" s="52">
        <v>10</v>
      </c>
      <c r="D249" s="33">
        <v>47572</v>
      </c>
      <c r="E249" s="33">
        <f t="shared" si="61"/>
        <v>4757.2</v>
      </c>
      <c r="F249" s="33">
        <v>20615</v>
      </c>
      <c r="G249" s="33">
        <f t="shared" si="62"/>
        <v>26957</v>
      </c>
      <c r="H249" s="283">
        <f>'Inch_Ft Piping'!$I$29</f>
        <v>0.45430994088953769</v>
      </c>
      <c r="I249" s="150">
        <f t="shared" si="56"/>
        <v>12246.833076559267</v>
      </c>
      <c r="J249" s="150">
        <f t="shared" si="63"/>
        <v>2161.2432507997087</v>
      </c>
      <c r="L249" s="33">
        <f t="shared" si="64"/>
        <v>0</v>
      </c>
    </row>
    <row r="250" spans="2:12" x14ac:dyDescent="0.35">
      <c r="B250" s="26" t="s">
        <v>622</v>
      </c>
      <c r="C250" s="52">
        <v>10</v>
      </c>
      <c r="D250" s="33">
        <v>36217</v>
      </c>
      <c r="E250" s="33">
        <f t="shared" si="61"/>
        <v>3621.7</v>
      </c>
      <c r="F250" s="33">
        <v>15392</v>
      </c>
      <c r="G250" s="33">
        <f t="shared" si="62"/>
        <v>20825</v>
      </c>
      <c r="H250" s="283">
        <f>'Inch_Ft Piping'!$I$29</f>
        <v>0.45430994088953769</v>
      </c>
      <c r="I250" s="150">
        <f t="shared" si="56"/>
        <v>9461.0045190246219</v>
      </c>
      <c r="J250" s="150">
        <f t="shared" si="63"/>
        <v>1645.3743129196387</v>
      </c>
      <c r="L250" s="33">
        <f t="shared" si="64"/>
        <v>0</v>
      </c>
    </row>
    <row r="251" spans="2:12" x14ac:dyDescent="0.35">
      <c r="B251" s="26" t="s">
        <v>623</v>
      </c>
      <c r="C251" s="52">
        <v>7</v>
      </c>
      <c r="D251" s="33">
        <v>5991.61</v>
      </c>
      <c r="E251" s="33">
        <f t="shared" si="61"/>
        <v>855.94428571428568</v>
      </c>
      <c r="F251" s="33">
        <v>2995</v>
      </c>
      <c r="G251" s="33">
        <f t="shared" si="62"/>
        <v>2996.6099999999997</v>
      </c>
      <c r="H251" s="283">
        <f>'Inch_Ft Piping'!$I$29</f>
        <v>0.45430994088953769</v>
      </c>
      <c r="I251" s="150">
        <f t="shared" si="56"/>
        <v>1361.3897119689973</v>
      </c>
      <c r="J251" s="150">
        <f t="shared" si="63"/>
        <v>388.8639978475947</v>
      </c>
      <c r="L251" s="33">
        <f t="shared" si="64"/>
        <v>0</v>
      </c>
    </row>
    <row r="252" spans="2:12" x14ac:dyDescent="0.35">
      <c r="B252" s="26" t="s">
        <v>1065</v>
      </c>
      <c r="C252" s="52">
        <v>10</v>
      </c>
      <c r="D252" s="33">
        <v>1041</v>
      </c>
      <c r="E252" s="33">
        <f t="shared" si="61"/>
        <v>104.1</v>
      </c>
      <c r="F252" s="33">
        <v>269</v>
      </c>
      <c r="G252" s="33">
        <f t="shared" si="62"/>
        <v>772</v>
      </c>
      <c r="H252" s="283">
        <f>'Inch_Ft Piping'!$I$29</f>
        <v>0.45430994088953769</v>
      </c>
      <c r="I252" s="150">
        <f t="shared" ref="I252:I257" si="65">G252*H252</f>
        <v>350.72727436672312</v>
      </c>
      <c r="J252" s="150">
        <f t="shared" si="63"/>
        <v>47.293664846600869</v>
      </c>
      <c r="L252" s="33">
        <f t="shared" si="64"/>
        <v>0</v>
      </c>
    </row>
    <row r="253" spans="2:12" x14ac:dyDescent="0.35">
      <c r="B253" s="26" t="s">
        <v>1066</v>
      </c>
      <c r="C253" s="52">
        <v>7</v>
      </c>
      <c r="D253" s="33">
        <v>25810</v>
      </c>
      <c r="E253" s="33">
        <f t="shared" si="61"/>
        <v>3687.1428571428573</v>
      </c>
      <c r="F253" s="33">
        <v>8910</v>
      </c>
      <c r="G253" s="33">
        <f t="shared" si="62"/>
        <v>16900</v>
      </c>
      <c r="H253" s="283">
        <f>'Inch_Ft Piping'!$I$29</f>
        <v>0.45430994088953769</v>
      </c>
      <c r="I253" s="150">
        <f t="shared" si="65"/>
        <v>7677.8380010331866</v>
      </c>
      <c r="J253" s="150">
        <f t="shared" si="63"/>
        <v>1675.1056534798527</v>
      </c>
      <c r="L253" s="33">
        <f t="shared" si="64"/>
        <v>0</v>
      </c>
    </row>
    <row r="254" spans="2:12" x14ac:dyDescent="0.35">
      <c r="B254" s="26" t="s">
        <v>1161</v>
      </c>
      <c r="C254" s="52">
        <v>7</v>
      </c>
      <c r="D254" s="33">
        <v>1518</v>
      </c>
      <c r="E254" s="33">
        <v>217</v>
      </c>
      <c r="F254" s="33">
        <v>397</v>
      </c>
      <c r="G254" s="33">
        <f t="shared" si="62"/>
        <v>1121</v>
      </c>
      <c r="H254" s="283">
        <f>'Inch_Ft Piping'!$I$29</f>
        <v>0.45430994088953769</v>
      </c>
      <c r="I254" s="150">
        <f t="shared" si="65"/>
        <v>509.28144373717174</v>
      </c>
      <c r="J254" s="150">
        <f t="shared" si="63"/>
        <v>98.585257173029675</v>
      </c>
      <c r="L254" s="33">
        <f t="shared" si="64"/>
        <v>0</v>
      </c>
    </row>
    <row r="255" spans="2:12" x14ac:dyDescent="0.35">
      <c r="B255" s="26" t="s">
        <v>1162</v>
      </c>
      <c r="C255" s="52">
        <v>7</v>
      </c>
      <c r="D255" s="33">
        <v>5000</v>
      </c>
      <c r="E255" s="33">
        <v>714</v>
      </c>
      <c r="F255" s="33">
        <v>1250</v>
      </c>
      <c r="G255" s="33">
        <f t="shared" si="62"/>
        <v>3750</v>
      </c>
      <c r="H255" s="283">
        <f>'Inch_Ft Piping'!$I$29</f>
        <v>0.45430994088953769</v>
      </c>
      <c r="I255" s="150">
        <f t="shared" si="65"/>
        <v>1703.6622783357664</v>
      </c>
      <c r="J255" s="150">
        <f t="shared" si="63"/>
        <v>324.37729779512989</v>
      </c>
      <c r="L255" s="33">
        <f t="shared" si="64"/>
        <v>0</v>
      </c>
    </row>
    <row r="256" spans="2:12" x14ac:dyDescent="0.35">
      <c r="B256" s="26" t="s">
        <v>1163</v>
      </c>
      <c r="C256" s="52">
        <v>7</v>
      </c>
      <c r="D256" s="33">
        <v>1687.86</v>
      </c>
      <c r="E256" s="33">
        <v>241</v>
      </c>
      <c r="F256" s="33">
        <v>382</v>
      </c>
      <c r="G256" s="33">
        <f t="shared" si="62"/>
        <v>1305.8599999999999</v>
      </c>
      <c r="H256" s="283">
        <f>'Inch_Ft Piping'!$I$29</f>
        <v>0.45430994088953769</v>
      </c>
      <c r="I256" s="150">
        <f t="shared" si="65"/>
        <v>593.26517941001168</v>
      </c>
      <c r="J256" s="150">
        <f t="shared" si="63"/>
        <v>109.48869575437858</v>
      </c>
      <c r="L256" s="33">
        <f t="shared" si="64"/>
        <v>0</v>
      </c>
    </row>
    <row r="257" spans="1:12" x14ac:dyDescent="0.35">
      <c r="B257" s="26" t="s">
        <v>1160</v>
      </c>
      <c r="C257" s="52">
        <v>7</v>
      </c>
      <c r="D257" s="33">
        <v>40402.78</v>
      </c>
      <c r="E257" s="33">
        <v>5772</v>
      </c>
      <c r="F257" s="33">
        <v>7696</v>
      </c>
      <c r="G257" s="33">
        <f t="shared" si="62"/>
        <v>32706.78</v>
      </c>
      <c r="H257" s="283">
        <f>'Inch_Ft Piping'!$I$29</f>
        <v>0.45430994088953769</v>
      </c>
      <c r="I257" s="150">
        <f t="shared" si="65"/>
        <v>14859.015288487113</v>
      </c>
      <c r="J257" s="150">
        <f t="shared" si="63"/>
        <v>2622.2769788144115</v>
      </c>
      <c r="L257" s="33">
        <f t="shared" si="64"/>
        <v>0</v>
      </c>
    </row>
    <row r="258" spans="1:12" x14ac:dyDescent="0.35">
      <c r="B258" s="26" t="s">
        <v>1541</v>
      </c>
      <c r="C258" s="52">
        <v>7</v>
      </c>
      <c r="D258" s="33">
        <v>128036</v>
      </c>
      <c r="E258" s="33">
        <v>15242</v>
      </c>
      <c r="F258" s="33">
        <v>15242</v>
      </c>
      <c r="G258" s="33">
        <f t="shared" si="62"/>
        <v>112794</v>
      </c>
      <c r="H258" s="283">
        <f>'Inch_Ft Piping'!$I$29</f>
        <v>0.45430994088953769</v>
      </c>
      <c r="I258" s="150">
        <f t="shared" ref="I258:I260" si="66">G258*H258</f>
        <v>51243.435472694517</v>
      </c>
      <c r="J258" s="150">
        <f t="shared" ref="J258:J260" si="67">E258*H258</f>
        <v>6924.5921190383333</v>
      </c>
      <c r="L258" s="33">
        <f t="shared" si="64"/>
        <v>0</v>
      </c>
    </row>
    <row r="259" spans="1:12" x14ac:dyDescent="0.35">
      <c r="B259" s="26" t="s">
        <v>1542</v>
      </c>
      <c r="C259" s="52">
        <v>7</v>
      </c>
      <c r="D259" s="33">
        <v>37374</v>
      </c>
      <c r="E259" s="33">
        <v>2670</v>
      </c>
      <c r="F259" s="33">
        <v>2669</v>
      </c>
      <c r="G259" s="33">
        <f t="shared" si="62"/>
        <v>34705</v>
      </c>
      <c r="H259" s="283">
        <f>'Inch_Ft Piping'!$I$29</f>
        <v>0.45430994088953769</v>
      </c>
      <c r="I259" s="150">
        <f t="shared" si="66"/>
        <v>15766.826498571405</v>
      </c>
      <c r="J259" s="150">
        <f t="shared" si="67"/>
        <v>1213.0075421750657</v>
      </c>
      <c r="L259" s="33">
        <f t="shared" si="64"/>
        <v>0</v>
      </c>
    </row>
    <row r="260" spans="1:12" x14ac:dyDescent="0.35">
      <c r="B260" s="26" t="s">
        <v>1543</v>
      </c>
      <c r="C260" s="52">
        <v>7</v>
      </c>
      <c r="D260" s="33">
        <v>8858</v>
      </c>
      <c r="E260" s="33">
        <v>528</v>
      </c>
      <c r="F260" s="33">
        <v>527</v>
      </c>
      <c r="G260" s="33">
        <f t="shared" si="62"/>
        <v>8331</v>
      </c>
      <c r="H260" s="283">
        <f>'Inch_Ft Piping'!$I$29</f>
        <v>0.45430994088953769</v>
      </c>
      <c r="I260" s="150">
        <f t="shared" si="66"/>
        <v>3784.8561175507384</v>
      </c>
      <c r="J260" s="150">
        <f t="shared" si="67"/>
        <v>239.87564878967589</v>
      </c>
      <c r="L260" s="33">
        <f t="shared" si="64"/>
        <v>0</v>
      </c>
    </row>
    <row r="261" spans="1:12" x14ac:dyDescent="0.35">
      <c r="B261" s="25" t="s">
        <v>234</v>
      </c>
      <c r="C261" s="27"/>
      <c r="D261" s="36">
        <f>SUBTOTAL(9,D235:D260)</f>
        <v>689879.47</v>
      </c>
      <c r="E261" s="36">
        <f t="shared" ref="E261:G261" si="68">SUBTOTAL(9,E235:E260)</f>
        <v>66090.692380952387</v>
      </c>
      <c r="F261" s="36">
        <f t="shared" si="68"/>
        <v>338400</v>
      </c>
      <c r="G261" s="36">
        <f t="shared" si="68"/>
        <v>351479.47</v>
      </c>
      <c r="H261" s="283"/>
      <c r="I261" s="150"/>
      <c r="J261" s="150"/>
      <c r="L261" s="33"/>
    </row>
    <row r="262" spans="1:12" x14ac:dyDescent="0.35">
      <c r="A262" s="25" t="s">
        <v>1561</v>
      </c>
      <c r="E262" s="33"/>
      <c r="I262" s="150"/>
      <c r="J262" s="150"/>
      <c r="L262" s="33"/>
    </row>
    <row r="263" spans="1:12" x14ac:dyDescent="0.35">
      <c r="B263" s="26" t="s">
        <v>624</v>
      </c>
      <c r="C263" s="52">
        <v>10</v>
      </c>
      <c r="D263" s="33">
        <v>3670</v>
      </c>
      <c r="E263" s="33">
        <f t="shared" si="61"/>
        <v>0</v>
      </c>
      <c r="F263" s="33">
        <v>3670</v>
      </c>
      <c r="G263" s="33">
        <f>D263-F263</f>
        <v>0</v>
      </c>
      <c r="H263" s="283">
        <v>1</v>
      </c>
      <c r="I263" s="150">
        <f t="shared" si="56"/>
        <v>0</v>
      </c>
      <c r="J263" s="150">
        <f>E263*H263</f>
        <v>0</v>
      </c>
      <c r="L263" s="33">
        <f>IF(D263-(F263+E263)&lt;0,-E263,0)</f>
        <v>0</v>
      </c>
    </row>
    <row r="264" spans="1:12" x14ac:dyDescent="0.35">
      <c r="B264" s="26" t="s">
        <v>625</v>
      </c>
      <c r="C264" s="52">
        <v>10</v>
      </c>
      <c r="D264" s="33">
        <v>3820</v>
      </c>
      <c r="E264" s="33">
        <v>127</v>
      </c>
      <c r="F264" s="33">
        <v>3326</v>
      </c>
      <c r="G264" s="33">
        <f>D264-F264</f>
        <v>494</v>
      </c>
      <c r="H264" s="258">
        <v>1</v>
      </c>
      <c r="I264" s="150">
        <f t="shared" si="56"/>
        <v>494</v>
      </c>
      <c r="J264" s="150">
        <f>E264*H264</f>
        <v>127</v>
      </c>
      <c r="L264" s="33">
        <f>IF(D264-(F264+E264)&lt;0,-E264,0)</f>
        <v>0</v>
      </c>
    </row>
    <row r="265" spans="1:12" x14ac:dyDescent="0.35">
      <c r="B265" s="26" t="s">
        <v>676</v>
      </c>
      <c r="C265" s="52">
        <v>10</v>
      </c>
      <c r="D265" s="33">
        <v>2809.32</v>
      </c>
      <c r="E265" s="33">
        <f t="shared" si="61"/>
        <v>280.93200000000002</v>
      </c>
      <c r="F265" s="33">
        <v>936</v>
      </c>
      <c r="G265" s="33">
        <f>D265-F265</f>
        <v>1873.3200000000002</v>
      </c>
      <c r="H265" s="258">
        <v>1</v>
      </c>
      <c r="I265" s="150">
        <f>G265*H265</f>
        <v>1873.3200000000002</v>
      </c>
      <c r="J265" s="150">
        <f>E265*H265</f>
        <v>280.93200000000002</v>
      </c>
      <c r="L265" s="33">
        <f>IF(D265-(F265+E265)&lt;0,-E265,0)</f>
        <v>0</v>
      </c>
    </row>
    <row r="266" spans="1:12" x14ac:dyDescent="0.35">
      <c r="B266" s="25" t="s">
        <v>234</v>
      </c>
      <c r="C266" s="27"/>
      <c r="D266" s="36">
        <f>SUBTOTAL(9,D263:D265)</f>
        <v>10299.32</v>
      </c>
      <c r="E266" s="36">
        <f t="shared" ref="E266:G266" si="69">SUBTOTAL(9,E263:E265)</f>
        <v>407.93200000000002</v>
      </c>
      <c r="F266" s="36">
        <f t="shared" si="69"/>
        <v>7932</v>
      </c>
      <c r="G266" s="36">
        <f t="shared" si="69"/>
        <v>2367.3200000000002</v>
      </c>
      <c r="H266" s="258"/>
      <c r="I266" s="150"/>
      <c r="J266" s="150"/>
      <c r="L266" s="33"/>
    </row>
    <row r="267" spans="1:12" x14ac:dyDescent="0.35">
      <c r="A267" s="25" t="s">
        <v>1562</v>
      </c>
      <c r="E267" s="33"/>
      <c r="I267" s="150"/>
      <c r="J267" s="150"/>
      <c r="L267" s="33"/>
    </row>
    <row r="268" spans="1:12" x14ac:dyDescent="0.35">
      <c r="B268" s="26" t="s">
        <v>626</v>
      </c>
      <c r="C268" s="52">
        <v>10</v>
      </c>
      <c r="D268" s="33">
        <v>5435</v>
      </c>
      <c r="E268" s="33">
        <f t="shared" si="61"/>
        <v>0</v>
      </c>
      <c r="F268" s="33">
        <v>5435</v>
      </c>
      <c r="G268" s="33">
        <f t="shared" ref="G268:G281" si="70">D268-F268</f>
        <v>0</v>
      </c>
      <c r="H268" s="283">
        <f>'Inch_Ft Piping'!$I$29</f>
        <v>0.45430994088953769</v>
      </c>
      <c r="I268" s="150">
        <f t="shared" si="56"/>
        <v>0</v>
      </c>
      <c r="J268" s="150">
        <f t="shared" ref="J268:J281" si="71">E268*H268</f>
        <v>0</v>
      </c>
      <c r="L268" s="33">
        <f t="shared" ref="L268:L278" si="72">IF(D268-(F268+E268)&lt;0,-E268,0)</f>
        <v>0</v>
      </c>
    </row>
    <row r="269" spans="1:12" x14ac:dyDescent="0.35">
      <c r="B269" s="26" t="s">
        <v>627</v>
      </c>
      <c r="C269" s="52">
        <v>10</v>
      </c>
      <c r="D269" s="33">
        <v>5250</v>
      </c>
      <c r="E269" s="33">
        <f t="shared" si="61"/>
        <v>0</v>
      </c>
      <c r="F269" s="33">
        <v>5250</v>
      </c>
      <c r="G269" s="33">
        <f t="shared" si="70"/>
        <v>0</v>
      </c>
      <c r="H269" s="283">
        <f>'Inch_Ft Piping'!$I$29</f>
        <v>0.45430994088953769</v>
      </c>
      <c r="I269" s="150">
        <f t="shared" si="56"/>
        <v>0</v>
      </c>
      <c r="J269" s="150">
        <f t="shared" si="71"/>
        <v>0</v>
      </c>
      <c r="L269" s="33">
        <f t="shared" si="72"/>
        <v>0</v>
      </c>
    </row>
    <row r="270" spans="1:12" x14ac:dyDescent="0.35">
      <c r="B270" s="26" t="s">
        <v>628</v>
      </c>
      <c r="C270" s="52">
        <v>10</v>
      </c>
      <c r="D270" s="33">
        <v>3522</v>
      </c>
      <c r="E270" s="33">
        <f t="shared" si="61"/>
        <v>0</v>
      </c>
      <c r="F270" s="33">
        <v>3522</v>
      </c>
      <c r="G270" s="33">
        <f t="shared" si="70"/>
        <v>0</v>
      </c>
      <c r="H270" s="283">
        <f>'Inch_Ft Piping'!$I$29</f>
        <v>0.45430994088953769</v>
      </c>
      <c r="I270" s="150">
        <f t="shared" si="56"/>
        <v>0</v>
      </c>
      <c r="J270" s="150">
        <f t="shared" si="71"/>
        <v>0</v>
      </c>
      <c r="L270" s="33">
        <f t="shared" si="72"/>
        <v>0</v>
      </c>
    </row>
    <row r="271" spans="1:12" x14ac:dyDescent="0.35">
      <c r="B271" s="26" t="s">
        <v>629</v>
      </c>
      <c r="C271" s="52">
        <v>10</v>
      </c>
      <c r="D271" s="33">
        <v>64056</v>
      </c>
      <c r="E271" s="33">
        <v>6249</v>
      </c>
      <c r="F271" s="33">
        <v>49475</v>
      </c>
      <c r="G271" s="33">
        <f t="shared" si="70"/>
        <v>14581</v>
      </c>
      <c r="H271" s="283">
        <f>'Inch_Ft Piping'!$I$29</f>
        <v>0.45430994088953769</v>
      </c>
      <c r="I271" s="150">
        <f t="shared" si="56"/>
        <v>6624.2932481103489</v>
      </c>
      <c r="J271" s="150">
        <f t="shared" si="71"/>
        <v>2838.9828206187212</v>
      </c>
      <c r="L271" s="33">
        <f t="shared" si="72"/>
        <v>0</v>
      </c>
    </row>
    <row r="272" spans="1:12" x14ac:dyDescent="0.35">
      <c r="B272" s="26" t="s">
        <v>630</v>
      </c>
      <c r="C272" s="52">
        <v>10</v>
      </c>
      <c r="D272" s="33">
        <v>11995</v>
      </c>
      <c r="E272" s="33">
        <v>0</v>
      </c>
      <c r="F272" s="33">
        <v>11995</v>
      </c>
      <c r="G272" s="33">
        <f t="shared" si="70"/>
        <v>0</v>
      </c>
      <c r="H272" s="283">
        <f>'Inch_Ft Piping'!$I$29</f>
        <v>0.45430994088953769</v>
      </c>
      <c r="I272" s="150">
        <f t="shared" si="56"/>
        <v>0</v>
      </c>
      <c r="J272" s="150">
        <f t="shared" si="71"/>
        <v>0</v>
      </c>
      <c r="L272" s="33">
        <f t="shared" si="72"/>
        <v>0</v>
      </c>
    </row>
    <row r="273" spans="1:12" x14ac:dyDescent="0.35">
      <c r="B273" s="26" t="s">
        <v>631</v>
      </c>
      <c r="C273" s="52">
        <v>10</v>
      </c>
      <c r="D273" s="33">
        <v>16191</v>
      </c>
      <c r="E273" s="33">
        <f t="shared" si="61"/>
        <v>0</v>
      </c>
      <c r="F273" s="33">
        <v>16191</v>
      </c>
      <c r="G273" s="33">
        <f t="shared" si="70"/>
        <v>0</v>
      </c>
      <c r="H273" s="283">
        <f>'Inch_Ft Piping'!$I$29</f>
        <v>0.45430994088953769</v>
      </c>
      <c r="I273" s="150">
        <f t="shared" si="56"/>
        <v>0</v>
      </c>
      <c r="J273" s="150">
        <f t="shared" si="71"/>
        <v>0</v>
      </c>
      <c r="L273" s="33">
        <f t="shared" si="72"/>
        <v>0</v>
      </c>
    </row>
    <row r="274" spans="1:12" x14ac:dyDescent="0.35">
      <c r="B274" s="26" t="s">
        <v>632</v>
      </c>
      <c r="C274" s="52">
        <v>10</v>
      </c>
      <c r="D274" s="33">
        <v>65275</v>
      </c>
      <c r="E274" s="33">
        <f t="shared" si="61"/>
        <v>6527.5</v>
      </c>
      <c r="F274" s="33">
        <v>44458</v>
      </c>
      <c r="G274" s="33">
        <f t="shared" si="70"/>
        <v>20817</v>
      </c>
      <c r="H274" s="283">
        <f>'Inch_Ft Piping'!$I$29</f>
        <v>0.45430994088953769</v>
      </c>
      <c r="I274" s="150">
        <f t="shared" si="56"/>
        <v>9457.3700394975058</v>
      </c>
      <c r="J274" s="150">
        <f t="shared" si="71"/>
        <v>2965.5081391564572</v>
      </c>
      <c r="L274" s="33">
        <f t="shared" si="72"/>
        <v>0</v>
      </c>
    </row>
    <row r="275" spans="1:12" x14ac:dyDescent="0.35">
      <c r="B275" s="26" t="s">
        <v>633</v>
      </c>
      <c r="C275" s="52">
        <v>10</v>
      </c>
      <c r="D275" s="33">
        <v>23600</v>
      </c>
      <c r="E275" s="33">
        <f t="shared" si="61"/>
        <v>2360</v>
      </c>
      <c r="F275" s="33">
        <v>16937</v>
      </c>
      <c r="G275" s="33">
        <f t="shared" si="70"/>
        <v>6663</v>
      </c>
      <c r="H275" s="283">
        <f>'Inch_Ft Piping'!$I$29</f>
        <v>0.45430994088953769</v>
      </c>
      <c r="I275" s="150">
        <f t="shared" si="56"/>
        <v>3027.0671361469895</v>
      </c>
      <c r="J275" s="150">
        <f t="shared" si="71"/>
        <v>1072.171460499309</v>
      </c>
      <c r="L275" s="33">
        <f t="shared" si="72"/>
        <v>0</v>
      </c>
    </row>
    <row r="276" spans="1:12" x14ac:dyDescent="0.35">
      <c r="B276" s="26" t="s">
        <v>634</v>
      </c>
      <c r="C276" s="52">
        <v>10</v>
      </c>
      <c r="D276" s="33">
        <v>11789</v>
      </c>
      <c r="E276" s="33">
        <f t="shared" si="61"/>
        <v>1178.9000000000001</v>
      </c>
      <c r="F276" s="33">
        <v>8694</v>
      </c>
      <c r="G276" s="33">
        <f t="shared" si="70"/>
        <v>3095</v>
      </c>
      <c r="H276" s="283">
        <f>'Inch_Ft Piping'!$I$29</f>
        <v>0.45430994088953769</v>
      </c>
      <c r="I276" s="150">
        <f t="shared" si="56"/>
        <v>1406.0892670531191</v>
      </c>
      <c r="J276" s="150">
        <f t="shared" si="71"/>
        <v>535.585989314676</v>
      </c>
      <c r="L276" s="33">
        <f t="shared" si="72"/>
        <v>0</v>
      </c>
    </row>
    <row r="277" spans="1:12" x14ac:dyDescent="0.35">
      <c r="B277" s="26" t="s">
        <v>635</v>
      </c>
      <c r="C277" s="52">
        <v>10</v>
      </c>
      <c r="D277" s="33">
        <v>23486</v>
      </c>
      <c r="E277" s="33">
        <f t="shared" si="61"/>
        <v>2348.6</v>
      </c>
      <c r="F277" s="33">
        <v>13309</v>
      </c>
      <c r="G277" s="33">
        <f t="shared" si="70"/>
        <v>10177</v>
      </c>
      <c r="H277" s="283">
        <f>'Inch_Ft Piping'!$I$29</f>
        <v>0.45430994088953769</v>
      </c>
      <c r="I277" s="150">
        <f t="shared" si="56"/>
        <v>4623.5122684328253</v>
      </c>
      <c r="J277" s="150">
        <f t="shared" si="71"/>
        <v>1066.9923271731682</v>
      </c>
      <c r="L277" s="33">
        <f t="shared" si="72"/>
        <v>0</v>
      </c>
    </row>
    <row r="278" spans="1:12" x14ac:dyDescent="0.35">
      <c r="B278" s="26" t="s">
        <v>636</v>
      </c>
      <c r="C278" s="52">
        <v>10</v>
      </c>
      <c r="D278" s="33">
        <v>843.65</v>
      </c>
      <c r="E278" s="33">
        <f t="shared" si="61"/>
        <v>84.364999999999995</v>
      </c>
      <c r="F278" s="33">
        <v>450</v>
      </c>
      <c r="G278" s="33">
        <f t="shared" si="70"/>
        <v>393.65</v>
      </c>
      <c r="H278" s="283">
        <f>'Inch_Ft Piping'!$I$29</f>
        <v>0.45430994088953769</v>
      </c>
      <c r="I278" s="150">
        <f t="shared" si="56"/>
        <v>178.83910823116651</v>
      </c>
      <c r="J278" s="150">
        <f t="shared" si="71"/>
        <v>38.327858163145848</v>
      </c>
      <c r="L278" s="33">
        <f t="shared" si="72"/>
        <v>0</v>
      </c>
    </row>
    <row r="279" spans="1:12" x14ac:dyDescent="0.35">
      <c r="B279" s="26" t="s">
        <v>677</v>
      </c>
      <c r="C279" s="52">
        <v>10</v>
      </c>
      <c r="D279" s="33">
        <v>1211.3499999999999</v>
      </c>
      <c r="E279" s="33">
        <f t="shared" si="61"/>
        <v>121.13499999999999</v>
      </c>
      <c r="F279" s="33">
        <v>404</v>
      </c>
      <c r="G279" s="33">
        <f t="shared" si="70"/>
        <v>807.34999999999991</v>
      </c>
      <c r="H279" s="283">
        <f>'Inch_Ft Piping'!$I$29</f>
        <v>0.45430994088953769</v>
      </c>
      <c r="I279" s="150">
        <f>G279*H279</f>
        <v>366.78713077716822</v>
      </c>
      <c r="J279" s="150">
        <f t="shared" si="71"/>
        <v>55.032834689654145</v>
      </c>
      <c r="L279" s="33">
        <f t="shared" ref="L279:L288" si="73">IF(D279-(F279+E279)&lt;0,-E279,0)</f>
        <v>0</v>
      </c>
    </row>
    <row r="280" spans="1:12" x14ac:dyDescent="0.35">
      <c r="B280" s="26" t="s">
        <v>678</v>
      </c>
      <c r="C280" s="52">
        <v>10</v>
      </c>
      <c r="D280" s="33">
        <v>89281.74</v>
      </c>
      <c r="E280" s="33">
        <f t="shared" si="61"/>
        <v>8928.1740000000009</v>
      </c>
      <c r="F280" s="33">
        <v>27476</v>
      </c>
      <c r="G280" s="33">
        <f t="shared" si="70"/>
        <v>61805.740000000005</v>
      </c>
      <c r="H280" s="258">
        <v>1</v>
      </c>
      <c r="I280" s="150">
        <f>G280*H280</f>
        <v>61805.740000000005</v>
      </c>
      <c r="J280" s="150">
        <f t="shared" si="71"/>
        <v>8928.1740000000009</v>
      </c>
      <c r="L280" s="33">
        <f t="shared" si="73"/>
        <v>0</v>
      </c>
    </row>
    <row r="281" spans="1:12" x14ac:dyDescent="0.35">
      <c r="B281" s="26" t="s">
        <v>1164</v>
      </c>
      <c r="C281" s="52">
        <v>10</v>
      </c>
      <c r="D281" s="33">
        <v>72856.509999999995</v>
      </c>
      <c r="E281" s="33">
        <v>7286</v>
      </c>
      <c r="F281" s="33">
        <v>7893</v>
      </c>
      <c r="G281" s="33">
        <f t="shared" si="70"/>
        <v>64963.509999999995</v>
      </c>
      <c r="H281" s="283">
        <f>'Inch_Ft Piping'!$I$29</f>
        <v>0.45430994088953769</v>
      </c>
      <c r="I281" s="150">
        <f>G281*H281</f>
        <v>29513.568388076888</v>
      </c>
      <c r="J281" s="150">
        <f t="shared" si="71"/>
        <v>3310.1022293211718</v>
      </c>
      <c r="L281" s="33">
        <f>IF(D281-(F281+E281)&lt;0,-E281,0)</f>
        <v>0</v>
      </c>
    </row>
    <row r="282" spans="1:12" x14ac:dyDescent="0.35">
      <c r="B282" s="25" t="s">
        <v>234</v>
      </c>
      <c r="C282" s="27"/>
      <c r="D282" s="36">
        <f>SUBTOTAL(9,D268:D281)</f>
        <v>394792.25</v>
      </c>
      <c r="E282" s="36">
        <f t="shared" ref="E282:G282" si="74">SUBTOTAL(9,E268:E281)</f>
        <v>35083.673999999999</v>
      </c>
      <c r="F282" s="36">
        <f t="shared" si="74"/>
        <v>211489</v>
      </c>
      <c r="G282" s="36">
        <f t="shared" si="74"/>
        <v>183303.25</v>
      </c>
      <c r="H282" s="283"/>
      <c r="I282" s="150"/>
      <c r="J282" s="150"/>
      <c r="L282" s="33"/>
    </row>
    <row r="283" spans="1:12" x14ac:dyDescent="0.35">
      <c r="A283" s="25" t="s">
        <v>637</v>
      </c>
      <c r="E283" s="33"/>
      <c r="I283" s="150"/>
      <c r="J283" s="150"/>
      <c r="L283" s="33"/>
    </row>
    <row r="284" spans="1:12" x14ac:dyDescent="0.35">
      <c r="B284" s="26" t="s">
        <v>638</v>
      </c>
      <c r="C284" s="52">
        <v>10</v>
      </c>
      <c r="D284" s="33">
        <v>6835</v>
      </c>
      <c r="E284" s="33">
        <v>0</v>
      </c>
      <c r="F284" s="33">
        <v>6113.51</v>
      </c>
      <c r="G284" s="33">
        <f>D284-F284</f>
        <v>721.48999999999978</v>
      </c>
      <c r="H284" s="283">
        <f>'Inch_Ft Piping'!$I$29</f>
        <v>0.45430994088953769</v>
      </c>
      <c r="I284" s="150">
        <f t="shared" si="56"/>
        <v>327.78007925239245</v>
      </c>
      <c r="J284" s="150">
        <f>E284*H284</f>
        <v>0</v>
      </c>
      <c r="L284" s="33">
        <f t="shared" si="73"/>
        <v>0</v>
      </c>
    </row>
    <row r="285" spans="1:12" x14ac:dyDescent="0.35">
      <c r="B285" s="26" t="s">
        <v>639</v>
      </c>
      <c r="C285" s="52">
        <v>10</v>
      </c>
      <c r="D285" s="33">
        <v>3544</v>
      </c>
      <c r="E285" s="33">
        <v>177</v>
      </c>
      <c r="F285" s="33">
        <v>1672</v>
      </c>
      <c r="G285" s="33">
        <f>D285-F285</f>
        <v>1872</v>
      </c>
      <c r="H285" s="283">
        <f>'Inch_Ft Piping'!$I$29</f>
        <v>0.45430994088953769</v>
      </c>
      <c r="I285" s="150">
        <f t="shared" si="56"/>
        <v>850.46820934521452</v>
      </c>
      <c r="J285" s="150">
        <f>E285*H285</f>
        <v>80.41285953744817</v>
      </c>
      <c r="L285" s="33">
        <f t="shared" si="73"/>
        <v>0</v>
      </c>
    </row>
    <row r="286" spans="1:12" x14ac:dyDescent="0.35">
      <c r="B286" s="26" t="s">
        <v>1544</v>
      </c>
      <c r="C286" s="52">
        <v>10</v>
      </c>
      <c r="D286" s="33">
        <v>714</v>
      </c>
      <c r="E286" s="33">
        <v>59</v>
      </c>
      <c r="F286" s="33">
        <v>59</v>
      </c>
      <c r="G286" s="33">
        <f>D286-F286</f>
        <v>655</v>
      </c>
      <c r="H286" s="283">
        <f>'Inch_Ft Piping'!$I$29</f>
        <v>0.45430994088953769</v>
      </c>
      <c r="I286" s="150">
        <f t="shared" ref="I286:I288" si="75">G286*H286</f>
        <v>297.5730112826472</v>
      </c>
      <c r="J286" s="150">
        <f t="shared" ref="J286:J288" si="76">E286*H286</f>
        <v>26.804286512482722</v>
      </c>
      <c r="L286" s="33">
        <f t="shared" si="73"/>
        <v>0</v>
      </c>
    </row>
    <row r="287" spans="1:12" x14ac:dyDescent="0.35">
      <c r="B287" s="26" t="s">
        <v>1545</v>
      </c>
      <c r="C287" s="52">
        <v>10</v>
      </c>
      <c r="D287" s="33">
        <v>2898</v>
      </c>
      <c r="E287" s="33">
        <v>169</v>
      </c>
      <c r="F287" s="33">
        <v>169</v>
      </c>
      <c r="G287" s="33">
        <f>D287-F287</f>
        <v>2729</v>
      </c>
      <c r="H287" s="283">
        <f>'Inch_Ft Piping'!$I$29</f>
        <v>0.45430994088953769</v>
      </c>
      <c r="I287" s="150">
        <f t="shared" si="75"/>
        <v>1239.8118286875483</v>
      </c>
      <c r="J287" s="150">
        <f t="shared" si="76"/>
        <v>76.778380010331873</v>
      </c>
      <c r="L287" s="33">
        <f t="shared" si="73"/>
        <v>0</v>
      </c>
    </row>
    <row r="288" spans="1:12" x14ac:dyDescent="0.35">
      <c r="B288" s="26" t="s">
        <v>1546</v>
      </c>
      <c r="C288" s="52">
        <v>10</v>
      </c>
      <c r="D288" s="26">
        <v>3974</v>
      </c>
      <c r="E288" s="26">
        <v>199</v>
      </c>
      <c r="F288" s="26">
        <v>199</v>
      </c>
      <c r="G288" s="26">
        <f>D288-F288</f>
        <v>3775</v>
      </c>
      <c r="H288" s="283">
        <f>'Inch_Ft Piping'!$I$29</f>
        <v>0.45430994088953769</v>
      </c>
      <c r="I288" s="150">
        <f t="shared" si="75"/>
        <v>1715.0200268580047</v>
      </c>
      <c r="J288" s="150">
        <f t="shared" si="76"/>
        <v>90.407678237018004</v>
      </c>
      <c r="L288" s="33">
        <f t="shared" si="73"/>
        <v>0</v>
      </c>
    </row>
    <row r="289" spans="1:10" x14ac:dyDescent="0.35">
      <c r="B289" s="25" t="s">
        <v>234</v>
      </c>
      <c r="C289" s="27"/>
      <c r="D289" s="25">
        <f>SUBTOTAL(9,D284:D288)</f>
        <v>17965</v>
      </c>
      <c r="E289" s="25">
        <f t="shared" ref="E289:G289" si="77">SUBTOTAL(9,E284:E288)</f>
        <v>604</v>
      </c>
      <c r="F289" s="574">
        <f t="shared" si="77"/>
        <v>8212.51</v>
      </c>
      <c r="G289" s="25">
        <f t="shared" si="77"/>
        <v>9752.49</v>
      </c>
    </row>
    <row r="290" spans="1:10" ht="16" thickBot="1" x14ac:dyDescent="0.4">
      <c r="A290" s="25" t="s">
        <v>640</v>
      </c>
      <c r="D290" s="100">
        <f>SUBTOTAL(9,D8:D288)</f>
        <v>34644711.140000008</v>
      </c>
      <c r="E290" s="100">
        <f>SUBTOTAL(9,E8:E288)</f>
        <v>903171.95541666611</v>
      </c>
      <c r="F290" s="100">
        <f>SUBTOTAL(9,F8:F288)</f>
        <v>14834616.66</v>
      </c>
      <c r="G290" s="100">
        <f>SUBTOTAL(9,G8:G288)</f>
        <v>19803924.98</v>
      </c>
      <c r="I290" s="100">
        <f>SUM(I8:I288)</f>
        <v>16759187.074466068</v>
      </c>
      <c r="J290" s="100">
        <f>SUM(J8:J288)</f>
        <v>780771.86573166703</v>
      </c>
    </row>
    <row r="291" spans="1:10" ht="9" customHeight="1" thickTop="1" x14ac:dyDescent="0.35"/>
    <row r="292" spans="1:10" x14ac:dyDescent="0.35">
      <c r="A292" s="26" t="s">
        <v>345</v>
      </c>
      <c r="J292" s="588">
        <f>J290/E290</f>
        <v>0.86447753503536162</v>
      </c>
    </row>
    <row r="293" spans="1:10" ht="16" thickBot="1" x14ac:dyDescent="0.4">
      <c r="B293" s="26" t="s">
        <v>680</v>
      </c>
      <c r="D293" s="33">
        <v>-202979</v>
      </c>
      <c r="F293" s="33">
        <v>-98436</v>
      </c>
    </row>
    <row r="294" spans="1:10" ht="16" thickBot="1" x14ac:dyDescent="0.4">
      <c r="A294" s="570" t="s">
        <v>681</v>
      </c>
      <c r="B294" s="571"/>
      <c r="C294" s="571"/>
      <c r="D294" s="572">
        <f>D290+D293</f>
        <v>34441732.140000008</v>
      </c>
      <c r="E294" s="571"/>
      <c r="F294" s="572">
        <f>F290+F293</f>
        <v>14736180.66</v>
      </c>
      <c r="G294" s="573">
        <f>D294-F294</f>
        <v>19705551.480000008</v>
      </c>
    </row>
    <row r="296" spans="1:10" x14ac:dyDescent="0.35">
      <c r="D296" s="33"/>
      <c r="F296" s="33"/>
    </row>
    <row r="298" spans="1:10" x14ac:dyDescent="0.35">
      <c r="D298" s="33"/>
      <c r="F298" s="33"/>
    </row>
  </sheetData>
  <phoneticPr fontId="7" type="noConversion"/>
  <pageMargins left="0.75" right="0.75" top="1" bottom="1" header="0.5" footer="0.5"/>
  <pageSetup scale="42" orientation="portrait" blackAndWhite="1" r:id="rId1"/>
  <headerFooter alignWithMargins="0"/>
  <rowBreaks count="1" manualBreakCount="1">
    <brk id="1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9"/>
  </sheetPr>
  <dimension ref="A3:I45"/>
  <sheetViews>
    <sheetView view="pageBreakPreview" zoomScale="60" zoomScaleNormal="75" workbookViewId="0">
      <selection activeCell="P16" sqref="P16"/>
    </sheetView>
  </sheetViews>
  <sheetFormatPr defaultColWidth="8.7265625" defaultRowHeight="13" x14ac:dyDescent="0.3"/>
  <cols>
    <col min="1" max="1" width="7.7265625" style="248" customWidth="1"/>
    <col min="2" max="2" width="5.26953125" style="248" customWidth="1"/>
    <col min="3" max="3" width="12" style="248" customWidth="1"/>
    <col min="4" max="4" width="16.453125" style="248" customWidth="1"/>
    <col min="5" max="5" width="8.7265625" style="248"/>
    <col min="6" max="6" width="17" style="248" customWidth="1"/>
    <col min="7" max="7" width="13.7265625" style="248" customWidth="1"/>
    <col min="8" max="8" width="8.7265625" style="248"/>
    <col min="9" max="9" width="20.7265625" style="248" customWidth="1"/>
    <col min="10" max="16384" width="8.7265625" style="248"/>
  </cols>
  <sheetData>
    <row r="3" spans="1:9" ht="46" x14ac:dyDescent="0.95">
      <c r="A3" s="596" t="s">
        <v>437</v>
      </c>
      <c r="B3" s="597"/>
      <c r="C3" s="597"/>
      <c r="D3" s="597"/>
      <c r="E3" s="597"/>
      <c r="F3" s="597"/>
      <c r="G3" s="597"/>
      <c r="H3" s="597"/>
      <c r="I3" s="597"/>
    </row>
    <row r="4" spans="1:9" ht="25.5" x14ac:dyDescent="0.55000000000000004">
      <c r="A4" s="598" t="s">
        <v>377</v>
      </c>
      <c r="B4" s="598"/>
      <c r="C4" s="598"/>
      <c r="D4" s="598"/>
      <c r="E4" s="598"/>
      <c r="F4" s="598"/>
      <c r="G4" s="598"/>
      <c r="H4" s="598"/>
      <c r="I4" s="598"/>
    </row>
    <row r="7" spans="1:9" ht="17.5" x14ac:dyDescent="0.35">
      <c r="A7" s="251" t="s">
        <v>378</v>
      </c>
      <c r="G7" s="253" t="s">
        <v>387</v>
      </c>
    </row>
    <row r="8" spans="1:9" ht="15.5" x14ac:dyDescent="0.35">
      <c r="A8" s="249" t="s">
        <v>154</v>
      </c>
      <c r="B8" s="254"/>
      <c r="C8" s="252" t="s">
        <v>335</v>
      </c>
      <c r="D8" s="249"/>
      <c r="E8" s="249"/>
    </row>
    <row r="9" spans="1:9" ht="15.5" x14ac:dyDescent="0.35">
      <c r="A9" s="249" t="s">
        <v>154</v>
      </c>
      <c r="B9" s="254"/>
      <c r="C9" s="252" t="s">
        <v>402</v>
      </c>
      <c r="D9" s="249"/>
      <c r="E9" s="249"/>
    </row>
    <row r="10" spans="1:9" ht="15.5" x14ac:dyDescent="0.35">
      <c r="A10" s="249" t="s">
        <v>154</v>
      </c>
      <c r="B10" s="254"/>
      <c r="C10" s="252" t="s">
        <v>403</v>
      </c>
      <c r="D10" s="249"/>
      <c r="E10" s="249"/>
    </row>
    <row r="11" spans="1:9" ht="15.5" x14ac:dyDescent="0.35">
      <c r="A11" s="249" t="s">
        <v>154</v>
      </c>
      <c r="B11" s="254"/>
      <c r="C11" s="252" t="s">
        <v>379</v>
      </c>
      <c r="D11" s="249"/>
      <c r="E11" s="249"/>
    </row>
    <row r="13" spans="1:9" ht="17.5" x14ac:dyDescent="0.35">
      <c r="A13" s="251" t="s">
        <v>380</v>
      </c>
    </row>
    <row r="14" spans="1:9" ht="15.5" x14ac:dyDescent="0.35">
      <c r="A14" s="249" t="s">
        <v>154</v>
      </c>
      <c r="B14" s="32"/>
      <c r="C14" s="252" t="s">
        <v>111</v>
      </c>
      <c r="D14" s="249"/>
      <c r="E14" s="249"/>
    </row>
    <row r="15" spans="1:9" ht="15.5" x14ac:dyDescent="0.35">
      <c r="A15" s="249" t="s">
        <v>154</v>
      </c>
      <c r="B15" s="32"/>
      <c r="C15" s="252" t="s">
        <v>381</v>
      </c>
      <c r="D15" s="249"/>
      <c r="E15" s="249"/>
    </row>
    <row r="16" spans="1:9" ht="15.5" x14ac:dyDescent="0.35">
      <c r="A16" s="249" t="s">
        <v>154</v>
      </c>
      <c r="B16" s="32"/>
      <c r="C16" s="252" t="s">
        <v>40</v>
      </c>
      <c r="D16" s="249"/>
      <c r="E16" s="249"/>
    </row>
    <row r="17" spans="1:7" ht="15.5" x14ac:dyDescent="0.35">
      <c r="A17" s="249" t="s">
        <v>154</v>
      </c>
      <c r="B17" s="32"/>
      <c r="C17" s="252" t="s">
        <v>382</v>
      </c>
      <c r="D17" s="249"/>
      <c r="E17" s="249"/>
    </row>
    <row r="18" spans="1:7" ht="15.5" x14ac:dyDescent="0.35">
      <c r="A18" s="249" t="s">
        <v>154</v>
      </c>
      <c r="B18" s="32"/>
      <c r="C18" s="252" t="s">
        <v>120</v>
      </c>
      <c r="D18" s="249"/>
      <c r="E18" s="249"/>
    </row>
    <row r="19" spans="1:7" ht="15.5" x14ac:dyDescent="0.35">
      <c r="A19" s="249" t="s">
        <v>154</v>
      </c>
      <c r="B19" s="32"/>
      <c r="C19" s="252" t="s">
        <v>383</v>
      </c>
      <c r="D19" s="249"/>
      <c r="E19" s="249"/>
    </row>
    <row r="20" spans="1:7" ht="15.5" x14ac:dyDescent="0.35">
      <c r="A20" s="249" t="s">
        <v>154</v>
      </c>
      <c r="B20" s="32"/>
      <c r="C20" s="252" t="s">
        <v>422</v>
      </c>
      <c r="D20" s="249"/>
      <c r="E20" s="249"/>
    </row>
    <row r="21" spans="1:7" ht="15.5" x14ac:dyDescent="0.35">
      <c r="A21" s="249" t="s">
        <v>154</v>
      </c>
      <c r="B21" s="32"/>
      <c r="C21" s="252" t="s">
        <v>230</v>
      </c>
      <c r="D21" s="249"/>
      <c r="E21" s="249"/>
    </row>
    <row r="22" spans="1:7" ht="15.5" x14ac:dyDescent="0.35">
      <c r="A22" s="249"/>
      <c r="B22" s="249"/>
      <c r="C22" s="249"/>
      <c r="D22" s="249"/>
      <c r="E22" s="249"/>
    </row>
    <row r="23" spans="1:7" ht="17.5" x14ac:dyDescent="0.35">
      <c r="A23" s="251" t="s">
        <v>396</v>
      </c>
      <c r="B23" s="249"/>
      <c r="C23" s="249"/>
      <c r="D23" s="249"/>
      <c r="E23" s="249"/>
    </row>
    <row r="24" spans="1:7" ht="15.5" x14ac:dyDescent="0.35">
      <c r="A24" s="249" t="s">
        <v>154</v>
      </c>
      <c r="B24" s="255"/>
      <c r="C24" s="252" t="s">
        <v>389</v>
      </c>
      <c r="D24" s="249"/>
      <c r="E24" s="249"/>
    </row>
    <row r="25" spans="1:7" ht="15.5" x14ac:dyDescent="0.35">
      <c r="A25" s="249" t="s">
        <v>154</v>
      </c>
      <c r="B25" s="255"/>
      <c r="C25" s="252" t="s">
        <v>390</v>
      </c>
      <c r="D25" s="249"/>
      <c r="E25" s="249"/>
    </row>
    <row r="26" spans="1:7" ht="15.5" x14ac:dyDescent="0.35">
      <c r="A26" s="249" t="s">
        <v>154</v>
      </c>
      <c r="B26" s="255"/>
      <c r="C26" s="252" t="s">
        <v>391</v>
      </c>
      <c r="D26" s="249"/>
      <c r="E26" s="249"/>
    </row>
    <row r="27" spans="1:7" ht="15.5" x14ac:dyDescent="0.35">
      <c r="A27" s="249" t="s">
        <v>154</v>
      </c>
      <c r="B27" s="255"/>
      <c r="C27" s="252" t="s">
        <v>392</v>
      </c>
      <c r="D27" s="249"/>
      <c r="E27" s="249"/>
    </row>
    <row r="28" spans="1:7" ht="15.5" x14ac:dyDescent="0.35">
      <c r="A28" s="249"/>
      <c r="B28" s="249"/>
      <c r="C28" s="249"/>
      <c r="D28" s="249"/>
      <c r="E28" s="249"/>
    </row>
    <row r="29" spans="1:7" ht="17.5" x14ac:dyDescent="0.35">
      <c r="A29" s="251" t="s">
        <v>385</v>
      </c>
      <c r="B29" s="249"/>
      <c r="C29" s="249"/>
      <c r="D29" s="249"/>
      <c r="E29" s="249"/>
    </row>
    <row r="30" spans="1:7" ht="15.5" x14ac:dyDescent="0.35">
      <c r="A30" s="249" t="s">
        <v>154</v>
      </c>
      <c r="B30" s="256"/>
      <c r="C30" s="252" t="s">
        <v>155</v>
      </c>
      <c r="D30" s="249"/>
      <c r="E30" s="249"/>
      <c r="F30" s="249"/>
    </row>
    <row r="31" spans="1:7" ht="15.5" x14ac:dyDescent="0.35">
      <c r="A31" s="249" t="s">
        <v>154</v>
      </c>
      <c r="B31" s="256"/>
      <c r="C31" s="252" t="s">
        <v>384</v>
      </c>
      <c r="D31" s="249"/>
      <c r="E31" s="249"/>
      <c r="F31" s="249"/>
      <c r="G31" s="250" t="s">
        <v>388</v>
      </c>
    </row>
    <row r="32" spans="1:7" ht="15.5" x14ac:dyDescent="0.35">
      <c r="A32" s="249"/>
      <c r="B32" s="249"/>
      <c r="C32" s="249"/>
      <c r="D32" s="249"/>
      <c r="E32" s="249"/>
      <c r="F32" s="249"/>
    </row>
    <row r="33" spans="1:6" ht="17.5" x14ac:dyDescent="0.35">
      <c r="A33" s="251" t="s">
        <v>401</v>
      </c>
    </row>
    <row r="34" spans="1:6" ht="15.5" x14ac:dyDescent="0.35">
      <c r="A34" s="249" t="s">
        <v>154</v>
      </c>
      <c r="B34" s="257"/>
      <c r="C34" s="252" t="s">
        <v>386</v>
      </c>
      <c r="D34" s="249"/>
    </row>
    <row r="35" spans="1:6" ht="15.5" x14ac:dyDescent="0.35">
      <c r="A35" s="249" t="s">
        <v>154</v>
      </c>
      <c r="B35" s="257"/>
      <c r="C35" s="252" t="s">
        <v>297</v>
      </c>
      <c r="D35" s="249"/>
      <c r="E35" s="249"/>
      <c r="F35" s="249"/>
    </row>
    <row r="36" spans="1:6" ht="15.5" x14ac:dyDescent="0.35">
      <c r="A36" s="249" t="s">
        <v>154</v>
      </c>
      <c r="B36" s="257"/>
      <c r="C36" s="252" t="s">
        <v>400</v>
      </c>
      <c r="D36" s="249"/>
      <c r="E36" s="249"/>
      <c r="F36" s="249"/>
    </row>
    <row r="37" spans="1:6" ht="15.5" x14ac:dyDescent="0.35">
      <c r="A37" s="249" t="s">
        <v>154</v>
      </c>
      <c r="B37" s="257"/>
      <c r="C37" s="252" t="s">
        <v>398</v>
      </c>
      <c r="D37" s="249"/>
      <c r="E37" s="249"/>
      <c r="F37" s="249"/>
    </row>
    <row r="38" spans="1:6" ht="15.5" x14ac:dyDescent="0.35">
      <c r="A38" s="249" t="s">
        <v>154</v>
      </c>
      <c r="B38" s="257"/>
      <c r="C38" s="252" t="s">
        <v>399</v>
      </c>
      <c r="D38" s="249"/>
      <c r="E38" s="249"/>
      <c r="F38" s="249"/>
    </row>
    <row r="39" spans="1:6" ht="15.5" x14ac:dyDescent="0.35">
      <c r="A39" s="249"/>
      <c r="B39" s="249"/>
      <c r="C39" s="249"/>
      <c r="D39" s="249"/>
      <c r="E39" s="249"/>
      <c r="F39" s="249"/>
    </row>
    <row r="40" spans="1:6" ht="17.5" x14ac:dyDescent="0.35">
      <c r="A40" s="251" t="s">
        <v>397</v>
      </c>
    </row>
    <row r="41" spans="1:6" ht="15.5" x14ac:dyDescent="0.35">
      <c r="A41" s="249" t="s">
        <v>154</v>
      </c>
      <c r="B41" s="72"/>
      <c r="C41" s="252" t="s">
        <v>393</v>
      </c>
      <c r="D41" s="249"/>
      <c r="E41" s="249"/>
    </row>
    <row r="42" spans="1:6" ht="15.5" x14ac:dyDescent="0.35">
      <c r="A42" s="249" t="s">
        <v>154</v>
      </c>
      <c r="B42" s="72"/>
      <c r="C42" s="252" t="s">
        <v>394</v>
      </c>
      <c r="D42" s="249"/>
      <c r="E42" s="249"/>
    </row>
    <row r="43" spans="1:6" ht="15.5" x14ac:dyDescent="0.35">
      <c r="A43" s="249" t="s">
        <v>154</v>
      </c>
      <c r="B43" s="72"/>
      <c r="C43" s="252" t="s">
        <v>395</v>
      </c>
      <c r="D43" s="249"/>
      <c r="E43" s="249"/>
    </row>
    <row r="44" spans="1:6" ht="15.5" x14ac:dyDescent="0.35">
      <c r="A44" s="249"/>
      <c r="B44" s="249"/>
      <c r="C44" s="249"/>
      <c r="D44" s="249"/>
      <c r="E44" s="249"/>
    </row>
    <row r="45" spans="1:6" ht="15.5" x14ac:dyDescent="0.35">
      <c r="A45" s="249"/>
      <c r="B45" s="249"/>
      <c r="C45" s="249"/>
      <c r="D45" s="249"/>
      <c r="E45" s="249"/>
    </row>
  </sheetData>
  <mergeCells count="2">
    <mergeCell ref="A3:I3"/>
    <mergeCell ref="A4:I4"/>
  </mergeCells>
  <phoneticPr fontId="7" type="noConversion"/>
  <hyperlinks>
    <hyperlink ref="C8" location="Summary!A1" display="Revenue Requirement Summary" xr:uid="{00000000-0004-0000-0100-000000000000}"/>
    <hyperlink ref="C9" location="Impacts!A1" display="Billing Analysis - Existing Tarrif Structure" xr:uid="{00000000-0004-0000-0100-000001000000}"/>
    <hyperlink ref="C10" location="Impacts!A81" display="Billing Analysis - Proposed Tarrif Structure" xr:uid="{00000000-0004-0000-0100-000002000000}"/>
    <hyperlink ref="C11" location="Impacts!A158" display="Billing Analysis - Comparison" xr:uid="{00000000-0004-0000-0100-000003000000}"/>
    <hyperlink ref="C14" location="'Test Year Detail'!A1" display="Revenue Requirement Detail" xr:uid="{00000000-0004-0000-0100-000004000000}"/>
    <hyperlink ref="C15" location="CIP!A1" display="Capital Improvements Plan" xr:uid="{00000000-0004-0000-0100-000005000000}"/>
    <hyperlink ref="C16" location="'Debt Service'!A1" display="Debt Service" xr:uid="{00000000-0004-0000-0100-000006000000}"/>
    <hyperlink ref="C17" location="'Debt Service'!A31" display="3-Year Average Debt Service" xr:uid="{00000000-0004-0000-0100-000007000000}"/>
    <hyperlink ref="C18" location="'Revenue Offsets'!A1" display="Revenue Offsets" xr:uid="{00000000-0004-0000-0100-000008000000}"/>
    <hyperlink ref="C19" location="'Misc Charges'!A1" display="Miscellaneous Charge Support" xr:uid="{00000000-0004-0000-0100-000009000000}"/>
    <hyperlink ref="C30" location="COS!A1" display="Cost of Service Allocations" xr:uid="{00000000-0004-0000-0100-00000A000000}"/>
    <hyperlink ref="C31" location="Categories!A1" display="Cost Categories" xr:uid="{00000000-0004-0000-0100-00000B000000}"/>
    <hyperlink ref="C34" location="'Rate Calculations'!A1" display="Calculation of Additional Revenue Needs" xr:uid="{00000000-0004-0000-0100-00000C000000}"/>
    <hyperlink ref="C35" location="'Rate Calculations'!A30" display="Proposed Rates" xr:uid="{00000000-0004-0000-0100-00000D000000}"/>
    <hyperlink ref="C24" location="Personnel!A1" display="Known and Measurable Changes - Personnel" xr:uid="{00000000-0004-0000-0100-00000E000000}"/>
    <hyperlink ref="C25" location="Index!A1" display="Known and Measurable Changes - Insurance" xr:uid="{00000000-0004-0000-0100-00000F000000}"/>
    <hyperlink ref="C26" location="Dep_Amor!A1" display="Known and Measurable Changes - Depreciation/Amortization" xr:uid="{00000000-0004-0000-0100-000010000000}"/>
    <hyperlink ref="C27" location="'Contract Operations'!A1" display="Known and Measurable Changes - Contract Operations" xr:uid="{00000000-0004-0000-0100-000011000000}"/>
    <hyperlink ref="C41" location="Wholesale!A1" display="Wholesale Rate Summary" xr:uid="{00000000-0004-0000-0100-000012000000}"/>
    <hyperlink ref="C42" location="'Fixed Assets'!A1" display="Fixed Assets" xr:uid="{00000000-0004-0000-0100-000013000000}"/>
    <hyperlink ref="C43" location="'Inch_Ft Piping'!A1" display="Sewer System Inch/Feet Piping" xr:uid="{00000000-0004-0000-0100-000014000000}"/>
    <hyperlink ref="C36" location="'Billing Data'!A1" display="Test Year Billing Data - Bills" xr:uid="{00000000-0004-0000-0100-000015000000}"/>
    <hyperlink ref="C37" location="'Billing Data'!A75" display="Test Year Billing Data - Flows" xr:uid="{00000000-0004-0000-0100-000016000000}"/>
    <hyperlink ref="C38" location="'Billing Data'!A150" display="Test Year Billing Data - Annualized Summary" xr:uid="{00000000-0004-0000-0100-000017000000}"/>
    <hyperlink ref="C21" location="Reserves!A1" display="Reserves" xr:uid="{00000000-0004-0000-0100-000018000000}"/>
    <hyperlink ref="C20" location="Proof!A1" display="Revenue Proof" xr:uid="{00000000-0004-0000-0100-000019000000}"/>
  </hyperlinks>
  <pageMargins left="0.75" right="0.75" top="1" bottom="1" header="0.5" footer="0.5"/>
  <pageSetup scale="82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indexed="57"/>
  </sheetPr>
  <dimension ref="A1:I33"/>
  <sheetViews>
    <sheetView view="pageBreakPreview" zoomScale="60" zoomScaleNormal="75" workbookViewId="0">
      <selection activeCell="I4" sqref="I4"/>
    </sheetView>
  </sheetViews>
  <sheetFormatPr defaultColWidth="8.7265625" defaultRowHeight="15.5" x14ac:dyDescent="0.35"/>
  <cols>
    <col min="1" max="1" width="20" style="26" customWidth="1"/>
    <col min="2" max="2" width="10" style="26" customWidth="1"/>
    <col min="3" max="3" width="19.54296875" style="26" customWidth="1"/>
    <col min="4" max="7" width="15.26953125" style="26" customWidth="1"/>
    <col min="8" max="8" width="15.453125" style="26" customWidth="1"/>
    <col min="9" max="9" width="14.26953125" style="26" customWidth="1"/>
    <col min="10" max="16384" width="8.7265625" style="26"/>
  </cols>
  <sheetData>
    <row r="1" spans="1:9" x14ac:dyDescent="0.35">
      <c r="A1" s="25" t="s">
        <v>4</v>
      </c>
    </row>
    <row r="2" spans="1:9" x14ac:dyDescent="0.35">
      <c r="A2" s="25" t="s">
        <v>109</v>
      </c>
    </row>
    <row r="3" spans="1:9" x14ac:dyDescent="0.35">
      <c r="A3" s="25" t="s">
        <v>243</v>
      </c>
      <c r="I3" s="50" t="s">
        <v>1603</v>
      </c>
    </row>
    <row r="4" spans="1:9" ht="16" thickBot="1" x14ac:dyDescent="0.4"/>
    <row r="5" spans="1:9" ht="30" x14ac:dyDescent="0.35">
      <c r="A5" s="175" t="s">
        <v>244</v>
      </c>
      <c r="B5" s="176"/>
      <c r="C5" s="177" t="s">
        <v>257</v>
      </c>
      <c r="D5" s="175" t="s">
        <v>245</v>
      </c>
      <c r="E5" s="177" t="s">
        <v>262</v>
      </c>
      <c r="F5" s="175" t="s">
        <v>258</v>
      </c>
      <c r="G5" s="177" t="s">
        <v>263</v>
      </c>
      <c r="H5" s="177" t="s">
        <v>264</v>
      </c>
      <c r="I5" s="175" t="s">
        <v>245</v>
      </c>
    </row>
    <row r="6" spans="1:9" ht="8.65" customHeight="1" x14ac:dyDescent="0.35"/>
    <row r="7" spans="1:9" x14ac:dyDescent="0.35">
      <c r="A7" s="52">
        <v>2</v>
      </c>
      <c r="C7" s="165">
        <v>4046</v>
      </c>
      <c r="D7" s="168">
        <f>C7/$C$22</f>
        <v>5.2411566815679942E-3</v>
      </c>
      <c r="E7" s="168">
        <f>C7/SUM($C$7:$C$9,$C$11:$C$18)</f>
        <v>3.7193995274910144E-2</v>
      </c>
      <c r="F7" s="178">
        <f>E7*$C$26</f>
        <v>8316.6145374651824</v>
      </c>
      <c r="G7" s="178">
        <f>C7+F7</f>
        <v>12362.614537465182</v>
      </c>
      <c r="H7" s="166">
        <f>G7*A7</f>
        <v>24725.229074930365</v>
      </c>
      <c r="I7" s="168">
        <f>H7/$H$22</f>
        <v>3.467766195853839E-3</v>
      </c>
    </row>
    <row r="8" spans="1:9" x14ac:dyDescent="0.35">
      <c r="A8" s="52">
        <v>4</v>
      </c>
      <c r="C8" s="165">
        <v>14700</v>
      </c>
      <c r="D8" s="168">
        <f t="shared" ref="D8:D20" si="0">C8/$C$22</f>
        <v>1.9042264760022125E-2</v>
      </c>
      <c r="E8" s="168">
        <f t="shared" ref="E8:E18" si="1">C8/SUM($C$7:$C$9,$C$11:$C$18)</f>
        <v>0.13513389286732058</v>
      </c>
      <c r="F8" s="178">
        <f t="shared" ref="F8:F18" si="2">E8*$C$26</f>
        <v>30216.073579025749</v>
      </c>
      <c r="G8" s="178">
        <f t="shared" ref="G8:G18" si="3">C8+F8</f>
        <v>44916.073579025746</v>
      </c>
      <c r="H8" s="166">
        <f t="shared" ref="H8:H18" si="4">G8*A8</f>
        <v>179664.29431610298</v>
      </c>
      <c r="I8" s="168">
        <f t="shared" ref="I8:I18" si="5">H8/$H$22</f>
        <v>2.5198301077138621E-2</v>
      </c>
    </row>
    <row r="9" spans="1:9" x14ac:dyDescent="0.35">
      <c r="A9" s="52">
        <v>6</v>
      </c>
      <c r="C9" s="165">
        <v>9257</v>
      </c>
      <c r="D9" s="168">
        <f t="shared" si="0"/>
        <v>1.1991445230171757E-2</v>
      </c>
      <c r="E9" s="168">
        <f t="shared" si="1"/>
        <v>8.5097581379101131E-2</v>
      </c>
      <c r="F9" s="178">
        <f t="shared" si="2"/>
        <v>19027.904293948392</v>
      </c>
      <c r="G9" s="178">
        <f t="shared" si="3"/>
        <v>28284.904293948392</v>
      </c>
      <c r="H9" s="166">
        <f t="shared" si="4"/>
        <v>169709.42576369035</v>
      </c>
      <c r="I9" s="168">
        <f t="shared" si="5"/>
        <v>2.3802109497048186E-2</v>
      </c>
    </row>
    <row r="10" spans="1:9" x14ac:dyDescent="0.35">
      <c r="A10" s="52">
        <v>8</v>
      </c>
      <c r="C10" s="165">
        <v>215984</v>
      </c>
      <c r="D10" s="168">
        <f t="shared" si="0"/>
        <v>0.27978398040330738</v>
      </c>
      <c r="E10" s="168"/>
      <c r="F10" s="178">
        <f>C25</f>
        <v>223601</v>
      </c>
      <c r="G10" s="178">
        <f t="shared" si="3"/>
        <v>439585</v>
      </c>
      <c r="H10" s="166">
        <f t="shared" si="4"/>
        <v>3516680</v>
      </c>
      <c r="I10" s="168">
        <f t="shared" si="5"/>
        <v>0.49322188234042169</v>
      </c>
    </row>
    <row r="11" spans="1:9" x14ac:dyDescent="0.35">
      <c r="A11" s="52">
        <v>10</v>
      </c>
      <c r="C11" s="165">
        <v>33725</v>
      </c>
      <c r="D11" s="168">
        <f t="shared" si="0"/>
        <v>4.3687100614404499E-2</v>
      </c>
      <c r="E11" s="168">
        <f t="shared" si="1"/>
        <v>0.31002656713948207</v>
      </c>
      <c r="F11" s="178">
        <f t="shared" si="2"/>
        <v>69322.250438955336</v>
      </c>
      <c r="G11" s="178">
        <f t="shared" si="3"/>
        <v>103047.25043895534</v>
      </c>
      <c r="H11" s="166">
        <f t="shared" si="4"/>
        <v>1030472.5043895533</v>
      </c>
      <c r="I11" s="168">
        <f t="shared" si="5"/>
        <v>0.14452597003852041</v>
      </c>
    </row>
    <row r="12" spans="1:9" x14ac:dyDescent="0.35">
      <c r="A12" s="52">
        <v>12</v>
      </c>
      <c r="C12" s="165">
        <v>14993</v>
      </c>
      <c r="D12" s="168">
        <f t="shared" si="0"/>
        <v>1.9421814663062021E-2</v>
      </c>
      <c r="E12" s="168">
        <f t="shared" si="1"/>
        <v>0.13782737794283928</v>
      </c>
      <c r="F12" s="178">
        <f t="shared" si="2"/>
        <v>30818.339535396804</v>
      </c>
      <c r="G12" s="178">
        <f t="shared" si="3"/>
        <v>45811.339535396808</v>
      </c>
      <c r="H12" s="166">
        <f t="shared" si="4"/>
        <v>549736.0744247617</v>
      </c>
      <c r="I12" s="168">
        <f t="shared" si="5"/>
        <v>7.7101658785620281E-2</v>
      </c>
    </row>
    <row r="13" spans="1:9" x14ac:dyDescent="0.35">
      <c r="A13" s="52">
        <v>15</v>
      </c>
      <c r="C13" s="165">
        <v>4802</v>
      </c>
      <c r="D13" s="168">
        <f t="shared" si="0"/>
        <v>6.2204731549405611E-3</v>
      </c>
      <c r="E13" s="168">
        <f t="shared" si="1"/>
        <v>4.4143738336658057E-2</v>
      </c>
      <c r="F13" s="178">
        <f t="shared" si="2"/>
        <v>9870.5840358150781</v>
      </c>
      <c r="G13" s="178">
        <f t="shared" si="3"/>
        <v>14672.584035815078</v>
      </c>
      <c r="H13" s="166">
        <f t="shared" si="4"/>
        <v>220088.76053722616</v>
      </c>
      <c r="I13" s="168">
        <f t="shared" si="5"/>
        <v>3.086791881949481E-2</v>
      </c>
    </row>
    <row r="14" spans="1:9" x14ac:dyDescent="0.35">
      <c r="A14" s="52">
        <v>16</v>
      </c>
      <c r="C14" s="165">
        <v>21184</v>
      </c>
      <c r="D14" s="168">
        <f t="shared" si="0"/>
        <v>2.7441587529000593E-2</v>
      </c>
      <c r="E14" s="168">
        <f t="shared" si="1"/>
        <v>0.19473989023818497</v>
      </c>
      <c r="F14" s="178">
        <f t="shared" si="2"/>
        <v>43544.034197148394</v>
      </c>
      <c r="G14" s="178">
        <f t="shared" si="3"/>
        <v>64728.034197148394</v>
      </c>
      <c r="H14" s="166">
        <f t="shared" si="4"/>
        <v>1035648.5471543743</v>
      </c>
      <c r="I14" s="168">
        <f t="shared" si="5"/>
        <v>0.14525192109336177</v>
      </c>
    </row>
    <row r="15" spans="1:9" x14ac:dyDescent="0.35">
      <c r="A15" s="52">
        <v>18</v>
      </c>
      <c r="C15" s="165">
        <v>2815</v>
      </c>
      <c r="D15" s="168">
        <f t="shared" si="0"/>
        <v>3.6465289319362096E-3</v>
      </c>
      <c r="E15" s="168">
        <f t="shared" si="1"/>
        <v>2.5877680845000507E-2</v>
      </c>
      <c r="F15" s="178">
        <f t="shared" si="2"/>
        <v>5786.2753146229588</v>
      </c>
      <c r="G15" s="178">
        <f t="shared" si="3"/>
        <v>8601.2753146229588</v>
      </c>
      <c r="H15" s="166">
        <f t="shared" si="4"/>
        <v>154822.95566321327</v>
      </c>
      <c r="I15" s="168">
        <f t="shared" si="5"/>
        <v>2.171425026494242E-2</v>
      </c>
    </row>
    <row r="16" spans="1:9" x14ac:dyDescent="0.35">
      <c r="A16" s="52">
        <v>21</v>
      </c>
      <c r="C16" s="165">
        <v>1428</v>
      </c>
      <c r="D16" s="168">
        <f t="shared" si="0"/>
        <v>1.8498200052592922E-3</v>
      </c>
      <c r="E16" s="168">
        <f t="shared" si="1"/>
        <v>1.3127292449968285E-2</v>
      </c>
      <c r="F16" s="178">
        <f t="shared" si="2"/>
        <v>2935.2757191053583</v>
      </c>
      <c r="G16" s="178">
        <f t="shared" si="3"/>
        <v>4363.2757191053588</v>
      </c>
      <c r="H16" s="166">
        <f t="shared" si="4"/>
        <v>91628.790101212537</v>
      </c>
      <c r="I16" s="168">
        <f t="shared" si="5"/>
        <v>1.2851133549340699E-2</v>
      </c>
    </row>
    <row r="17" spans="1:9" x14ac:dyDescent="0.35">
      <c r="A17" s="52">
        <v>24</v>
      </c>
      <c r="C17" s="165">
        <v>600</v>
      </c>
      <c r="D17" s="168">
        <f t="shared" si="0"/>
        <v>7.7723529632743365E-4</v>
      </c>
      <c r="E17" s="168">
        <f t="shared" si="1"/>
        <v>5.5156690966253301E-3</v>
      </c>
      <c r="F17" s="178">
        <f t="shared" si="2"/>
        <v>1233.3091256745204</v>
      </c>
      <c r="G17" s="178">
        <f t="shared" si="3"/>
        <v>1833.3091256745204</v>
      </c>
      <c r="H17" s="166">
        <f t="shared" si="4"/>
        <v>43999.419016188491</v>
      </c>
      <c r="I17" s="168">
        <f t="shared" si="5"/>
        <v>6.1710125086870101E-3</v>
      </c>
    </row>
    <row r="18" spans="1:9" x14ac:dyDescent="0.35">
      <c r="A18" s="52">
        <v>30</v>
      </c>
      <c r="C18" s="165">
        <v>1231</v>
      </c>
      <c r="D18" s="168">
        <f t="shared" si="0"/>
        <v>1.5946277496317848E-3</v>
      </c>
      <c r="E18" s="168">
        <f t="shared" si="1"/>
        <v>1.1316314429909635E-2</v>
      </c>
      <c r="F18" s="178">
        <f t="shared" si="2"/>
        <v>2530.3392228422244</v>
      </c>
      <c r="G18" s="178">
        <f t="shared" si="3"/>
        <v>3761.3392228422244</v>
      </c>
      <c r="H18" s="166">
        <f t="shared" si="4"/>
        <v>112840.17668526674</v>
      </c>
      <c r="I18" s="168">
        <f t="shared" si="5"/>
        <v>1.5826075829570227E-2</v>
      </c>
    </row>
    <row r="19" spans="1:9" ht="6" customHeight="1" x14ac:dyDescent="0.35">
      <c r="A19" s="52"/>
      <c r="C19" s="165"/>
      <c r="D19" s="168"/>
      <c r="E19" s="168"/>
      <c r="F19" s="178"/>
      <c r="G19" s="178"/>
      <c r="H19" s="166"/>
      <c r="I19" s="168"/>
    </row>
    <row r="20" spans="1:9" x14ac:dyDescent="0.35">
      <c r="A20" s="52" t="s">
        <v>256</v>
      </c>
      <c r="C20" s="165">
        <v>447202</v>
      </c>
      <c r="D20" s="168">
        <f t="shared" si="0"/>
        <v>0.57930196498036834</v>
      </c>
      <c r="E20" s="168"/>
      <c r="F20" s="168"/>
      <c r="G20" s="168"/>
      <c r="H20" s="166"/>
      <c r="I20" s="168"/>
    </row>
    <row r="21" spans="1:9" x14ac:dyDescent="0.35">
      <c r="C21" s="165"/>
      <c r="D21" s="165"/>
      <c r="E21" s="165"/>
      <c r="F21" s="165"/>
      <c r="G21" s="165"/>
      <c r="H21" s="165"/>
      <c r="I21" s="165"/>
    </row>
    <row r="22" spans="1:9" x14ac:dyDescent="0.35">
      <c r="A22" s="26" t="s">
        <v>44</v>
      </c>
      <c r="C22" s="165">
        <f>SUM(C7:C21)</f>
        <v>771967</v>
      </c>
      <c r="D22" s="167">
        <f>SUM(D7:D21)</f>
        <v>1</v>
      </c>
      <c r="E22" s="167"/>
      <c r="F22" s="178">
        <f>SUM(F7:F21)</f>
        <v>447202.00000000006</v>
      </c>
      <c r="G22" s="178">
        <f>SUM(G7:G21)</f>
        <v>771967</v>
      </c>
      <c r="H22" s="165">
        <f>SUM(H7:H21)</f>
        <v>7130016.1771265203</v>
      </c>
      <c r="I22" s="167">
        <f>SUM(I7:I21)</f>
        <v>1</v>
      </c>
    </row>
    <row r="24" spans="1:9" x14ac:dyDescent="0.35">
      <c r="A24" s="26" t="s">
        <v>259</v>
      </c>
      <c r="F24" s="165"/>
      <c r="G24" s="165"/>
    </row>
    <row r="25" spans="1:9" x14ac:dyDescent="0.35">
      <c r="A25" s="26" t="s">
        <v>260</v>
      </c>
      <c r="B25" s="401">
        <v>0.5</v>
      </c>
      <c r="C25" s="165">
        <f>C20*B25</f>
        <v>223601</v>
      </c>
    </row>
    <row r="26" spans="1:9" x14ac:dyDescent="0.35">
      <c r="A26" s="26" t="s">
        <v>261</v>
      </c>
      <c r="B26" s="171">
        <f>1-B25</f>
        <v>0.5</v>
      </c>
      <c r="C26" s="165">
        <f>C20*B26</f>
        <v>223601</v>
      </c>
    </row>
    <row r="28" spans="1:9" x14ac:dyDescent="0.35">
      <c r="E28" s="169"/>
      <c r="F28" s="26" t="s">
        <v>980</v>
      </c>
      <c r="G28" s="169"/>
      <c r="I28" s="170">
        <f>SUM(I7:I10)</f>
        <v>0.54569005911046231</v>
      </c>
    </row>
    <row r="29" spans="1:9" x14ac:dyDescent="0.35">
      <c r="E29" s="169"/>
      <c r="F29" s="26" t="s">
        <v>979</v>
      </c>
      <c r="G29" s="169"/>
      <c r="I29" s="171">
        <f>SUM(I11:I18)</f>
        <v>0.45430994088953769</v>
      </c>
    </row>
    <row r="30" spans="1:9" x14ac:dyDescent="0.35">
      <c r="E30" s="169"/>
      <c r="F30" s="169"/>
      <c r="G30" s="169"/>
      <c r="I30" s="169">
        <f>SUM(I28:I29)</f>
        <v>1</v>
      </c>
    </row>
    <row r="31" spans="1:9" x14ac:dyDescent="0.35">
      <c r="A31" s="66"/>
    </row>
    <row r="32" spans="1:9" x14ac:dyDescent="0.35">
      <c r="B32" s="179"/>
    </row>
    <row r="33" spans="2:2" x14ac:dyDescent="0.35">
      <c r="B33" s="179"/>
    </row>
  </sheetData>
  <phoneticPr fontId="7" type="noConversion"/>
  <pageMargins left="0.75" right="0.75" top="1" bottom="1" header="0.5" footer="0.5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indexed="22"/>
  </sheetPr>
  <dimension ref="A1:P446"/>
  <sheetViews>
    <sheetView topLeftCell="A264" zoomScaleNormal="100" workbookViewId="0">
      <selection activeCell="K293" sqref="K293"/>
    </sheetView>
  </sheetViews>
  <sheetFormatPr defaultColWidth="8.7265625" defaultRowHeight="15.5" x14ac:dyDescent="0.35"/>
  <cols>
    <col min="1" max="1" width="4" style="26" customWidth="1"/>
    <col min="2" max="2" width="4.7265625" style="26" customWidth="1"/>
    <col min="3" max="3" width="36.26953125" style="26" customWidth="1"/>
    <col min="4" max="4" width="12.54296875" style="26" customWidth="1"/>
    <col min="5" max="5" width="11.7265625" style="26" customWidth="1"/>
    <col min="6" max="6" width="12.7265625" style="26" customWidth="1"/>
    <col min="7" max="7" width="13.26953125" style="26" customWidth="1"/>
    <col min="8" max="10" width="15.26953125" style="26" customWidth="1"/>
    <col min="11" max="11" width="13.7265625" style="26" customWidth="1"/>
    <col min="12" max="12" width="14.453125" style="26" customWidth="1"/>
    <col min="13" max="13" width="8.7265625" style="26"/>
    <col min="14" max="14" width="13.54296875" style="26" customWidth="1"/>
    <col min="15" max="15" width="11.26953125" style="26" customWidth="1"/>
    <col min="16" max="16" width="10.26953125" style="26" bestFit="1" customWidth="1"/>
    <col min="17" max="16384" width="8.7265625" style="26"/>
  </cols>
  <sheetData>
    <row r="1" spans="1:16" x14ac:dyDescent="0.35">
      <c r="A1" s="25" t="s">
        <v>4</v>
      </c>
      <c r="B1" s="25"/>
    </row>
    <row r="2" spans="1:16" x14ac:dyDescent="0.35">
      <c r="A2" s="25" t="s">
        <v>109</v>
      </c>
      <c r="B2" s="25"/>
    </row>
    <row r="3" spans="1:16" x14ac:dyDescent="0.35">
      <c r="A3" s="25" t="s">
        <v>164</v>
      </c>
      <c r="B3" s="25"/>
      <c r="H3" s="50"/>
      <c r="I3" s="50"/>
      <c r="J3" s="50"/>
      <c r="L3" s="50" t="s">
        <v>1657</v>
      </c>
      <c r="O3" s="528">
        <v>0.03</v>
      </c>
    </row>
    <row r="5" spans="1:16" x14ac:dyDescent="0.35">
      <c r="F5" s="46">
        <v>2012</v>
      </c>
      <c r="G5" s="27"/>
      <c r="H5" s="27"/>
      <c r="I5" s="27"/>
      <c r="J5" s="27"/>
      <c r="K5" s="269" t="s">
        <v>453</v>
      </c>
      <c r="L5" s="270"/>
    </row>
    <row r="6" spans="1:16" ht="48" customHeight="1" x14ac:dyDescent="0.35">
      <c r="B6" s="273"/>
      <c r="C6" s="268"/>
      <c r="D6" s="267" t="s">
        <v>440</v>
      </c>
      <c r="E6" s="266" t="s">
        <v>441</v>
      </c>
      <c r="F6" s="245" t="s">
        <v>112</v>
      </c>
      <c r="G6" s="245" t="s">
        <v>36</v>
      </c>
      <c r="H6" s="271" t="s">
        <v>37</v>
      </c>
      <c r="I6" s="271" t="s">
        <v>460</v>
      </c>
      <c r="J6" s="271" t="s">
        <v>461</v>
      </c>
      <c r="K6" s="272" t="s">
        <v>454</v>
      </c>
      <c r="L6" s="272" t="s">
        <v>455</v>
      </c>
    </row>
    <row r="7" spans="1:16" x14ac:dyDescent="0.35">
      <c r="B7" s="26" t="s">
        <v>456</v>
      </c>
    </row>
    <row r="8" spans="1:16" x14ac:dyDescent="0.35">
      <c r="C8" s="26" t="s">
        <v>165</v>
      </c>
      <c r="D8" s="117">
        <v>22.14</v>
      </c>
      <c r="E8" s="52">
        <v>40</v>
      </c>
      <c r="F8" s="33">
        <f t="shared" ref="F8:F18" si="0">D8*E8*52</f>
        <v>46051.200000000004</v>
      </c>
      <c r="G8" s="265">
        <f>F8*$O$3</f>
        <v>1381.5360000000001</v>
      </c>
      <c r="H8" s="33">
        <f t="shared" ref="H8:H18" si="1">F8+G8</f>
        <v>47432.736000000004</v>
      </c>
      <c r="I8" s="258">
        <v>0.25</v>
      </c>
      <c r="J8" s="274">
        <f>H8*(1-I8)</f>
        <v>35574.552000000003</v>
      </c>
      <c r="K8" s="258">
        <v>0.35</v>
      </c>
      <c r="L8" s="128">
        <f>J8*K8</f>
        <v>12451.093200000001</v>
      </c>
      <c r="N8" s="33"/>
      <c r="O8" s="33"/>
      <c r="P8" s="128"/>
    </row>
    <row r="9" spans="1:16" x14ac:dyDescent="0.35">
      <c r="C9" s="26" t="s">
        <v>1486</v>
      </c>
      <c r="D9" s="117">
        <v>0</v>
      </c>
      <c r="E9" s="52">
        <v>40</v>
      </c>
      <c r="F9" s="33">
        <v>41028</v>
      </c>
      <c r="G9" s="265">
        <f t="shared" ref="G9:G14" si="2">F9*$O$3</f>
        <v>1230.8399999999999</v>
      </c>
      <c r="H9" s="33">
        <f t="shared" si="1"/>
        <v>42258.84</v>
      </c>
      <c r="I9" s="258">
        <v>0</v>
      </c>
      <c r="J9" s="274">
        <f t="shared" ref="J9:J18" si="3">H9*(1-I9)</f>
        <v>42258.84</v>
      </c>
      <c r="K9" s="258">
        <v>0.28000000000000003</v>
      </c>
      <c r="L9" s="128">
        <f t="shared" ref="L9:L18" si="4">J9*K9</f>
        <v>11832.475200000001</v>
      </c>
      <c r="N9" s="34"/>
      <c r="O9" s="34"/>
      <c r="P9" s="128"/>
    </row>
    <row r="10" spans="1:16" x14ac:dyDescent="0.35">
      <c r="C10" s="26" t="s">
        <v>166</v>
      </c>
      <c r="D10" s="117">
        <v>18.57</v>
      </c>
      <c r="E10" s="52">
        <v>40</v>
      </c>
      <c r="F10" s="33">
        <f t="shared" si="0"/>
        <v>38625.599999999999</v>
      </c>
      <c r="G10" s="265">
        <f t="shared" si="2"/>
        <v>1158.7679999999998</v>
      </c>
      <c r="H10" s="33">
        <f t="shared" si="1"/>
        <v>39784.367999999995</v>
      </c>
      <c r="I10" s="258">
        <v>0.25</v>
      </c>
      <c r="J10" s="274">
        <f t="shared" si="3"/>
        <v>29838.275999999998</v>
      </c>
      <c r="K10" s="258">
        <v>0.25</v>
      </c>
      <c r="L10" s="128">
        <f t="shared" si="4"/>
        <v>7459.5689999999995</v>
      </c>
      <c r="N10" s="34"/>
      <c r="O10" s="34"/>
      <c r="P10" s="128"/>
    </row>
    <row r="11" spans="1:16" x14ac:dyDescent="0.35">
      <c r="C11" s="26" t="s">
        <v>167</v>
      </c>
      <c r="D11" s="117">
        <v>22.37</v>
      </c>
      <c r="E11" s="52">
        <v>40</v>
      </c>
      <c r="F11" s="33">
        <f t="shared" si="0"/>
        <v>46529.600000000006</v>
      </c>
      <c r="G11" s="265">
        <f t="shared" si="2"/>
        <v>1395.8880000000001</v>
      </c>
      <c r="H11" s="33">
        <f t="shared" si="1"/>
        <v>47925.488000000005</v>
      </c>
      <c r="I11" s="258">
        <v>0.33</v>
      </c>
      <c r="J11" s="274">
        <f t="shared" si="3"/>
        <v>32110.076959999999</v>
      </c>
      <c r="K11" s="258">
        <v>0.31</v>
      </c>
      <c r="L11" s="128">
        <f t="shared" si="4"/>
        <v>9954.1238575999996</v>
      </c>
      <c r="N11" s="34"/>
      <c r="O11" s="34"/>
      <c r="P11" s="128"/>
    </row>
    <row r="12" spans="1:16" x14ac:dyDescent="0.35">
      <c r="C12" s="26" t="s">
        <v>168</v>
      </c>
      <c r="D12" s="117">
        <v>49.68</v>
      </c>
      <c r="E12" s="52">
        <v>40</v>
      </c>
      <c r="F12" s="33">
        <f t="shared" si="0"/>
        <v>103334.40000000001</v>
      </c>
      <c r="G12" s="265">
        <f>H12-F12</f>
        <v>21673.599999999991</v>
      </c>
      <c r="H12" s="33">
        <f>60.1*2080</f>
        <v>125008</v>
      </c>
      <c r="I12" s="258">
        <v>0.2</v>
      </c>
      <c r="J12" s="274">
        <f t="shared" si="3"/>
        <v>100006.40000000001</v>
      </c>
      <c r="K12" s="258">
        <v>0.25</v>
      </c>
      <c r="L12" s="128">
        <f t="shared" si="4"/>
        <v>25001.600000000002</v>
      </c>
      <c r="N12" s="34"/>
      <c r="O12" s="34"/>
      <c r="P12" s="128"/>
    </row>
    <row r="13" spans="1:16" x14ac:dyDescent="0.35">
      <c r="C13" s="26" t="s">
        <v>438</v>
      </c>
      <c r="D13" s="117">
        <v>32.89</v>
      </c>
      <c r="E13" s="52">
        <v>40</v>
      </c>
      <c r="F13" s="33">
        <f t="shared" si="0"/>
        <v>68411.199999999997</v>
      </c>
      <c r="G13" s="265">
        <f t="shared" si="2"/>
        <v>2052.3359999999998</v>
      </c>
      <c r="H13" s="33">
        <f t="shared" si="1"/>
        <v>70463.535999999993</v>
      </c>
      <c r="I13" s="258">
        <v>0.25</v>
      </c>
      <c r="J13" s="274">
        <f t="shared" si="3"/>
        <v>52847.651999999995</v>
      </c>
      <c r="K13" s="258">
        <v>0.25</v>
      </c>
      <c r="L13" s="128">
        <f t="shared" si="4"/>
        <v>13211.912999999999</v>
      </c>
      <c r="N13" s="34"/>
      <c r="O13" s="34"/>
      <c r="P13" s="128"/>
    </row>
    <row r="14" spans="1:16" x14ac:dyDescent="0.35">
      <c r="C14" s="26" t="s">
        <v>1036</v>
      </c>
      <c r="D14" s="117">
        <v>33.21</v>
      </c>
      <c r="E14" s="52">
        <v>40</v>
      </c>
      <c r="F14" s="33">
        <f t="shared" si="0"/>
        <v>69076.800000000003</v>
      </c>
      <c r="G14" s="265">
        <f t="shared" si="2"/>
        <v>2072.3040000000001</v>
      </c>
      <c r="H14" s="33">
        <f t="shared" si="1"/>
        <v>71149.104000000007</v>
      </c>
      <c r="I14" s="258">
        <v>1</v>
      </c>
      <c r="J14" s="274">
        <f t="shared" si="3"/>
        <v>0</v>
      </c>
      <c r="K14" s="258">
        <v>0.19800000000000001</v>
      </c>
      <c r="L14" s="128">
        <f t="shared" si="4"/>
        <v>0</v>
      </c>
      <c r="N14" s="34"/>
      <c r="O14" s="34"/>
      <c r="P14" s="128"/>
    </row>
    <row r="15" spans="1:16" x14ac:dyDescent="0.35">
      <c r="C15" s="26" t="s">
        <v>1110</v>
      </c>
      <c r="D15" s="117">
        <v>18.739999999999998</v>
      </c>
      <c r="E15" s="52">
        <v>40</v>
      </c>
      <c r="F15" s="33">
        <f t="shared" si="0"/>
        <v>38979.199999999997</v>
      </c>
      <c r="G15" s="265">
        <f>F15*$O$3</f>
        <v>1169.376</v>
      </c>
      <c r="H15" s="33">
        <f t="shared" si="1"/>
        <v>40148.575999999994</v>
      </c>
      <c r="I15" s="258">
        <v>0</v>
      </c>
      <c r="J15" s="274">
        <f t="shared" si="3"/>
        <v>40148.575999999994</v>
      </c>
      <c r="K15" s="258">
        <v>0.32</v>
      </c>
      <c r="L15" s="128">
        <f t="shared" si="4"/>
        <v>12847.544319999999</v>
      </c>
      <c r="N15" s="34"/>
      <c r="O15" s="34"/>
      <c r="P15" s="128"/>
    </row>
    <row r="16" spans="1:16" x14ac:dyDescent="0.35">
      <c r="C16" s="26" t="s">
        <v>439</v>
      </c>
      <c r="D16" s="117">
        <v>34.51</v>
      </c>
      <c r="E16" s="52">
        <v>40</v>
      </c>
      <c r="F16" s="33">
        <f t="shared" si="0"/>
        <v>71780.799999999988</v>
      </c>
      <c r="G16" s="265">
        <f>F16*$O$3</f>
        <v>2153.4239999999995</v>
      </c>
      <c r="H16" s="33">
        <f t="shared" si="1"/>
        <v>73934.223999999987</v>
      </c>
      <c r="I16" s="258">
        <v>0.5</v>
      </c>
      <c r="J16" s="274">
        <f t="shared" si="3"/>
        <v>36967.111999999994</v>
      </c>
      <c r="K16" s="258">
        <v>0.15</v>
      </c>
      <c r="L16" s="128">
        <f t="shared" si="4"/>
        <v>5545.0667999999987</v>
      </c>
      <c r="N16" s="34"/>
      <c r="O16" s="34"/>
      <c r="P16" s="128"/>
    </row>
    <row r="17" spans="2:16" x14ac:dyDescent="0.35">
      <c r="C17" s="26" t="s">
        <v>1109</v>
      </c>
      <c r="D17" s="117">
        <v>27.46</v>
      </c>
      <c r="E17" s="52">
        <v>40</v>
      </c>
      <c r="F17" s="33">
        <f t="shared" si="0"/>
        <v>57116.800000000003</v>
      </c>
      <c r="G17" s="265">
        <f>F17*$O$3</f>
        <v>1713.5040000000001</v>
      </c>
      <c r="H17" s="33">
        <f t="shared" si="1"/>
        <v>58830.304000000004</v>
      </c>
      <c r="I17" s="258">
        <v>0</v>
      </c>
      <c r="J17" s="274">
        <f t="shared" si="3"/>
        <v>58830.304000000004</v>
      </c>
      <c r="K17" s="258">
        <v>0</v>
      </c>
      <c r="L17" s="128">
        <f t="shared" si="4"/>
        <v>0</v>
      </c>
      <c r="N17" s="34"/>
      <c r="O17" s="34"/>
      <c r="P17" s="128"/>
    </row>
    <row r="18" spans="2:16" x14ac:dyDescent="0.35">
      <c r="C18" s="26" t="s">
        <v>448</v>
      </c>
      <c r="D18" s="117">
        <v>25.38</v>
      </c>
      <c r="E18" s="52">
        <v>40</v>
      </c>
      <c r="F18" s="33">
        <f t="shared" si="0"/>
        <v>52790.399999999994</v>
      </c>
      <c r="G18" s="265">
        <f>F18*$O$3</f>
        <v>1583.7119999999998</v>
      </c>
      <c r="H18" s="33">
        <f t="shared" si="1"/>
        <v>54374.111999999994</v>
      </c>
      <c r="I18" s="258">
        <v>0.5</v>
      </c>
      <c r="J18" s="274">
        <f t="shared" si="3"/>
        <v>27187.055999999997</v>
      </c>
      <c r="K18" s="258">
        <v>0.42499999999999999</v>
      </c>
      <c r="L18" s="128">
        <f t="shared" si="4"/>
        <v>11554.498799999998</v>
      </c>
      <c r="N18" s="34"/>
      <c r="O18" s="34"/>
      <c r="P18" s="128"/>
    </row>
    <row r="19" spans="2:16" x14ac:dyDescent="0.35">
      <c r="D19" s="117"/>
      <c r="E19" s="52"/>
      <c r="F19" s="33"/>
      <c r="G19" s="265"/>
      <c r="H19" s="33"/>
      <c r="I19" s="33"/>
      <c r="J19" s="33"/>
      <c r="N19" s="33"/>
      <c r="O19" s="33"/>
    </row>
    <row r="20" spans="2:16" x14ac:dyDescent="0.35">
      <c r="B20" s="26" t="s">
        <v>472</v>
      </c>
      <c r="D20" s="117"/>
      <c r="E20" s="52"/>
      <c r="F20" s="33"/>
      <c r="G20" s="265"/>
      <c r="H20" s="33"/>
      <c r="I20" s="33"/>
      <c r="J20" s="33"/>
    </row>
    <row r="21" spans="2:16" x14ac:dyDescent="0.35">
      <c r="C21" s="26" t="s">
        <v>165</v>
      </c>
      <c r="E21" s="52"/>
      <c r="F21" s="128">
        <v>0</v>
      </c>
      <c r="G21" s="265">
        <f>F21*$O$3</f>
        <v>0</v>
      </c>
      <c r="H21" s="33">
        <f t="shared" ref="H21:H31" si="5">F21+G21</f>
        <v>0</v>
      </c>
      <c r="I21" s="169">
        <f t="shared" ref="I21:I30" si="6">I8</f>
        <v>0.25</v>
      </c>
      <c r="J21" s="274">
        <f>H21*(1-I21)</f>
        <v>0</v>
      </c>
      <c r="K21" s="169">
        <f t="shared" ref="K21:K30" si="7">K8</f>
        <v>0.35</v>
      </c>
      <c r="L21" s="128">
        <f>J21*K21</f>
        <v>0</v>
      </c>
    </row>
    <row r="22" spans="2:16" x14ac:dyDescent="0.35">
      <c r="C22" s="26" t="s">
        <v>1486</v>
      </c>
      <c r="E22" s="52"/>
      <c r="F22" s="128">
        <v>0</v>
      </c>
      <c r="G22" s="265">
        <f t="shared" ref="G22:G31" si="8">F22*$O$3</f>
        <v>0</v>
      </c>
      <c r="H22" s="33">
        <f t="shared" si="5"/>
        <v>0</v>
      </c>
      <c r="I22" s="169">
        <f t="shared" si="6"/>
        <v>0</v>
      </c>
      <c r="J22" s="274">
        <f t="shared" ref="J22:J31" si="9">H22*(1-I22)</f>
        <v>0</v>
      </c>
      <c r="K22" s="169">
        <f t="shared" si="7"/>
        <v>0.28000000000000003</v>
      </c>
      <c r="L22" s="128">
        <f t="shared" ref="L22:L31" si="10">J22*K22</f>
        <v>0</v>
      </c>
    </row>
    <row r="23" spans="2:16" x14ac:dyDescent="0.35">
      <c r="C23" s="26" t="s">
        <v>166</v>
      </c>
      <c r="E23" s="52"/>
      <c r="F23" s="128">
        <v>464</v>
      </c>
      <c r="G23" s="265">
        <f t="shared" si="8"/>
        <v>13.92</v>
      </c>
      <c r="H23" s="33">
        <f t="shared" si="5"/>
        <v>477.92</v>
      </c>
      <c r="I23" s="169">
        <f t="shared" si="6"/>
        <v>0.25</v>
      </c>
      <c r="J23" s="274">
        <f t="shared" si="9"/>
        <v>358.44</v>
      </c>
      <c r="K23" s="169">
        <f t="shared" si="7"/>
        <v>0.25</v>
      </c>
      <c r="L23" s="128">
        <f t="shared" si="10"/>
        <v>89.61</v>
      </c>
    </row>
    <row r="24" spans="2:16" x14ac:dyDescent="0.35">
      <c r="C24" s="26" t="s">
        <v>167</v>
      </c>
      <c r="E24" s="52"/>
      <c r="F24" s="128">
        <v>0</v>
      </c>
      <c r="G24" s="265">
        <f t="shared" si="8"/>
        <v>0</v>
      </c>
      <c r="H24" s="33">
        <f t="shared" si="5"/>
        <v>0</v>
      </c>
      <c r="I24" s="169">
        <f t="shared" si="6"/>
        <v>0.33</v>
      </c>
      <c r="J24" s="274">
        <f t="shared" si="9"/>
        <v>0</v>
      </c>
      <c r="K24" s="169">
        <f t="shared" si="7"/>
        <v>0.31</v>
      </c>
      <c r="L24" s="128">
        <f t="shared" si="10"/>
        <v>0</v>
      </c>
    </row>
    <row r="25" spans="2:16" x14ac:dyDescent="0.35">
      <c r="C25" s="26" t="s">
        <v>168</v>
      </c>
      <c r="E25" s="52"/>
      <c r="F25" s="128">
        <v>0</v>
      </c>
      <c r="G25" s="265">
        <f t="shared" si="8"/>
        <v>0</v>
      </c>
      <c r="H25" s="33">
        <f t="shared" si="5"/>
        <v>0</v>
      </c>
      <c r="I25" s="169">
        <f t="shared" si="6"/>
        <v>0.2</v>
      </c>
      <c r="J25" s="274">
        <f t="shared" si="9"/>
        <v>0</v>
      </c>
      <c r="K25" s="169">
        <f t="shared" si="7"/>
        <v>0.25</v>
      </c>
      <c r="L25" s="128">
        <f t="shared" si="10"/>
        <v>0</v>
      </c>
    </row>
    <row r="26" spans="2:16" x14ac:dyDescent="0.35">
      <c r="C26" s="26" t="s">
        <v>438</v>
      </c>
      <c r="E26" s="52"/>
      <c r="F26" s="128">
        <v>0</v>
      </c>
      <c r="G26" s="265">
        <f t="shared" si="8"/>
        <v>0</v>
      </c>
      <c r="H26" s="33">
        <f t="shared" si="5"/>
        <v>0</v>
      </c>
      <c r="I26" s="169">
        <f t="shared" si="6"/>
        <v>0.25</v>
      </c>
      <c r="J26" s="274">
        <f t="shared" si="9"/>
        <v>0</v>
      </c>
      <c r="K26" s="169">
        <f t="shared" si="7"/>
        <v>0.25</v>
      </c>
      <c r="L26" s="128">
        <f t="shared" si="10"/>
        <v>0</v>
      </c>
    </row>
    <row r="27" spans="2:16" x14ac:dyDescent="0.35">
      <c r="C27" s="26" t="s">
        <v>1036</v>
      </c>
      <c r="E27" s="52"/>
      <c r="F27" s="128">
        <v>0</v>
      </c>
      <c r="G27" s="265">
        <f t="shared" si="8"/>
        <v>0</v>
      </c>
      <c r="H27" s="33">
        <f t="shared" si="5"/>
        <v>0</v>
      </c>
      <c r="I27" s="169">
        <f t="shared" si="6"/>
        <v>1</v>
      </c>
      <c r="J27" s="274">
        <f t="shared" si="9"/>
        <v>0</v>
      </c>
      <c r="K27" s="169">
        <f t="shared" si="7"/>
        <v>0.19800000000000001</v>
      </c>
      <c r="L27" s="128">
        <f t="shared" si="10"/>
        <v>0</v>
      </c>
    </row>
    <row r="28" spans="2:16" x14ac:dyDescent="0.35">
      <c r="C28" s="26" t="s">
        <v>1110</v>
      </c>
      <c r="E28" s="52"/>
      <c r="F28" s="128">
        <v>468</v>
      </c>
      <c r="G28" s="265">
        <f t="shared" si="8"/>
        <v>14.04</v>
      </c>
      <c r="H28" s="33">
        <f t="shared" si="5"/>
        <v>482.04</v>
      </c>
      <c r="I28" s="169">
        <f t="shared" si="6"/>
        <v>0</v>
      </c>
      <c r="J28" s="274">
        <f t="shared" si="9"/>
        <v>482.04</v>
      </c>
      <c r="K28" s="169">
        <f t="shared" si="7"/>
        <v>0.32</v>
      </c>
      <c r="L28" s="128">
        <f t="shared" si="10"/>
        <v>154.25280000000001</v>
      </c>
    </row>
    <row r="29" spans="2:16" x14ac:dyDescent="0.35">
      <c r="C29" s="26" t="s">
        <v>439</v>
      </c>
      <c r="E29" s="52"/>
      <c r="F29" s="128">
        <v>0</v>
      </c>
      <c r="G29" s="265">
        <f t="shared" si="8"/>
        <v>0</v>
      </c>
      <c r="H29" s="33">
        <f t="shared" si="5"/>
        <v>0</v>
      </c>
      <c r="I29" s="169">
        <f t="shared" si="6"/>
        <v>0.5</v>
      </c>
      <c r="J29" s="274">
        <f t="shared" si="9"/>
        <v>0</v>
      </c>
      <c r="K29" s="169">
        <f t="shared" si="7"/>
        <v>0.15</v>
      </c>
      <c r="L29" s="128">
        <f t="shared" si="10"/>
        <v>0</v>
      </c>
    </row>
    <row r="30" spans="2:16" x14ac:dyDescent="0.35">
      <c r="C30" s="26" t="s">
        <v>1109</v>
      </c>
      <c r="E30" s="52"/>
      <c r="F30" s="128">
        <v>0</v>
      </c>
      <c r="G30" s="265">
        <f t="shared" si="8"/>
        <v>0</v>
      </c>
      <c r="H30" s="33">
        <f t="shared" si="5"/>
        <v>0</v>
      </c>
      <c r="I30" s="169">
        <f t="shared" si="6"/>
        <v>0</v>
      </c>
      <c r="J30" s="274">
        <f t="shared" si="9"/>
        <v>0</v>
      </c>
      <c r="K30" s="169">
        <f t="shared" si="7"/>
        <v>0</v>
      </c>
      <c r="L30" s="128">
        <f t="shared" si="10"/>
        <v>0</v>
      </c>
    </row>
    <row r="31" spans="2:16" x14ac:dyDescent="0.35">
      <c r="C31" s="26" t="s">
        <v>448</v>
      </c>
      <c r="D31" s="117"/>
      <c r="E31" s="52"/>
      <c r="F31" s="128">
        <v>0</v>
      </c>
      <c r="G31" s="265">
        <f t="shared" si="8"/>
        <v>0</v>
      </c>
      <c r="H31" s="33">
        <f t="shared" si="5"/>
        <v>0</v>
      </c>
      <c r="I31" s="169">
        <f>I18</f>
        <v>0.5</v>
      </c>
      <c r="J31" s="274">
        <f t="shared" si="9"/>
        <v>0</v>
      </c>
      <c r="K31" s="169">
        <f>K18</f>
        <v>0.42499999999999999</v>
      </c>
      <c r="L31" s="128">
        <f t="shared" si="10"/>
        <v>0</v>
      </c>
    </row>
    <row r="32" spans="2:16" x14ac:dyDescent="0.35">
      <c r="D32" s="117"/>
      <c r="E32" s="52"/>
      <c r="F32" s="33"/>
      <c r="G32" s="265"/>
      <c r="H32" s="33"/>
      <c r="I32" s="33"/>
      <c r="J32" s="33"/>
    </row>
    <row r="33" spans="2:15" x14ac:dyDescent="0.35">
      <c r="B33" s="26" t="s">
        <v>473</v>
      </c>
      <c r="D33" s="117"/>
      <c r="E33" s="52"/>
      <c r="F33" s="33"/>
      <c r="G33" s="265"/>
      <c r="H33" s="33"/>
      <c r="I33" s="33"/>
      <c r="J33" s="33"/>
      <c r="O33" s="279">
        <v>0</v>
      </c>
    </row>
    <row r="34" spans="2:15" x14ac:dyDescent="0.35">
      <c r="C34" s="26" t="s">
        <v>165</v>
      </c>
      <c r="D34" s="117"/>
      <c r="E34" s="52"/>
      <c r="F34" s="33">
        <v>6535</v>
      </c>
      <c r="G34" s="265">
        <f>H34-F34</f>
        <v>0</v>
      </c>
      <c r="H34" s="33">
        <f>F34*(1+$O$33)</f>
        <v>6535</v>
      </c>
      <c r="I34" s="169">
        <f t="shared" ref="I34:I43" si="11">I21</f>
        <v>0.25</v>
      </c>
      <c r="J34" s="274">
        <f>H34*(1-I34)</f>
        <v>4901.25</v>
      </c>
      <c r="K34" s="169">
        <f t="shared" ref="K34:K43" si="12">K21</f>
        <v>0.35</v>
      </c>
      <c r="L34" s="128">
        <f>J34*K34</f>
        <v>1715.4375</v>
      </c>
    </row>
    <row r="35" spans="2:15" x14ac:dyDescent="0.35">
      <c r="C35" s="26" t="s">
        <v>1486</v>
      </c>
      <c r="D35" s="117"/>
      <c r="E35" s="52"/>
      <c r="F35" s="33">
        <v>0</v>
      </c>
      <c r="G35" s="265">
        <f t="shared" ref="G35:G44" si="13">H35-F35</f>
        <v>0</v>
      </c>
      <c r="H35" s="33">
        <f t="shared" ref="H35:H44" si="14">F35*(1+$O$33)</f>
        <v>0</v>
      </c>
      <c r="I35" s="169">
        <f t="shared" si="11"/>
        <v>0</v>
      </c>
      <c r="J35" s="274">
        <f t="shared" ref="J35:J44" si="15">H35*(1-I35)</f>
        <v>0</v>
      </c>
      <c r="K35" s="169">
        <f t="shared" si="12"/>
        <v>0.28000000000000003</v>
      </c>
      <c r="L35" s="128">
        <f t="shared" ref="L35:L44" si="16">J35*K35</f>
        <v>0</v>
      </c>
    </row>
    <row r="36" spans="2:15" x14ac:dyDescent="0.35">
      <c r="C36" s="26" t="s">
        <v>166</v>
      </c>
      <c r="D36" s="117"/>
      <c r="E36" s="52"/>
      <c r="F36" s="33">
        <v>6535</v>
      </c>
      <c r="G36" s="265">
        <f t="shared" si="13"/>
        <v>0</v>
      </c>
      <c r="H36" s="33">
        <f t="shared" si="14"/>
        <v>6535</v>
      </c>
      <c r="I36" s="169">
        <f t="shared" si="11"/>
        <v>0.25</v>
      </c>
      <c r="J36" s="274">
        <f t="shared" si="15"/>
        <v>4901.25</v>
      </c>
      <c r="K36" s="169">
        <f t="shared" si="12"/>
        <v>0.25</v>
      </c>
      <c r="L36" s="128">
        <f t="shared" si="16"/>
        <v>1225.3125</v>
      </c>
    </row>
    <row r="37" spans="2:15" x14ac:dyDescent="0.35">
      <c r="C37" s="26" t="s">
        <v>167</v>
      </c>
      <c r="D37" s="117"/>
      <c r="E37" s="52"/>
      <c r="F37" s="33">
        <v>6535</v>
      </c>
      <c r="G37" s="265">
        <f t="shared" si="13"/>
        <v>0</v>
      </c>
      <c r="H37" s="33">
        <f t="shared" si="14"/>
        <v>6535</v>
      </c>
      <c r="I37" s="169">
        <f t="shared" si="11"/>
        <v>0.33</v>
      </c>
      <c r="J37" s="274">
        <f t="shared" si="15"/>
        <v>4378.45</v>
      </c>
      <c r="K37" s="169">
        <f t="shared" si="12"/>
        <v>0.31</v>
      </c>
      <c r="L37" s="128">
        <f t="shared" si="16"/>
        <v>1357.3194999999998</v>
      </c>
    </row>
    <row r="38" spans="2:15" x14ac:dyDescent="0.35">
      <c r="C38" s="26" t="s">
        <v>168</v>
      </c>
      <c r="D38" s="117"/>
      <c r="E38" s="52"/>
      <c r="F38" s="33">
        <v>8598</v>
      </c>
      <c r="G38" s="265">
        <f t="shared" si="13"/>
        <v>3893</v>
      </c>
      <c r="H38" s="33">
        <v>12491</v>
      </c>
      <c r="I38" s="169">
        <f t="shared" si="11"/>
        <v>0.2</v>
      </c>
      <c r="J38" s="274">
        <f t="shared" si="15"/>
        <v>9992.8000000000011</v>
      </c>
      <c r="K38" s="169">
        <f t="shared" si="12"/>
        <v>0.25</v>
      </c>
      <c r="L38" s="128">
        <f t="shared" si="16"/>
        <v>2498.2000000000003</v>
      </c>
    </row>
    <row r="39" spans="2:15" x14ac:dyDescent="0.35">
      <c r="C39" s="26" t="s">
        <v>438</v>
      </c>
      <c r="D39" s="117"/>
      <c r="E39" s="52"/>
      <c r="F39" s="33">
        <v>4488</v>
      </c>
      <c r="G39" s="265">
        <f t="shared" si="13"/>
        <v>0</v>
      </c>
      <c r="H39" s="33">
        <f t="shared" si="14"/>
        <v>4488</v>
      </c>
      <c r="I39" s="169">
        <f t="shared" si="11"/>
        <v>0.25</v>
      </c>
      <c r="J39" s="274">
        <f t="shared" si="15"/>
        <v>3366</v>
      </c>
      <c r="K39" s="169">
        <f t="shared" si="12"/>
        <v>0.25</v>
      </c>
      <c r="L39" s="128">
        <f t="shared" si="16"/>
        <v>841.5</v>
      </c>
    </row>
    <row r="40" spans="2:15" x14ac:dyDescent="0.35">
      <c r="C40" s="26" t="s">
        <v>1036</v>
      </c>
      <c r="D40" s="117"/>
      <c r="E40" s="52"/>
      <c r="F40" s="33">
        <v>4488</v>
      </c>
      <c r="G40" s="265">
        <f t="shared" si="13"/>
        <v>0</v>
      </c>
      <c r="H40" s="33">
        <f t="shared" si="14"/>
        <v>4488</v>
      </c>
      <c r="I40" s="169">
        <f t="shared" si="11"/>
        <v>1</v>
      </c>
      <c r="J40" s="274">
        <f t="shared" si="15"/>
        <v>0</v>
      </c>
      <c r="K40" s="169">
        <f t="shared" si="12"/>
        <v>0.19800000000000001</v>
      </c>
      <c r="L40" s="128">
        <f t="shared" si="16"/>
        <v>0</v>
      </c>
    </row>
    <row r="41" spans="2:15" x14ac:dyDescent="0.35">
      <c r="C41" s="26" t="s">
        <v>1110</v>
      </c>
      <c r="D41" s="117"/>
      <c r="E41" s="52"/>
      <c r="F41" s="33">
        <v>4488</v>
      </c>
      <c r="G41" s="265">
        <f t="shared" si="13"/>
        <v>0</v>
      </c>
      <c r="H41" s="33">
        <f t="shared" si="14"/>
        <v>4488</v>
      </c>
      <c r="I41" s="169">
        <f t="shared" si="11"/>
        <v>0</v>
      </c>
      <c r="J41" s="274">
        <f t="shared" si="15"/>
        <v>4488</v>
      </c>
      <c r="K41" s="169">
        <f t="shared" si="12"/>
        <v>0.32</v>
      </c>
      <c r="L41" s="128">
        <f t="shared" si="16"/>
        <v>1436.16</v>
      </c>
    </row>
    <row r="42" spans="2:15" x14ac:dyDescent="0.35">
      <c r="C42" s="26" t="s">
        <v>439</v>
      </c>
      <c r="D42" s="117"/>
      <c r="E42" s="52"/>
      <c r="F42" s="33">
        <v>6535</v>
      </c>
      <c r="G42" s="265">
        <f t="shared" si="13"/>
        <v>0</v>
      </c>
      <c r="H42" s="33">
        <f t="shared" si="14"/>
        <v>6535</v>
      </c>
      <c r="I42" s="169">
        <f t="shared" si="11"/>
        <v>0.5</v>
      </c>
      <c r="J42" s="274">
        <f t="shared" si="15"/>
        <v>3267.5</v>
      </c>
      <c r="K42" s="169">
        <f t="shared" si="12"/>
        <v>0.15</v>
      </c>
      <c r="L42" s="128">
        <f t="shared" si="16"/>
        <v>490.125</v>
      </c>
    </row>
    <row r="43" spans="2:15" x14ac:dyDescent="0.35">
      <c r="C43" s="26" t="s">
        <v>1109</v>
      </c>
      <c r="D43" s="117"/>
      <c r="E43" s="52"/>
      <c r="F43" s="33">
        <v>6535</v>
      </c>
      <c r="G43" s="265">
        <f t="shared" si="13"/>
        <v>0</v>
      </c>
      <c r="H43" s="33">
        <f t="shared" si="14"/>
        <v>6535</v>
      </c>
      <c r="I43" s="169">
        <f t="shared" si="11"/>
        <v>0</v>
      </c>
      <c r="J43" s="274">
        <f>H43*(1-I43)</f>
        <v>6535</v>
      </c>
      <c r="K43" s="169">
        <f t="shared" si="12"/>
        <v>0</v>
      </c>
      <c r="L43" s="128">
        <f>J43*K43</f>
        <v>0</v>
      </c>
    </row>
    <row r="44" spans="2:15" x14ac:dyDescent="0.35">
      <c r="C44" s="26" t="s">
        <v>448</v>
      </c>
      <c r="D44" s="117"/>
      <c r="E44" s="52"/>
      <c r="F44" s="33">
        <v>6535</v>
      </c>
      <c r="G44" s="265">
        <f t="shared" si="13"/>
        <v>0</v>
      </c>
      <c r="H44" s="33">
        <f t="shared" si="14"/>
        <v>6535</v>
      </c>
      <c r="I44" s="169">
        <f>I31</f>
        <v>0.5</v>
      </c>
      <c r="J44" s="274">
        <f t="shared" si="15"/>
        <v>3267.5</v>
      </c>
      <c r="K44" s="169">
        <f>K31</f>
        <v>0.42499999999999999</v>
      </c>
      <c r="L44" s="128">
        <f t="shared" si="16"/>
        <v>1388.6875</v>
      </c>
    </row>
    <row r="45" spans="2:15" x14ac:dyDescent="0.35">
      <c r="D45" s="117"/>
      <c r="E45" s="52"/>
      <c r="F45" s="33"/>
      <c r="G45" s="265"/>
      <c r="H45" s="33"/>
      <c r="I45" s="33"/>
      <c r="J45" s="33"/>
    </row>
    <row r="46" spans="2:15" x14ac:dyDescent="0.35">
      <c r="B46" s="26" t="s">
        <v>474</v>
      </c>
      <c r="D46" s="117"/>
      <c r="E46" s="52"/>
      <c r="F46" s="33"/>
      <c r="G46" s="265"/>
      <c r="H46" s="33"/>
      <c r="I46" s="33"/>
      <c r="J46" s="33"/>
    </row>
    <row r="47" spans="2:15" x14ac:dyDescent="0.35">
      <c r="C47" s="26" t="s">
        <v>165</v>
      </c>
      <c r="D47" s="117"/>
      <c r="E47" s="52"/>
      <c r="F47" s="33">
        <v>74</v>
      </c>
      <c r="G47" s="264">
        <v>0</v>
      </c>
      <c r="H47" s="33">
        <f t="shared" ref="H47:H57" si="17">F47+G47</f>
        <v>74</v>
      </c>
      <c r="I47" s="169">
        <f t="shared" ref="I47:I56" si="18">I34</f>
        <v>0.25</v>
      </c>
      <c r="J47" s="274">
        <f>H47*(1-I47)</f>
        <v>55.5</v>
      </c>
      <c r="K47" s="169">
        <f t="shared" ref="K47:K56" si="19">K34</f>
        <v>0.35</v>
      </c>
      <c r="L47" s="128">
        <f>J47*K47</f>
        <v>19.424999999999997</v>
      </c>
    </row>
    <row r="48" spans="2:15" x14ac:dyDescent="0.35">
      <c r="C48" s="26" t="s">
        <v>1486</v>
      </c>
      <c r="D48" s="117"/>
      <c r="E48" s="52"/>
      <c r="F48" s="33">
        <v>0</v>
      </c>
      <c r="G48" s="264">
        <v>0</v>
      </c>
      <c r="H48" s="33">
        <f t="shared" si="17"/>
        <v>0</v>
      </c>
      <c r="I48" s="169">
        <f t="shared" si="18"/>
        <v>0</v>
      </c>
      <c r="J48" s="274">
        <f t="shared" ref="J48:J55" si="20">H48*(1-I48)</f>
        <v>0</v>
      </c>
      <c r="K48" s="169">
        <f t="shared" si="19"/>
        <v>0.28000000000000003</v>
      </c>
      <c r="L48" s="128">
        <f t="shared" ref="L48:L55" si="21">J48*K48</f>
        <v>0</v>
      </c>
    </row>
    <row r="49" spans="2:15" x14ac:dyDescent="0.35">
      <c r="C49" s="26" t="s">
        <v>166</v>
      </c>
      <c r="D49" s="117"/>
      <c r="E49" s="52"/>
      <c r="F49" s="33">
        <v>62</v>
      </c>
      <c r="G49" s="264">
        <v>0</v>
      </c>
      <c r="H49" s="33">
        <f t="shared" si="17"/>
        <v>62</v>
      </c>
      <c r="I49" s="169">
        <f t="shared" si="18"/>
        <v>0.25</v>
      </c>
      <c r="J49" s="274">
        <f t="shared" si="20"/>
        <v>46.5</v>
      </c>
      <c r="K49" s="169">
        <f t="shared" si="19"/>
        <v>0.25</v>
      </c>
      <c r="L49" s="128">
        <f t="shared" si="21"/>
        <v>11.625</v>
      </c>
    </row>
    <row r="50" spans="2:15" x14ac:dyDescent="0.35">
      <c r="C50" s="26" t="s">
        <v>167</v>
      </c>
      <c r="D50" s="117"/>
      <c r="E50" s="52"/>
      <c r="F50" s="33">
        <v>74</v>
      </c>
      <c r="G50" s="264">
        <v>0</v>
      </c>
      <c r="H50" s="33">
        <f t="shared" si="17"/>
        <v>74</v>
      </c>
      <c r="I50" s="169">
        <f t="shared" si="18"/>
        <v>0.33</v>
      </c>
      <c r="J50" s="274">
        <f t="shared" si="20"/>
        <v>49.58</v>
      </c>
      <c r="K50" s="169">
        <f t="shared" si="19"/>
        <v>0.31</v>
      </c>
      <c r="L50" s="128">
        <f t="shared" si="21"/>
        <v>15.3698</v>
      </c>
    </row>
    <row r="51" spans="2:15" x14ac:dyDescent="0.35">
      <c r="C51" s="26" t="s">
        <v>168</v>
      </c>
      <c r="D51" s="117"/>
      <c r="E51" s="52"/>
      <c r="F51" s="33">
        <v>200</v>
      </c>
      <c r="G51" s="264">
        <v>0</v>
      </c>
      <c r="H51" s="33">
        <f t="shared" si="17"/>
        <v>200</v>
      </c>
      <c r="I51" s="169">
        <f t="shared" si="18"/>
        <v>0.2</v>
      </c>
      <c r="J51" s="274">
        <f t="shared" si="20"/>
        <v>160</v>
      </c>
      <c r="K51" s="169">
        <f t="shared" si="19"/>
        <v>0.25</v>
      </c>
      <c r="L51" s="128">
        <f t="shared" si="21"/>
        <v>40</v>
      </c>
    </row>
    <row r="52" spans="2:15" x14ac:dyDescent="0.35">
      <c r="C52" s="26" t="s">
        <v>438</v>
      </c>
      <c r="D52" s="117"/>
      <c r="E52" s="52"/>
      <c r="F52" s="33">
        <v>109</v>
      </c>
      <c r="G52" s="264">
        <v>0</v>
      </c>
      <c r="H52" s="33">
        <f t="shared" si="17"/>
        <v>109</v>
      </c>
      <c r="I52" s="169">
        <f t="shared" si="18"/>
        <v>0.25</v>
      </c>
      <c r="J52" s="274">
        <f t="shared" si="20"/>
        <v>81.75</v>
      </c>
      <c r="K52" s="169">
        <f t="shared" si="19"/>
        <v>0.25</v>
      </c>
      <c r="L52" s="128">
        <f t="shared" si="21"/>
        <v>20.4375</v>
      </c>
    </row>
    <row r="53" spans="2:15" x14ac:dyDescent="0.35">
      <c r="C53" s="26" t="s">
        <v>1036</v>
      </c>
      <c r="D53" s="117"/>
      <c r="E53" s="52"/>
      <c r="F53" s="33">
        <v>318</v>
      </c>
      <c r="G53" s="264">
        <v>0</v>
      </c>
      <c r="H53" s="33">
        <f t="shared" si="17"/>
        <v>318</v>
      </c>
      <c r="I53" s="169">
        <f t="shared" si="18"/>
        <v>1</v>
      </c>
      <c r="J53" s="274">
        <f t="shared" si="20"/>
        <v>0</v>
      </c>
      <c r="K53" s="169">
        <f t="shared" si="19"/>
        <v>0.19800000000000001</v>
      </c>
      <c r="L53" s="128">
        <f t="shared" si="21"/>
        <v>0</v>
      </c>
    </row>
    <row r="54" spans="2:15" x14ac:dyDescent="0.35">
      <c r="C54" s="26" t="s">
        <v>1110</v>
      </c>
      <c r="D54" s="117"/>
      <c r="E54" s="52"/>
      <c r="F54" s="33">
        <v>62</v>
      </c>
      <c r="G54" s="264">
        <v>0</v>
      </c>
      <c r="H54" s="33">
        <f t="shared" si="17"/>
        <v>62</v>
      </c>
      <c r="I54" s="169">
        <f t="shared" si="18"/>
        <v>0</v>
      </c>
      <c r="J54" s="274">
        <f t="shared" si="20"/>
        <v>62</v>
      </c>
      <c r="K54" s="169">
        <f t="shared" si="19"/>
        <v>0.32</v>
      </c>
      <c r="L54" s="128">
        <f t="shared" si="21"/>
        <v>19.84</v>
      </c>
    </row>
    <row r="55" spans="2:15" x14ac:dyDescent="0.35">
      <c r="C55" s="26" t="s">
        <v>439</v>
      </c>
      <c r="D55" s="117"/>
      <c r="E55" s="52"/>
      <c r="F55" s="33">
        <v>330</v>
      </c>
      <c r="G55" s="264">
        <v>0</v>
      </c>
      <c r="H55" s="33">
        <f t="shared" si="17"/>
        <v>330</v>
      </c>
      <c r="I55" s="169">
        <f t="shared" si="18"/>
        <v>0.5</v>
      </c>
      <c r="J55" s="274">
        <f t="shared" si="20"/>
        <v>165</v>
      </c>
      <c r="K55" s="169">
        <f t="shared" si="19"/>
        <v>0.15</v>
      </c>
      <c r="L55" s="128">
        <f t="shared" si="21"/>
        <v>24.75</v>
      </c>
    </row>
    <row r="56" spans="2:15" x14ac:dyDescent="0.35">
      <c r="C56" s="26" t="s">
        <v>1109</v>
      </c>
      <c r="D56" s="117"/>
      <c r="E56" s="52"/>
      <c r="F56" s="33">
        <v>1057</v>
      </c>
      <c r="G56" s="264">
        <v>0</v>
      </c>
      <c r="H56" s="33">
        <f t="shared" si="17"/>
        <v>1057</v>
      </c>
      <c r="I56" s="169">
        <f t="shared" si="18"/>
        <v>0</v>
      </c>
      <c r="J56" s="274">
        <f>H56*(1-I56)</f>
        <v>1057</v>
      </c>
      <c r="K56" s="169">
        <f t="shared" si="19"/>
        <v>0</v>
      </c>
      <c r="L56" s="128">
        <f>J56*K56</f>
        <v>0</v>
      </c>
    </row>
    <row r="57" spans="2:15" x14ac:dyDescent="0.35">
      <c r="C57" s="26" t="s">
        <v>448</v>
      </c>
      <c r="D57" s="117"/>
      <c r="E57" s="52"/>
      <c r="F57" s="33">
        <v>84</v>
      </c>
      <c r="G57" s="264">
        <v>0</v>
      </c>
      <c r="H57" s="33">
        <f t="shared" si="17"/>
        <v>84</v>
      </c>
      <c r="I57" s="169">
        <f>I44</f>
        <v>0.5</v>
      </c>
      <c r="J57" s="274">
        <f>H57*(1-I57)</f>
        <v>42</v>
      </c>
      <c r="K57" s="169">
        <f>K44</f>
        <v>0.42499999999999999</v>
      </c>
      <c r="L57" s="128">
        <f>J57*K57</f>
        <v>17.849999999999998</v>
      </c>
    </row>
    <row r="58" spans="2:15" x14ac:dyDescent="0.35">
      <c r="D58" s="117"/>
      <c r="E58" s="52"/>
      <c r="F58" s="33"/>
      <c r="G58" s="265"/>
      <c r="H58" s="33"/>
      <c r="I58" s="33"/>
      <c r="J58" s="33"/>
    </row>
    <row r="59" spans="2:15" x14ac:dyDescent="0.35">
      <c r="B59" s="26" t="s">
        <v>457</v>
      </c>
      <c r="D59" s="117"/>
      <c r="E59" s="52"/>
      <c r="F59" s="33"/>
      <c r="G59" s="265"/>
      <c r="H59" s="33"/>
      <c r="I59" s="33"/>
      <c r="J59" s="33"/>
    </row>
    <row r="60" spans="2:15" x14ac:dyDescent="0.35">
      <c r="C60" s="26" t="s">
        <v>165</v>
      </c>
      <c r="D60" s="117"/>
      <c r="E60" s="52"/>
      <c r="F60" s="33">
        <v>372</v>
      </c>
      <c r="G60" s="265">
        <f>H60-F60</f>
        <v>0</v>
      </c>
      <c r="H60" s="33">
        <f>F60*(1+$O$60)</f>
        <v>372</v>
      </c>
      <c r="I60" s="169">
        <f t="shared" ref="I60:I69" si="22">I21</f>
        <v>0.25</v>
      </c>
      <c r="J60" s="274">
        <f>H60*(1-I60)</f>
        <v>279</v>
      </c>
      <c r="K60" s="169">
        <f t="shared" ref="K60:K69" si="23">K21</f>
        <v>0.35</v>
      </c>
      <c r="L60" s="128">
        <f>J60*K60</f>
        <v>97.649999999999991</v>
      </c>
      <c r="O60" s="279">
        <v>0</v>
      </c>
    </row>
    <row r="61" spans="2:15" x14ac:dyDescent="0.35">
      <c r="C61" s="26" t="s">
        <v>1486</v>
      </c>
      <c r="D61" s="117"/>
      <c r="E61" s="52"/>
      <c r="F61" s="33">
        <v>0</v>
      </c>
      <c r="G61" s="265">
        <f t="shared" ref="G61:G70" si="24">H61-F61</f>
        <v>0</v>
      </c>
      <c r="H61" s="33">
        <f t="shared" ref="H61:H70" si="25">F61*(1+$O$60)</f>
        <v>0</v>
      </c>
      <c r="I61" s="169">
        <f t="shared" si="22"/>
        <v>0</v>
      </c>
      <c r="J61" s="274">
        <f t="shared" ref="J61:J68" si="26">H61*(1-I61)</f>
        <v>0</v>
      </c>
      <c r="K61" s="169">
        <f t="shared" si="23"/>
        <v>0.28000000000000003</v>
      </c>
      <c r="L61" s="128">
        <f t="shared" ref="L61:L68" si="27">J61*K61</f>
        <v>0</v>
      </c>
    </row>
    <row r="62" spans="2:15" x14ac:dyDescent="0.35">
      <c r="C62" s="26" t="s">
        <v>166</v>
      </c>
      <c r="D62" s="117"/>
      <c r="E62" s="52"/>
      <c r="F62" s="33">
        <v>372</v>
      </c>
      <c r="G62" s="265">
        <f t="shared" si="24"/>
        <v>0</v>
      </c>
      <c r="H62" s="33">
        <f t="shared" si="25"/>
        <v>372</v>
      </c>
      <c r="I62" s="169">
        <f t="shared" si="22"/>
        <v>0.25</v>
      </c>
      <c r="J62" s="274">
        <f t="shared" si="26"/>
        <v>279</v>
      </c>
      <c r="K62" s="169">
        <f t="shared" si="23"/>
        <v>0.25</v>
      </c>
      <c r="L62" s="128">
        <f t="shared" si="27"/>
        <v>69.75</v>
      </c>
    </row>
    <row r="63" spans="2:15" x14ac:dyDescent="0.35">
      <c r="C63" s="26" t="s">
        <v>167</v>
      </c>
      <c r="D63" s="117"/>
      <c r="E63" s="52"/>
      <c r="F63" s="33">
        <v>372</v>
      </c>
      <c r="G63" s="265">
        <f t="shared" si="24"/>
        <v>0</v>
      </c>
      <c r="H63" s="33">
        <f t="shared" si="25"/>
        <v>372</v>
      </c>
      <c r="I63" s="169">
        <f t="shared" si="22"/>
        <v>0.33</v>
      </c>
      <c r="J63" s="274">
        <f t="shared" si="26"/>
        <v>249.23999999999998</v>
      </c>
      <c r="K63" s="169">
        <f t="shared" si="23"/>
        <v>0.31</v>
      </c>
      <c r="L63" s="128">
        <f t="shared" si="27"/>
        <v>77.264399999999995</v>
      </c>
    </row>
    <row r="64" spans="2:15" x14ac:dyDescent="0.35">
      <c r="C64" s="26" t="s">
        <v>168</v>
      </c>
      <c r="D64" s="117"/>
      <c r="E64" s="52"/>
      <c r="F64" s="33">
        <v>372</v>
      </c>
      <c r="G64" s="265">
        <f t="shared" si="24"/>
        <v>0</v>
      </c>
      <c r="H64" s="33">
        <f t="shared" si="25"/>
        <v>372</v>
      </c>
      <c r="I64" s="169">
        <f t="shared" si="22"/>
        <v>0.2</v>
      </c>
      <c r="J64" s="274">
        <f t="shared" si="26"/>
        <v>297.60000000000002</v>
      </c>
      <c r="K64" s="169">
        <f t="shared" si="23"/>
        <v>0.25</v>
      </c>
      <c r="L64" s="128">
        <f t="shared" si="27"/>
        <v>74.400000000000006</v>
      </c>
    </row>
    <row r="65" spans="2:12" x14ac:dyDescent="0.35">
      <c r="C65" s="26" t="s">
        <v>438</v>
      </c>
      <c r="D65" s="117"/>
      <c r="E65" s="52"/>
      <c r="F65" s="33">
        <v>288</v>
      </c>
      <c r="G65" s="265">
        <f t="shared" si="24"/>
        <v>0</v>
      </c>
      <c r="H65" s="33">
        <f t="shared" si="25"/>
        <v>288</v>
      </c>
      <c r="I65" s="169">
        <f t="shared" si="22"/>
        <v>0.25</v>
      </c>
      <c r="J65" s="274">
        <f t="shared" si="26"/>
        <v>216</v>
      </c>
      <c r="K65" s="169">
        <f t="shared" si="23"/>
        <v>0.25</v>
      </c>
      <c r="L65" s="128">
        <f t="shared" si="27"/>
        <v>54</v>
      </c>
    </row>
    <row r="66" spans="2:12" x14ac:dyDescent="0.35">
      <c r="C66" s="26" t="s">
        <v>1036</v>
      </c>
      <c r="D66" s="117"/>
      <c r="E66" s="52"/>
      <c r="F66" s="33">
        <v>288</v>
      </c>
      <c r="G66" s="265">
        <f t="shared" si="24"/>
        <v>0</v>
      </c>
      <c r="H66" s="33">
        <f t="shared" si="25"/>
        <v>288</v>
      </c>
      <c r="I66" s="169">
        <f t="shared" si="22"/>
        <v>1</v>
      </c>
      <c r="J66" s="274">
        <f t="shared" si="26"/>
        <v>0</v>
      </c>
      <c r="K66" s="169">
        <f t="shared" si="23"/>
        <v>0.19800000000000001</v>
      </c>
      <c r="L66" s="128">
        <f t="shared" si="27"/>
        <v>0</v>
      </c>
    </row>
    <row r="67" spans="2:12" x14ac:dyDescent="0.35">
      <c r="C67" s="26" t="s">
        <v>1110</v>
      </c>
      <c r="D67" s="117"/>
      <c r="E67" s="52"/>
      <c r="F67" s="33">
        <v>372</v>
      </c>
      <c r="G67" s="265">
        <f t="shared" si="24"/>
        <v>0</v>
      </c>
      <c r="H67" s="33">
        <f t="shared" si="25"/>
        <v>372</v>
      </c>
      <c r="I67" s="169">
        <f t="shared" si="22"/>
        <v>0</v>
      </c>
      <c r="J67" s="274">
        <f t="shared" si="26"/>
        <v>372</v>
      </c>
      <c r="K67" s="169">
        <f t="shared" si="23"/>
        <v>0.32</v>
      </c>
      <c r="L67" s="128">
        <f t="shared" si="27"/>
        <v>119.04</v>
      </c>
    </row>
    <row r="68" spans="2:12" x14ac:dyDescent="0.35">
      <c r="C68" s="26" t="s">
        <v>439</v>
      </c>
      <c r="D68" s="117"/>
      <c r="E68" s="52"/>
      <c r="F68" s="33">
        <v>372</v>
      </c>
      <c r="G68" s="265">
        <f t="shared" si="24"/>
        <v>0</v>
      </c>
      <c r="H68" s="33">
        <f t="shared" si="25"/>
        <v>372</v>
      </c>
      <c r="I68" s="169">
        <f t="shared" si="22"/>
        <v>0.5</v>
      </c>
      <c r="J68" s="274">
        <f t="shared" si="26"/>
        <v>186</v>
      </c>
      <c r="K68" s="169">
        <f t="shared" si="23"/>
        <v>0.15</v>
      </c>
      <c r="L68" s="128">
        <f t="shared" si="27"/>
        <v>27.9</v>
      </c>
    </row>
    <row r="69" spans="2:12" x14ac:dyDescent="0.35">
      <c r="C69" s="26" t="s">
        <v>1109</v>
      </c>
      <c r="D69" s="117"/>
      <c r="E69" s="52"/>
      <c r="F69" s="33">
        <v>372</v>
      </c>
      <c r="G69" s="265">
        <f t="shared" si="24"/>
        <v>0</v>
      </c>
      <c r="H69" s="33">
        <f t="shared" si="25"/>
        <v>372</v>
      </c>
      <c r="I69" s="169">
        <f t="shared" si="22"/>
        <v>0</v>
      </c>
      <c r="J69" s="274">
        <f>H69*(1-I69)</f>
        <v>372</v>
      </c>
      <c r="K69" s="169">
        <f t="shared" si="23"/>
        <v>0</v>
      </c>
      <c r="L69" s="128">
        <f>J69*K69</f>
        <v>0</v>
      </c>
    </row>
    <row r="70" spans="2:12" x14ac:dyDescent="0.35">
      <c r="C70" s="26" t="s">
        <v>448</v>
      </c>
      <c r="D70" s="117"/>
      <c r="E70" s="52"/>
      <c r="F70" s="33">
        <v>372</v>
      </c>
      <c r="G70" s="265">
        <f t="shared" si="24"/>
        <v>0</v>
      </c>
      <c r="H70" s="33">
        <f t="shared" si="25"/>
        <v>372</v>
      </c>
      <c r="I70" s="169">
        <f>I31</f>
        <v>0.5</v>
      </c>
      <c r="J70" s="274">
        <f>H70*(1-I70)</f>
        <v>186</v>
      </c>
      <c r="K70" s="169">
        <f>K31</f>
        <v>0.42499999999999999</v>
      </c>
      <c r="L70" s="128">
        <f>J70*K70</f>
        <v>79.05</v>
      </c>
    </row>
    <row r="71" spans="2:12" x14ac:dyDescent="0.35">
      <c r="D71" s="117"/>
      <c r="E71" s="52"/>
      <c r="F71" s="33"/>
      <c r="G71" s="265"/>
      <c r="H71" s="33"/>
      <c r="I71" s="33"/>
      <c r="J71" s="33"/>
    </row>
    <row r="72" spans="2:12" x14ac:dyDescent="0.35">
      <c r="B72" s="26" t="s">
        <v>458</v>
      </c>
      <c r="D72" s="117"/>
      <c r="E72" s="52"/>
      <c r="F72" s="33"/>
      <c r="G72" s="265"/>
      <c r="H72" s="33"/>
      <c r="I72" s="33"/>
      <c r="J72" s="33"/>
    </row>
    <row r="73" spans="2:12" x14ac:dyDescent="0.35">
      <c r="C73" s="26" t="s">
        <v>165</v>
      </c>
      <c r="D73" s="117"/>
      <c r="E73" s="52"/>
      <c r="F73" s="33">
        <v>519</v>
      </c>
      <c r="G73" s="265">
        <f>H73-F73</f>
        <v>0</v>
      </c>
      <c r="H73" s="33">
        <f>F73*(1+$O$60)</f>
        <v>519</v>
      </c>
      <c r="I73" s="169">
        <f t="shared" ref="I73:I82" si="28">I60</f>
        <v>0.25</v>
      </c>
      <c r="J73" s="274">
        <f>H73*(1-I73)</f>
        <v>389.25</v>
      </c>
      <c r="K73" s="169">
        <f t="shared" ref="K73:K82" si="29">K60</f>
        <v>0.35</v>
      </c>
      <c r="L73" s="128">
        <f>J73*K73</f>
        <v>136.23749999999998</v>
      </c>
    </row>
    <row r="74" spans="2:12" x14ac:dyDescent="0.35">
      <c r="C74" s="26" t="s">
        <v>1486</v>
      </c>
      <c r="D74" s="117"/>
      <c r="E74" s="52"/>
      <c r="F74" s="33">
        <v>0</v>
      </c>
      <c r="G74" s="265">
        <f t="shared" ref="G74:G83" si="30">H74-F74</f>
        <v>0</v>
      </c>
      <c r="H74" s="33">
        <f t="shared" ref="H74:H83" si="31">F74*(1+$O$60)</f>
        <v>0</v>
      </c>
      <c r="I74" s="169">
        <f t="shared" si="28"/>
        <v>0</v>
      </c>
      <c r="J74" s="274">
        <f t="shared" ref="J74:J81" si="32">H74*(1-I74)</f>
        <v>0</v>
      </c>
      <c r="K74" s="169">
        <f t="shared" si="29"/>
        <v>0.28000000000000003</v>
      </c>
      <c r="L74" s="128">
        <f t="shared" ref="L74:L81" si="33">J74*K74</f>
        <v>0</v>
      </c>
    </row>
    <row r="75" spans="2:12" x14ac:dyDescent="0.35">
      <c r="C75" s="26" t="s">
        <v>166</v>
      </c>
      <c r="D75" s="117"/>
      <c r="E75" s="52"/>
      <c r="F75" s="33">
        <v>437</v>
      </c>
      <c r="G75" s="265">
        <f t="shared" si="30"/>
        <v>0</v>
      </c>
      <c r="H75" s="33">
        <f t="shared" si="31"/>
        <v>437</v>
      </c>
      <c r="I75" s="169">
        <f t="shared" si="28"/>
        <v>0.25</v>
      </c>
      <c r="J75" s="274">
        <f t="shared" si="32"/>
        <v>327.75</v>
      </c>
      <c r="K75" s="169">
        <f t="shared" si="29"/>
        <v>0.25</v>
      </c>
      <c r="L75" s="128">
        <f t="shared" si="33"/>
        <v>81.9375</v>
      </c>
    </row>
    <row r="76" spans="2:12" x14ac:dyDescent="0.35">
      <c r="C76" s="26" t="s">
        <v>167</v>
      </c>
      <c r="D76" s="117"/>
      <c r="E76" s="52"/>
      <c r="F76" s="33">
        <v>529</v>
      </c>
      <c r="G76" s="265">
        <f t="shared" si="30"/>
        <v>0</v>
      </c>
      <c r="H76" s="33">
        <f t="shared" si="31"/>
        <v>529</v>
      </c>
      <c r="I76" s="169">
        <f t="shared" si="28"/>
        <v>0.33</v>
      </c>
      <c r="J76" s="274">
        <f t="shared" si="32"/>
        <v>354.42999999999995</v>
      </c>
      <c r="K76" s="169">
        <f t="shared" si="29"/>
        <v>0.31</v>
      </c>
      <c r="L76" s="128">
        <f t="shared" si="33"/>
        <v>109.87329999999999</v>
      </c>
    </row>
    <row r="77" spans="2:12" x14ac:dyDescent="0.35">
      <c r="C77" s="26" t="s">
        <v>168</v>
      </c>
      <c r="D77" s="117"/>
      <c r="E77" s="52"/>
      <c r="F77" s="33">
        <v>1176</v>
      </c>
      <c r="G77" s="265">
        <f t="shared" si="30"/>
        <v>0</v>
      </c>
      <c r="H77" s="33">
        <f t="shared" si="31"/>
        <v>1176</v>
      </c>
      <c r="I77" s="169">
        <f t="shared" si="28"/>
        <v>0.2</v>
      </c>
      <c r="J77" s="274">
        <f t="shared" si="32"/>
        <v>940.80000000000007</v>
      </c>
      <c r="K77" s="169">
        <f t="shared" si="29"/>
        <v>0.25</v>
      </c>
      <c r="L77" s="128">
        <f t="shared" si="33"/>
        <v>235.20000000000002</v>
      </c>
    </row>
    <row r="78" spans="2:12" x14ac:dyDescent="0.35">
      <c r="C78" s="26" t="s">
        <v>438</v>
      </c>
      <c r="D78" s="117"/>
      <c r="E78" s="52"/>
      <c r="F78" s="33">
        <v>774</v>
      </c>
      <c r="G78" s="265">
        <f t="shared" si="30"/>
        <v>0</v>
      </c>
      <c r="H78" s="33">
        <f t="shared" si="31"/>
        <v>774</v>
      </c>
      <c r="I78" s="169">
        <f t="shared" si="28"/>
        <v>0.25</v>
      </c>
      <c r="J78" s="274">
        <f t="shared" si="32"/>
        <v>580.5</v>
      </c>
      <c r="K78" s="169">
        <f t="shared" si="29"/>
        <v>0.25</v>
      </c>
      <c r="L78" s="128">
        <f t="shared" si="33"/>
        <v>145.125</v>
      </c>
    </row>
    <row r="79" spans="2:12" x14ac:dyDescent="0.35">
      <c r="C79" s="26" t="s">
        <v>1036</v>
      </c>
      <c r="D79" s="117"/>
      <c r="E79" s="52"/>
      <c r="F79" s="33">
        <v>779</v>
      </c>
      <c r="G79" s="265">
        <f t="shared" si="30"/>
        <v>0</v>
      </c>
      <c r="H79" s="33">
        <f t="shared" si="31"/>
        <v>779</v>
      </c>
      <c r="I79" s="169">
        <f t="shared" si="28"/>
        <v>1</v>
      </c>
      <c r="J79" s="274">
        <f t="shared" si="32"/>
        <v>0</v>
      </c>
      <c r="K79" s="169">
        <f t="shared" si="29"/>
        <v>0.19800000000000001</v>
      </c>
      <c r="L79" s="128">
        <f t="shared" si="33"/>
        <v>0</v>
      </c>
    </row>
    <row r="80" spans="2:12" x14ac:dyDescent="0.35">
      <c r="C80" s="26" t="s">
        <v>1110</v>
      </c>
      <c r="D80" s="117"/>
      <c r="E80" s="52"/>
      <c r="F80" s="33">
        <v>441</v>
      </c>
      <c r="G80" s="265">
        <f t="shared" si="30"/>
        <v>0</v>
      </c>
      <c r="H80" s="33">
        <f t="shared" si="31"/>
        <v>441</v>
      </c>
      <c r="I80" s="169">
        <f t="shared" si="28"/>
        <v>0</v>
      </c>
      <c r="J80" s="274">
        <f t="shared" si="32"/>
        <v>441</v>
      </c>
      <c r="K80" s="169">
        <f t="shared" si="29"/>
        <v>0.32</v>
      </c>
      <c r="L80" s="128">
        <f t="shared" si="33"/>
        <v>141.12</v>
      </c>
    </row>
    <row r="81" spans="2:15" x14ac:dyDescent="0.35">
      <c r="C81" s="26" t="s">
        <v>439</v>
      </c>
      <c r="D81" s="117"/>
      <c r="E81" s="52"/>
      <c r="F81" s="33">
        <v>812</v>
      </c>
      <c r="G81" s="265">
        <f t="shared" si="30"/>
        <v>0</v>
      </c>
      <c r="H81" s="33">
        <f t="shared" si="31"/>
        <v>812</v>
      </c>
      <c r="I81" s="169">
        <f t="shared" si="28"/>
        <v>0.5</v>
      </c>
      <c r="J81" s="274">
        <f t="shared" si="32"/>
        <v>406</v>
      </c>
      <c r="K81" s="169">
        <f t="shared" si="29"/>
        <v>0.15</v>
      </c>
      <c r="L81" s="128">
        <f t="shared" si="33"/>
        <v>60.9</v>
      </c>
    </row>
    <row r="82" spans="2:15" x14ac:dyDescent="0.35">
      <c r="C82" s="26" t="s">
        <v>1109</v>
      </c>
      <c r="D82" s="117"/>
      <c r="E82" s="52"/>
      <c r="F82" s="33">
        <v>646</v>
      </c>
      <c r="G82" s="265">
        <f t="shared" si="30"/>
        <v>0</v>
      </c>
      <c r="H82" s="33">
        <f t="shared" si="31"/>
        <v>646</v>
      </c>
      <c r="I82" s="169">
        <f t="shared" si="28"/>
        <v>0</v>
      </c>
      <c r="J82" s="274">
        <f>H82*(1-I82)</f>
        <v>646</v>
      </c>
      <c r="K82" s="169">
        <f t="shared" si="29"/>
        <v>0</v>
      </c>
      <c r="L82" s="128">
        <f>J82*K82</f>
        <v>0</v>
      </c>
    </row>
    <row r="83" spans="2:15" x14ac:dyDescent="0.35">
      <c r="C83" s="26" t="s">
        <v>448</v>
      </c>
      <c r="D83" s="117"/>
      <c r="E83" s="52"/>
      <c r="F83" s="33">
        <v>595</v>
      </c>
      <c r="G83" s="265">
        <f t="shared" si="30"/>
        <v>0</v>
      </c>
      <c r="H83" s="33">
        <f t="shared" si="31"/>
        <v>595</v>
      </c>
      <c r="I83" s="169">
        <f>I70</f>
        <v>0.5</v>
      </c>
      <c r="J83" s="274">
        <f>H83*(1-I83)</f>
        <v>297.5</v>
      </c>
      <c r="K83" s="169">
        <f>K70</f>
        <v>0.42499999999999999</v>
      </c>
      <c r="L83" s="128">
        <f>J83*K83</f>
        <v>126.4375</v>
      </c>
    </row>
    <row r="84" spans="2:15" x14ac:dyDescent="0.35">
      <c r="D84" s="117"/>
      <c r="E84" s="52"/>
      <c r="F84" s="33"/>
      <c r="G84" s="265"/>
      <c r="H84" s="33"/>
      <c r="I84" s="33"/>
      <c r="J84" s="33"/>
    </row>
    <row r="85" spans="2:15" x14ac:dyDescent="0.35">
      <c r="B85" s="26" t="s">
        <v>982</v>
      </c>
      <c r="D85" s="117"/>
      <c r="E85" s="52"/>
      <c r="F85" s="33"/>
      <c r="G85" s="265"/>
      <c r="H85" s="33"/>
      <c r="I85" s="33"/>
      <c r="J85" s="33"/>
    </row>
    <row r="86" spans="2:15" x14ac:dyDescent="0.35">
      <c r="C86" s="26" t="s">
        <v>165</v>
      </c>
      <c r="D86" s="117"/>
      <c r="E86" s="52"/>
      <c r="F86" s="33">
        <f>(F8+F21)*0.0765</f>
        <v>3522.9168000000004</v>
      </c>
      <c r="G86" s="265">
        <f>H86-F86</f>
        <v>105.68750399999999</v>
      </c>
      <c r="H86" s="33">
        <f>F86*(1+$O$86)</f>
        <v>3628.6043040000004</v>
      </c>
      <c r="I86" s="169">
        <f>I73</f>
        <v>0.25</v>
      </c>
      <c r="J86" s="274">
        <f>H86*(1-I86)</f>
        <v>2721.4532280000003</v>
      </c>
      <c r="K86" s="169">
        <f>K73</f>
        <v>0.35</v>
      </c>
      <c r="L86" s="128">
        <f>J86*K86</f>
        <v>952.50862979999999</v>
      </c>
      <c r="O86" s="434">
        <v>0.03</v>
      </c>
    </row>
    <row r="87" spans="2:15" x14ac:dyDescent="0.35">
      <c r="C87" s="26" t="s">
        <v>1486</v>
      </c>
      <c r="D87" s="117"/>
      <c r="E87" s="52"/>
      <c r="F87" s="33">
        <f t="shared" ref="F87:F96" si="34">(F9+F22)*0.0765</f>
        <v>3138.6419999999998</v>
      </c>
      <c r="G87" s="265">
        <f t="shared" ref="G87:G96" si="35">H87-F87</f>
        <v>94.159259999999904</v>
      </c>
      <c r="H87" s="33">
        <f t="shared" ref="H87:H96" si="36">F87*(1+$O$86)</f>
        <v>3232.8012599999997</v>
      </c>
      <c r="I87" s="169">
        <f t="shared" ref="I87:I96" si="37">I74</f>
        <v>0</v>
      </c>
      <c r="J87" s="274">
        <f t="shared" ref="J87:J94" si="38">H87*(1-I87)</f>
        <v>3232.8012599999997</v>
      </c>
      <c r="K87" s="169">
        <f t="shared" ref="K87:K96" si="39">K74</f>
        <v>0.28000000000000003</v>
      </c>
      <c r="L87" s="128">
        <f t="shared" ref="L87:L94" si="40">J87*K87</f>
        <v>905.18435280000006</v>
      </c>
    </row>
    <row r="88" spans="2:15" x14ac:dyDescent="0.35">
      <c r="C88" s="26" t="s">
        <v>166</v>
      </c>
      <c r="D88" s="117"/>
      <c r="E88" s="52"/>
      <c r="F88" s="33">
        <f t="shared" si="34"/>
        <v>2990.3543999999997</v>
      </c>
      <c r="G88" s="265">
        <f t="shared" si="35"/>
        <v>89.71063200000026</v>
      </c>
      <c r="H88" s="33">
        <f t="shared" si="36"/>
        <v>3080.065032</v>
      </c>
      <c r="I88" s="169">
        <f t="shared" si="37"/>
        <v>0.25</v>
      </c>
      <c r="J88" s="274">
        <f t="shared" si="38"/>
        <v>2310.0487739999999</v>
      </c>
      <c r="K88" s="169">
        <f t="shared" si="39"/>
        <v>0.25</v>
      </c>
      <c r="L88" s="128">
        <f t="shared" si="40"/>
        <v>577.51219349999997</v>
      </c>
    </row>
    <row r="89" spans="2:15" x14ac:dyDescent="0.35">
      <c r="C89" s="26" t="s">
        <v>167</v>
      </c>
      <c r="D89" s="117"/>
      <c r="E89" s="52"/>
      <c r="F89" s="33">
        <f t="shared" si="34"/>
        <v>3559.5144000000005</v>
      </c>
      <c r="G89" s="265">
        <f t="shared" si="35"/>
        <v>106.78543200000013</v>
      </c>
      <c r="H89" s="33">
        <f t="shared" si="36"/>
        <v>3666.2998320000006</v>
      </c>
      <c r="I89" s="169">
        <f t="shared" si="37"/>
        <v>0.33</v>
      </c>
      <c r="J89" s="274">
        <f t="shared" si="38"/>
        <v>2456.4208874400001</v>
      </c>
      <c r="K89" s="169">
        <f t="shared" si="39"/>
        <v>0.31</v>
      </c>
      <c r="L89" s="128">
        <f t="shared" si="40"/>
        <v>761.49047510640003</v>
      </c>
    </row>
    <row r="90" spans="2:15" x14ac:dyDescent="0.35">
      <c r="C90" s="26" t="s">
        <v>168</v>
      </c>
      <c r="D90" s="117"/>
      <c r="E90" s="52"/>
      <c r="F90" s="33">
        <f t="shared" si="34"/>
        <v>7905.0816000000004</v>
      </c>
      <c r="G90" s="265">
        <f t="shared" si="35"/>
        <v>1658.0303999999987</v>
      </c>
      <c r="H90" s="33">
        <f>H12*0.0765</f>
        <v>9563.1119999999992</v>
      </c>
      <c r="I90" s="169">
        <f t="shared" si="37"/>
        <v>0.2</v>
      </c>
      <c r="J90" s="274">
        <f t="shared" si="38"/>
        <v>7650.4895999999999</v>
      </c>
      <c r="K90" s="169">
        <f t="shared" si="39"/>
        <v>0.25</v>
      </c>
      <c r="L90" s="128">
        <f t="shared" si="40"/>
        <v>1912.6224</v>
      </c>
    </row>
    <row r="91" spans="2:15" x14ac:dyDescent="0.35">
      <c r="C91" s="26" t="s">
        <v>438</v>
      </c>
      <c r="D91" s="117"/>
      <c r="E91" s="52"/>
      <c r="F91" s="33">
        <f t="shared" si="34"/>
        <v>5233.4567999999999</v>
      </c>
      <c r="G91" s="265">
        <f t="shared" si="35"/>
        <v>157.00370399999974</v>
      </c>
      <c r="H91" s="33">
        <f t="shared" si="36"/>
        <v>5390.4605039999997</v>
      </c>
      <c r="I91" s="169">
        <f t="shared" si="37"/>
        <v>0.25</v>
      </c>
      <c r="J91" s="274">
        <f t="shared" si="38"/>
        <v>4042.845378</v>
      </c>
      <c r="K91" s="169">
        <f t="shared" si="39"/>
        <v>0.25</v>
      </c>
      <c r="L91" s="128">
        <f t="shared" si="40"/>
        <v>1010.7113445</v>
      </c>
    </row>
    <row r="92" spans="2:15" x14ac:dyDescent="0.35">
      <c r="C92" s="26" t="s">
        <v>1036</v>
      </c>
      <c r="D92" s="117"/>
      <c r="E92" s="52"/>
      <c r="F92" s="33">
        <f t="shared" si="34"/>
        <v>5284.3752000000004</v>
      </c>
      <c r="G92" s="265">
        <f t="shared" si="35"/>
        <v>158.53125600000021</v>
      </c>
      <c r="H92" s="33">
        <f t="shared" si="36"/>
        <v>5442.9064560000006</v>
      </c>
      <c r="I92" s="169">
        <f t="shared" si="37"/>
        <v>1</v>
      </c>
      <c r="J92" s="274">
        <f t="shared" si="38"/>
        <v>0</v>
      </c>
      <c r="K92" s="169">
        <f t="shared" si="39"/>
        <v>0.19800000000000001</v>
      </c>
      <c r="L92" s="128">
        <f t="shared" si="40"/>
        <v>0</v>
      </c>
    </row>
    <row r="93" spans="2:15" x14ac:dyDescent="0.35">
      <c r="C93" s="26" t="s">
        <v>1110</v>
      </c>
      <c r="D93" s="117"/>
      <c r="E93" s="52"/>
      <c r="F93" s="33">
        <f t="shared" si="34"/>
        <v>3017.7107999999998</v>
      </c>
      <c r="G93" s="265">
        <f t="shared" si="35"/>
        <v>90.531324000000041</v>
      </c>
      <c r="H93" s="33">
        <f t="shared" si="36"/>
        <v>3108.2421239999999</v>
      </c>
      <c r="I93" s="169">
        <f t="shared" si="37"/>
        <v>0</v>
      </c>
      <c r="J93" s="274">
        <f t="shared" si="38"/>
        <v>3108.2421239999999</v>
      </c>
      <c r="K93" s="169">
        <f t="shared" si="39"/>
        <v>0.32</v>
      </c>
      <c r="L93" s="128">
        <f t="shared" si="40"/>
        <v>994.63747967999996</v>
      </c>
    </row>
    <row r="94" spans="2:15" x14ac:dyDescent="0.35">
      <c r="C94" s="26" t="s">
        <v>439</v>
      </c>
      <c r="D94" s="117"/>
      <c r="E94" s="52"/>
      <c r="F94" s="33">
        <f t="shared" si="34"/>
        <v>5491.2311999999993</v>
      </c>
      <c r="G94" s="265">
        <f t="shared" si="35"/>
        <v>164.73693600000024</v>
      </c>
      <c r="H94" s="33">
        <f t="shared" si="36"/>
        <v>5655.9681359999995</v>
      </c>
      <c r="I94" s="169">
        <f t="shared" si="37"/>
        <v>0.5</v>
      </c>
      <c r="J94" s="274">
        <f t="shared" si="38"/>
        <v>2827.9840679999998</v>
      </c>
      <c r="K94" s="169">
        <f t="shared" si="39"/>
        <v>0.15</v>
      </c>
      <c r="L94" s="128">
        <f t="shared" si="40"/>
        <v>424.19761019999993</v>
      </c>
    </row>
    <row r="95" spans="2:15" x14ac:dyDescent="0.35">
      <c r="C95" s="26" t="s">
        <v>1109</v>
      </c>
      <c r="D95" s="117"/>
      <c r="E95" s="52"/>
      <c r="F95" s="33">
        <f t="shared" si="34"/>
        <v>4369.4351999999999</v>
      </c>
      <c r="G95" s="265">
        <f t="shared" si="35"/>
        <v>131.0830560000004</v>
      </c>
      <c r="H95" s="33">
        <f t="shared" si="36"/>
        <v>4500.5182560000003</v>
      </c>
      <c r="I95" s="169">
        <f t="shared" si="37"/>
        <v>0</v>
      </c>
      <c r="J95" s="274">
        <f>H95*(1-I95)</f>
        <v>4500.5182560000003</v>
      </c>
      <c r="K95" s="169">
        <f t="shared" si="39"/>
        <v>0</v>
      </c>
      <c r="L95" s="128">
        <f>J95*K95</f>
        <v>0</v>
      </c>
    </row>
    <row r="96" spans="2:15" x14ac:dyDescent="0.35">
      <c r="C96" s="26" t="s">
        <v>448</v>
      </c>
      <c r="D96" s="117"/>
      <c r="E96" s="52"/>
      <c r="F96" s="33">
        <f t="shared" si="34"/>
        <v>4038.4655999999995</v>
      </c>
      <c r="G96" s="265">
        <f t="shared" si="35"/>
        <v>121.15396800000053</v>
      </c>
      <c r="H96" s="33">
        <f t="shared" si="36"/>
        <v>4159.6195680000001</v>
      </c>
      <c r="I96" s="169">
        <f t="shared" si="37"/>
        <v>0.5</v>
      </c>
      <c r="J96" s="274">
        <f>H96*(1-I96)</f>
        <v>2079.809784</v>
      </c>
      <c r="K96" s="169">
        <f t="shared" si="39"/>
        <v>0.42499999999999999</v>
      </c>
      <c r="L96" s="128">
        <f>J96*K96</f>
        <v>883.91915819999997</v>
      </c>
    </row>
    <row r="97" spans="1:15" x14ac:dyDescent="0.35">
      <c r="D97" s="117"/>
      <c r="E97" s="52"/>
      <c r="F97" s="33"/>
      <c r="G97" s="265"/>
      <c r="H97" s="33"/>
      <c r="I97" s="33"/>
      <c r="J97" s="33"/>
    </row>
    <row r="98" spans="1:15" x14ac:dyDescent="0.35">
      <c r="B98" s="26" t="s">
        <v>1037</v>
      </c>
      <c r="D98" s="117"/>
      <c r="E98" s="52"/>
      <c r="F98" s="33"/>
      <c r="G98" s="265"/>
      <c r="H98" s="33"/>
      <c r="I98" s="33"/>
      <c r="J98" s="33"/>
    </row>
    <row r="99" spans="1:15" x14ac:dyDescent="0.35">
      <c r="C99" s="26" t="s">
        <v>165</v>
      </c>
      <c r="D99" s="117"/>
      <c r="E99" s="52"/>
      <c r="F99" s="33">
        <f>(F8+F21)*0.1955</f>
        <v>9003.0096000000012</v>
      </c>
      <c r="G99" s="265">
        <f>H99-F99</f>
        <v>144.04815360000066</v>
      </c>
      <c r="H99" s="33">
        <f>F99*(1+$O$99)</f>
        <v>9147.0577536000019</v>
      </c>
      <c r="I99" s="169">
        <f t="shared" ref="I99:I108" si="41">I86</f>
        <v>0.25</v>
      </c>
      <c r="J99" s="274">
        <f>H99*(1-I99)</f>
        <v>6860.2933152000014</v>
      </c>
      <c r="K99" s="169">
        <f t="shared" ref="K99:K108" si="42">K86</f>
        <v>0.35</v>
      </c>
      <c r="L99" s="128">
        <f>J99*K99</f>
        <v>2401.1026603200003</v>
      </c>
      <c r="O99" s="435">
        <v>1.6E-2</v>
      </c>
    </row>
    <row r="100" spans="1:15" x14ac:dyDescent="0.35">
      <c r="C100" s="26" t="s">
        <v>1486</v>
      </c>
      <c r="D100" s="117"/>
      <c r="E100" s="52"/>
      <c r="F100" s="352">
        <v>0</v>
      </c>
      <c r="G100" s="265">
        <f t="shared" ref="G100:G109" si="43">H100-F100</f>
        <v>0</v>
      </c>
      <c r="H100" s="33">
        <f t="shared" ref="H100:H109" si="44">F100*(1+$O$99)</f>
        <v>0</v>
      </c>
      <c r="I100" s="169">
        <f t="shared" si="41"/>
        <v>0</v>
      </c>
      <c r="J100" s="274">
        <f t="shared" ref="J100:J107" si="45">H100*(1-I100)</f>
        <v>0</v>
      </c>
      <c r="K100" s="169">
        <f t="shared" si="42"/>
        <v>0.28000000000000003</v>
      </c>
      <c r="L100" s="128">
        <f t="shared" ref="L100:L107" si="46">J100*K100</f>
        <v>0</v>
      </c>
    </row>
    <row r="101" spans="1:15" x14ac:dyDescent="0.35">
      <c r="C101" s="26" t="s">
        <v>166</v>
      </c>
      <c r="D101" s="117"/>
      <c r="E101" s="52"/>
      <c r="F101" s="33">
        <f t="shared" ref="F101:F109" si="47">(F10+F23)*0.1955</f>
        <v>7642.0168000000003</v>
      </c>
      <c r="G101" s="265">
        <f t="shared" si="43"/>
        <v>122.27226880000035</v>
      </c>
      <c r="H101" s="33">
        <f t="shared" si="44"/>
        <v>7764.2890688000007</v>
      </c>
      <c r="I101" s="169">
        <f t="shared" si="41"/>
        <v>0.25</v>
      </c>
      <c r="J101" s="274">
        <f t="shared" si="45"/>
        <v>5823.2168016000005</v>
      </c>
      <c r="K101" s="169">
        <f t="shared" si="42"/>
        <v>0.25</v>
      </c>
      <c r="L101" s="128">
        <f t="shared" si="46"/>
        <v>1455.8042004000001</v>
      </c>
    </row>
    <row r="102" spans="1:15" x14ac:dyDescent="0.35">
      <c r="C102" s="26" t="s">
        <v>167</v>
      </c>
      <c r="D102" s="117"/>
      <c r="E102" s="52"/>
      <c r="F102" s="33">
        <f t="shared" si="47"/>
        <v>9096.5368000000017</v>
      </c>
      <c r="G102" s="265">
        <f t="shared" si="43"/>
        <v>145.54458879999947</v>
      </c>
      <c r="H102" s="33">
        <f t="shared" si="44"/>
        <v>9242.0813888000012</v>
      </c>
      <c r="I102" s="169">
        <f t="shared" si="41"/>
        <v>0.33</v>
      </c>
      <c r="J102" s="274">
        <f t="shared" si="45"/>
        <v>6192.194530496</v>
      </c>
      <c r="K102" s="169">
        <f t="shared" si="42"/>
        <v>0.31</v>
      </c>
      <c r="L102" s="128">
        <f t="shared" si="46"/>
        <v>1919.5803044537599</v>
      </c>
    </row>
    <row r="103" spans="1:15" x14ac:dyDescent="0.35">
      <c r="C103" s="26" t="s">
        <v>168</v>
      </c>
      <c r="D103" s="117"/>
      <c r="E103" s="52"/>
      <c r="F103" s="33">
        <f t="shared" si="47"/>
        <v>20201.875200000002</v>
      </c>
      <c r="G103" s="265">
        <f t="shared" si="43"/>
        <v>4737.2207999999991</v>
      </c>
      <c r="H103" s="33">
        <f>H12*0.1995</f>
        <v>24939.096000000001</v>
      </c>
      <c r="I103" s="169">
        <f t="shared" si="41"/>
        <v>0.2</v>
      </c>
      <c r="J103" s="274">
        <f t="shared" si="45"/>
        <v>19951.276800000003</v>
      </c>
      <c r="K103" s="169">
        <f t="shared" si="42"/>
        <v>0.25</v>
      </c>
      <c r="L103" s="128">
        <f t="shared" si="46"/>
        <v>4987.8192000000008</v>
      </c>
    </row>
    <row r="104" spans="1:15" x14ac:dyDescent="0.35">
      <c r="C104" s="26" t="s">
        <v>438</v>
      </c>
      <c r="D104" s="117"/>
      <c r="E104" s="52"/>
      <c r="F104" s="33">
        <f t="shared" si="47"/>
        <v>13374.3896</v>
      </c>
      <c r="G104" s="265">
        <f t="shared" si="43"/>
        <v>213.99023359999956</v>
      </c>
      <c r="H104" s="33">
        <f t="shared" si="44"/>
        <v>13588.3798336</v>
      </c>
      <c r="I104" s="169">
        <f t="shared" si="41"/>
        <v>0.25</v>
      </c>
      <c r="J104" s="274">
        <f t="shared" si="45"/>
        <v>10191.284875199999</v>
      </c>
      <c r="K104" s="169">
        <f t="shared" si="42"/>
        <v>0.25</v>
      </c>
      <c r="L104" s="128">
        <f t="shared" si="46"/>
        <v>2547.8212187999998</v>
      </c>
    </row>
    <row r="105" spans="1:15" x14ac:dyDescent="0.35">
      <c r="C105" s="26" t="s">
        <v>1036</v>
      </c>
      <c r="D105" s="117"/>
      <c r="E105" s="52"/>
      <c r="F105" s="33">
        <f t="shared" si="47"/>
        <v>13504.514400000002</v>
      </c>
      <c r="G105" s="265">
        <f t="shared" si="43"/>
        <v>216.07223040000099</v>
      </c>
      <c r="H105" s="33">
        <f t="shared" si="44"/>
        <v>13720.586630400003</v>
      </c>
      <c r="I105" s="169">
        <f t="shared" si="41"/>
        <v>1</v>
      </c>
      <c r="J105" s="274">
        <f t="shared" si="45"/>
        <v>0</v>
      </c>
      <c r="K105" s="169">
        <f t="shared" si="42"/>
        <v>0.19800000000000001</v>
      </c>
      <c r="L105" s="128">
        <f t="shared" si="46"/>
        <v>0</v>
      </c>
    </row>
    <row r="106" spans="1:15" x14ac:dyDescent="0.35">
      <c r="C106" s="26" t="s">
        <v>1110</v>
      </c>
      <c r="D106" s="117"/>
      <c r="E106" s="52"/>
      <c r="F106" s="33">
        <f t="shared" si="47"/>
        <v>7711.9276</v>
      </c>
      <c r="G106" s="265">
        <f t="shared" si="43"/>
        <v>123.39084160000039</v>
      </c>
      <c r="H106" s="33">
        <f t="shared" si="44"/>
        <v>7835.3184416000004</v>
      </c>
      <c r="I106" s="169">
        <f t="shared" si="41"/>
        <v>0</v>
      </c>
      <c r="J106" s="274">
        <f t="shared" si="45"/>
        <v>7835.3184416000004</v>
      </c>
      <c r="K106" s="169">
        <f t="shared" si="42"/>
        <v>0.32</v>
      </c>
      <c r="L106" s="128">
        <f t="shared" si="46"/>
        <v>2507.3019013120002</v>
      </c>
    </row>
    <row r="107" spans="1:15" x14ac:dyDescent="0.35">
      <c r="C107" s="26" t="s">
        <v>439</v>
      </c>
      <c r="D107" s="117"/>
      <c r="E107" s="52"/>
      <c r="F107" s="33">
        <f t="shared" si="47"/>
        <v>14033.146399999998</v>
      </c>
      <c r="G107" s="265">
        <f t="shared" si="43"/>
        <v>224.53034239999943</v>
      </c>
      <c r="H107" s="33">
        <f t="shared" si="44"/>
        <v>14257.676742399997</v>
      </c>
      <c r="I107" s="169">
        <f t="shared" si="41"/>
        <v>0.5</v>
      </c>
      <c r="J107" s="274">
        <f t="shared" si="45"/>
        <v>7128.8383711999986</v>
      </c>
      <c r="K107" s="169">
        <f t="shared" si="42"/>
        <v>0.15</v>
      </c>
      <c r="L107" s="128">
        <f t="shared" si="46"/>
        <v>1069.3257556799997</v>
      </c>
    </row>
    <row r="108" spans="1:15" x14ac:dyDescent="0.35">
      <c r="C108" s="26" t="s">
        <v>1109</v>
      </c>
      <c r="D108" s="117"/>
      <c r="E108" s="52"/>
      <c r="F108" s="33">
        <f t="shared" si="47"/>
        <v>11166.334400000002</v>
      </c>
      <c r="G108" s="265">
        <f t="shared" si="43"/>
        <v>178.66135039999972</v>
      </c>
      <c r="H108" s="33">
        <f t="shared" si="44"/>
        <v>11344.995750400001</v>
      </c>
      <c r="I108" s="169">
        <f t="shared" si="41"/>
        <v>0</v>
      </c>
      <c r="J108" s="274">
        <f>H108*(1-I108)</f>
        <v>11344.995750400001</v>
      </c>
      <c r="K108" s="169">
        <f t="shared" si="42"/>
        <v>0</v>
      </c>
      <c r="L108" s="128">
        <f>J108*K108</f>
        <v>0</v>
      </c>
    </row>
    <row r="109" spans="1:15" x14ac:dyDescent="0.35">
      <c r="C109" s="26" t="s">
        <v>448</v>
      </c>
      <c r="D109" s="117"/>
      <c r="E109" s="52"/>
      <c r="F109" s="33">
        <f t="shared" si="47"/>
        <v>10320.5232</v>
      </c>
      <c r="G109" s="265">
        <f t="shared" si="43"/>
        <v>165.1283712000004</v>
      </c>
      <c r="H109" s="33">
        <f t="shared" si="44"/>
        <v>10485.6515712</v>
      </c>
      <c r="I109" s="169">
        <f>I96</f>
        <v>0.5</v>
      </c>
      <c r="J109" s="274">
        <f>H109*(1-I109)</f>
        <v>5242.8257856</v>
      </c>
      <c r="K109" s="169">
        <f>K96</f>
        <v>0.42499999999999999</v>
      </c>
      <c r="L109" s="128">
        <f>J109*K109</f>
        <v>2228.2009588800001</v>
      </c>
    </row>
    <row r="110" spans="1:15" x14ac:dyDescent="0.35">
      <c r="D110" s="117"/>
      <c r="E110" s="52"/>
      <c r="F110" s="33"/>
      <c r="G110" s="265"/>
      <c r="H110" s="33"/>
      <c r="I110" s="33"/>
      <c r="J110" s="33"/>
    </row>
    <row r="111" spans="1:15" x14ac:dyDescent="0.35">
      <c r="D111" s="117"/>
      <c r="E111" s="52"/>
      <c r="F111" s="33"/>
      <c r="G111" s="265"/>
      <c r="H111" s="33"/>
      <c r="I111" s="33"/>
      <c r="J111" s="33"/>
      <c r="N111" s="33">
        <f>+L112</f>
        <v>150399.41132123215</v>
      </c>
      <c r="O111" s="26" t="s">
        <v>1203</v>
      </c>
    </row>
    <row r="112" spans="1:15" s="25" customFormat="1" ht="15" x14ac:dyDescent="0.3">
      <c r="A112" s="25" t="s">
        <v>462</v>
      </c>
      <c r="D112" s="275"/>
      <c r="E112" s="27"/>
      <c r="F112" s="36">
        <f>SUM(F8:F111)</f>
        <v>873163.45800000022</v>
      </c>
      <c r="G112" s="36">
        <f>SUM(G8:G111)</f>
        <v>50654.520652799991</v>
      </c>
      <c r="H112" s="36">
        <f>SUM(H8:H111)</f>
        <v>923817.97865280008</v>
      </c>
      <c r="I112" s="36"/>
      <c r="J112" s="36">
        <f>SUM(J8:J111)</f>
        <v>625747.332990736</v>
      </c>
      <c r="L112" s="36">
        <f>SUM(L8:L111)</f>
        <v>150399.41132123215</v>
      </c>
      <c r="N112" s="515">
        <v>2519248.9365656073</v>
      </c>
      <c r="O112" s="25" t="s">
        <v>1484</v>
      </c>
    </row>
    <row r="113" spans="1:15" x14ac:dyDescent="0.35">
      <c r="D113" s="117"/>
      <c r="E113" s="52"/>
      <c r="F113" s="33"/>
      <c r="G113" s="174">
        <f>G112*L113</f>
        <v>12174.89821415364</v>
      </c>
      <c r="H113" s="33"/>
      <c r="I113" s="33"/>
      <c r="J113" s="33"/>
      <c r="L113" s="168">
        <f>L112/J112</f>
        <v>0.24035166175204262</v>
      </c>
      <c r="N113" s="169">
        <f>+N111/N112</f>
        <v>5.9700099159817742E-2</v>
      </c>
      <c r="O113" s="26" t="s">
        <v>1485</v>
      </c>
    </row>
    <row r="114" spans="1:15" x14ac:dyDescent="0.35">
      <c r="D114" s="117"/>
      <c r="E114" s="52"/>
      <c r="F114" s="33"/>
      <c r="G114" s="284" t="s">
        <v>476</v>
      </c>
      <c r="H114" s="33"/>
      <c r="I114" s="33"/>
      <c r="J114" s="33"/>
      <c r="L114" s="168"/>
    </row>
    <row r="115" spans="1:15" x14ac:dyDescent="0.35">
      <c r="A115" s="84"/>
      <c r="D115" s="117"/>
      <c r="E115" s="52"/>
      <c r="F115" s="33"/>
      <c r="G115" s="265"/>
      <c r="H115" s="33"/>
      <c r="I115" s="33"/>
      <c r="J115" s="33"/>
    </row>
    <row r="116" spans="1:15" x14ac:dyDescent="0.35">
      <c r="D116" s="117"/>
      <c r="E116" s="52"/>
      <c r="F116" s="33"/>
      <c r="G116" s="265"/>
      <c r="I116" s="33"/>
      <c r="J116" s="33"/>
    </row>
    <row r="117" spans="1:15" s="122" customFormat="1" ht="6" customHeight="1" x14ac:dyDescent="0.35">
      <c r="D117" s="276"/>
      <c r="E117" s="151"/>
      <c r="F117" s="277"/>
      <c r="G117" s="278"/>
      <c r="H117" s="277"/>
      <c r="I117" s="277"/>
      <c r="J117" s="277"/>
    </row>
    <row r="118" spans="1:15" x14ac:dyDescent="0.35">
      <c r="A118" s="25" t="s">
        <v>4</v>
      </c>
      <c r="B118" s="25"/>
    </row>
    <row r="119" spans="1:15" x14ac:dyDescent="0.35">
      <c r="A119" s="25" t="s">
        <v>109</v>
      </c>
      <c r="B119" s="25"/>
    </row>
    <row r="120" spans="1:15" x14ac:dyDescent="0.35">
      <c r="A120" s="25" t="s">
        <v>442</v>
      </c>
      <c r="B120" s="25"/>
      <c r="H120" s="50"/>
      <c r="I120" s="50"/>
      <c r="J120" s="50"/>
      <c r="L120" s="50" t="s">
        <v>1658</v>
      </c>
    </row>
    <row r="122" spans="1:15" x14ac:dyDescent="0.35">
      <c r="F122" s="46">
        <v>2012</v>
      </c>
      <c r="G122" s="27"/>
      <c r="H122" s="27"/>
      <c r="I122" s="27"/>
      <c r="J122" s="27"/>
      <c r="K122" s="269" t="s">
        <v>453</v>
      </c>
      <c r="L122" s="270"/>
    </row>
    <row r="123" spans="1:15" ht="31" x14ac:dyDescent="0.35">
      <c r="B123" s="273"/>
      <c r="C123" s="268"/>
      <c r="D123" s="267" t="s">
        <v>440</v>
      </c>
      <c r="E123" s="266" t="s">
        <v>441</v>
      </c>
      <c r="F123" s="245" t="s">
        <v>112</v>
      </c>
      <c r="G123" s="245" t="s">
        <v>36</v>
      </c>
      <c r="H123" s="271" t="s">
        <v>37</v>
      </c>
      <c r="I123" s="271" t="s">
        <v>460</v>
      </c>
      <c r="J123" s="271" t="s">
        <v>461</v>
      </c>
      <c r="K123" s="272" t="s">
        <v>454</v>
      </c>
      <c r="L123" s="272" t="s">
        <v>455</v>
      </c>
    </row>
    <row r="124" spans="1:15" x14ac:dyDescent="0.35">
      <c r="B124" s="26" t="s">
        <v>340</v>
      </c>
      <c r="D124" s="117"/>
      <c r="E124" s="52"/>
      <c r="F124" s="33"/>
      <c r="G124" s="265"/>
      <c r="H124" s="33"/>
      <c r="I124" s="33"/>
      <c r="J124" s="33"/>
    </row>
    <row r="125" spans="1:15" x14ac:dyDescent="0.35">
      <c r="C125" s="26" t="s">
        <v>442</v>
      </c>
      <c r="D125" s="224">
        <v>57.692307692307693</v>
      </c>
      <c r="E125" s="52">
        <v>2</v>
      </c>
      <c r="F125" s="33">
        <f>D125*E125*52</f>
        <v>6000</v>
      </c>
      <c r="G125" s="45">
        <v>0</v>
      </c>
      <c r="H125" s="33">
        <f>F125+G125</f>
        <v>6000</v>
      </c>
      <c r="I125" s="258">
        <v>0</v>
      </c>
      <c r="J125" s="274">
        <f>H125*(1-I125)</f>
        <v>6000</v>
      </c>
      <c r="K125" s="258">
        <v>0.32</v>
      </c>
      <c r="L125" s="128">
        <f>J125*K125</f>
        <v>1920</v>
      </c>
    </row>
    <row r="126" spans="1:15" x14ac:dyDescent="0.35">
      <c r="C126" s="26" t="s">
        <v>442</v>
      </c>
      <c r="D126" s="224">
        <v>59.615384615384613</v>
      </c>
      <c r="E126" s="52">
        <v>2</v>
      </c>
      <c r="F126" s="33">
        <f>D126*E126*52</f>
        <v>6200</v>
      </c>
      <c r="G126" s="45">
        <v>0</v>
      </c>
      <c r="H126" s="33">
        <f>F126+G126</f>
        <v>6200</v>
      </c>
      <c r="I126" s="258">
        <v>0</v>
      </c>
      <c r="J126" s="274">
        <f>H126*(1-I126)</f>
        <v>6200</v>
      </c>
      <c r="K126" s="258">
        <v>0.32</v>
      </c>
      <c r="L126" s="128">
        <f>J126*K126</f>
        <v>1984</v>
      </c>
    </row>
    <row r="127" spans="1:15" x14ac:dyDescent="0.35">
      <c r="C127" s="26" t="s">
        <v>442</v>
      </c>
      <c r="D127" s="224">
        <v>57.692307692307693</v>
      </c>
      <c r="E127" s="52">
        <v>2</v>
      </c>
      <c r="F127" s="33">
        <f>D127*E127*52</f>
        <v>6000</v>
      </c>
      <c r="G127" s="45">
        <v>0</v>
      </c>
      <c r="H127" s="33">
        <f>F127+G127</f>
        <v>6000</v>
      </c>
      <c r="I127" s="258">
        <v>0</v>
      </c>
      <c r="J127" s="274">
        <f>H127*(1-I127)</f>
        <v>6000</v>
      </c>
      <c r="K127" s="258">
        <v>0.32</v>
      </c>
      <c r="L127" s="128">
        <f>J127*K127</f>
        <v>1920</v>
      </c>
    </row>
    <row r="128" spans="1:15" x14ac:dyDescent="0.35">
      <c r="C128" s="26" t="s">
        <v>442</v>
      </c>
      <c r="D128" s="224">
        <v>57.692307692307693</v>
      </c>
      <c r="E128" s="52">
        <v>2</v>
      </c>
      <c r="F128" s="33">
        <f>D128*E128*52</f>
        <v>6000</v>
      </c>
      <c r="G128" s="45">
        <v>0</v>
      </c>
      <c r="H128" s="33">
        <f>F128+G128</f>
        <v>6000</v>
      </c>
      <c r="I128" s="258">
        <v>0</v>
      </c>
      <c r="J128" s="274">
        <f>H128*(1-I128)</f>
        <v>6000</v>
      </c>
      <c r="K128" s="258">
        <v>0.32</v>
      </c>
      <c r="L128" s="128">
        <f>J128*K128</f>
        <v>1920</v>
      </c>
    </row>
    <row r="129" spans="2:12" x14ac:dyDescent="0.35">
      <c r="C129" s="26" t="s">
        <v>442</v>
      </c>
      <c r="D129" s="224">
        <v>57.692307692307693</v>
      </c>
      <c r="E129" s="52">
        <v>2</v>
      </c>
      <c r="F129" s="33">
        <f>D129*E129*52</f>
        <v>6000</v>
      </c>
      <c r="G129" s="45">
        <v>0</v>
      </c>
      <c r="H129" s="33">
        <f>F129+G129</f>
        <v>6000</v>
      </c>
      <c r="I129" s="258">
        <v>0</v>
      </c>
      <c r="J129" s="274">
        <f>H129*(1-I129)</f>
        <v>6000</v>
      </c>
      <c r="K129" s="258">
        <v>0.32</v>
      </c>
      <c r="L129" s="128">
        <f>J129*K129</f>
        <v>1920</v>
      </c>
    </row>
    <row r="130" spans="2:12" x14ac:dyDescent="0.35">
      <c r="D130" s="224"/>
      <c r="E130" s="52"/>
      <c r="F130" s="33"/>
      <c r="G130" s="33"/>
      <c r="H130" s="33"/>
      <c r="I130" s="33"/>
      <c r="J130" s="33"/>
    </row>
    <row r="131" spans="2:12" x14ac:dyDescent="0.35">
      <c r="B131" s="26" t="s">
        <v>472</v>
      </c>
      <c r="D131" s="224"/>
      <c r="E131" s="52"/>
      <c r="F131" s="33"/>
      <c r="G131" s="33"/>
      <c r="H131" s="33"/>
      <c r="I131" s="33"/>
      <c r="J131" s="33"/>
    </row>
    <row r="132" spans="2:12" x14ac:dyDescent="0.35">
      <c r="C132" s="26" t="s">
        <v>442</v>
      </c>
      <c r="D132" s="224"/>
      <c r="E132" s="52"/>
      <c r="F132" s="33">
        <v>0</v>
      </c>
      <c r="G132" s="45">
        <v>0</v>
      </c>
      <c r="H132" s="33">
        <f>F132+G132</f>
        <v>0</v>
      </c>
      <c r="I132" s="169">
        <f>I125</f>
        <v>0</v>
      </c>
      <c r="J132" s="274">
        <f>H132*(1-I132)</f>
        <v>0</v>
      </c>
      <c r="K132" s="169">
        <f>K125</f>
        <v>0.32</v>
      </c>
      <c r="L132" s="128">
        <f>J132*K132</f>
        <v>0</v>
      </c>
    </row>
    <row r="133" spans="2:12" x14ac:dyDescent="0.35">
      <c r="C133" s="26" t="s">
        <v>442</v>
      </c>
      <c r="D133" s="224"/>
      <c r="E133" s="52"/>
      <c r="F133" s="33">
        <v>0</v>
      </c>
      <c r="G133" s="45">
        <v>0</v>
      </c>
      <c r="H133" s="33">
        <f>F133+G133</f>
        <v>0</v>
      </c>
      <c r="I133" s="169">
        <f>I126</f>
        <v>0</v>
      </c>
      <c r="J133" s="274">
        <f>H133*(1-I133)</f>
        <v>0</v>
      </c>
      <c r="K133" s="169">
        <f>K126</f>
        <v>0.32</v>
      </c>
      <c r="L133" s="128">
        <f>J133*K133</f>
        <v>0</v>
      </c>
    </row>
    <row r="134" spans="2:12" x14ac:dyDescent="0.35">
      <c r="C134" s="26" t="s">
        <v>442</v>
      </c>
      <c r="D134" s="224"/>
      <c r="E134" s="52"/>
      <c r="F134" s="33">
        <v>0</v>
      </c>
      <c r="G134" s="45">
        <v>0</v>
      </c>
      <c r="H134" s="33">
        <f>F134+G134</f>
        <v>0</v>
      </c>
      <c r="I134" s="169">
        <f>I127</f>
        <v>0</v>
      </c>
      <c r="J134" s="274">
        <f>H134*(1-I134)</f>
        <v>0</v>
      </c>
      <c r="K134" s="169">
        <f>K127</f>
        <v>0.32</v>
      </c>
      <c r="L134" s="128">
        <f>J134*K134</f>
        <v>0</v>
      </c>
    </row>
    <row r="135" spans="2:12" x14ac:dyDescent="0.35">
      <c r="C135" s="26" t="s">
        <v>442</v>
      </c>
      <c r="D135" s="224"/>
      <c r="E135" s="52"/>
      <c r="F135" s="33">
        <v>0</v>
      </c>
      <c r="G135" s="45">
        <v>0</v>
      </c>
      <c r="H135" s="33">
        <f>F135+G135</f>
        <v>0</v>
      </c>
      <c r="I135" s="169">
        <f>I128</f>
        <v>0</v>
      </c>
      <c r="J135" s="274">
        <f>H135*(1-I135)</f>
        <v>0</v>
      </c>
      <c r="K135" s="169">
        <f>K128</f>
        <v>0.32</v>
      </c>
      <c r="L135" s="128">
        <f>J135*K135</f>
        <v>0</v>
      </c>
    </row>
    <row r="136" spans="2:12" x14ac:dyDescent="0.35">
      <c r="C136" s="26" t="s">
        <v>442</v>
      </c>
      <c r="D136" s="224"/>
      <c r="E136" s="52"/>
      <c r="F136" s="33">
        <v>0</v>
      </c>
      <c r="G136" s="45">
        <v>0</v>
      </c>
      <c r="H136" s="33">
        <f>F136+G136</f>
        <v>0</v>
      </c>
      <c r="I136" s="169">
        <f>I129</f>
        <v>0</v>
      </c>
      <c r="J136" s="274">
        <f>H136*(1-I136)</f>
        <v>0</v>
      </c>
      <c r="K136" s="169">
        <f>K129</f>
        <v>0.32</v>
      </c>
      <c r="L136" s="128">
        <f>J136*K136</f>
        <v>0</v>
      </c>
    </row>
    <row r="137" spans="2:12" x14ac:dyDescent="0.35">
      <c r="D137" s="224"/>
      <c r="E137" s="52"/>
      <c r="F137" s="33"/>
      <c r="G137" s="33"/>
      <c r="H137" s="33"/>
      <c r="I137" s="33"/>
      <c r="J137" s="33"/>
    </row>
    <row r="138" spans="2:12" x14ac:dyDescent="0.35">
      <c r="B138" s="26" t="s">
        <v>473</v>
      </c>
      <c r="D138" s="224"/>
      <c r="E138" s="52"/>
      <c r="F138" s="33"/>
      <c r="G138" s="33"/>
      <c r="H138" s="33"/>
      <c r="I138" s="33"/>
      <c r="J138" s="33"/>
    </row>
    <row r="139" spans="2:12" x14ac:dyDescent="0.35">
      <c r="C139" s="26" t="s">
        <v>442</v>
      </c>
      <c r="D139" s="224"/>
      <c r="E139" s="52"/>
      <c r="F139" s="33">
        <v>1680</v>
      </c>
      <c r="G139" s="33">
        <f>H139-F139</f>
        <v>0</v>
      </c>
      <c r="H139" s="33">
        <f>F139*(1+$O$33)</f>
        <v>1680</v>
      </c>
      <c r="I139" s="169">
        <f>I132</f>
        <v>0</v>
      </c>
      <c r="J139" s="274">
        <f>H139*(1-I139)</f>
        <v>1680</v>
      </c>
      <c r="K139" s="169">
        <f>K132</f>
        <v>0.32</v>
      </c>
      <c r="L139" s="128">
        <f>J139*K139</f>
        <v>537.6</v>
      </c>
    </row>
    <row r="140" spans="2:12" x14ac:dyDescent="0.35">
      <c r="C140" s="26" t="s">
        <v>442</v>
      </c>
      <c r="D140" s="224"/>
      <c r="E140" s="52"/>
      <c r="F140" s="33">
        <v>10636</v>
      </c>
      <c r="G140" s="33">
        <f>H140-F140</f>
        <v>0</v>
      </c>
      <c r="H140" s="33">
        <f>F140*(1+$O$33)</f>
        <v>10636</v>
      </c>
      <c r="I140" s="169">
        <f>I133</f>
        <v>0</v>
      </c>
      <c r="J140" s="274">
        <f>H140*(1-I140)</f>
        <v>10636</v>
      </c>
      <c r="K140" s="169">
        <f>K133</f>
        <v>0.32</v>
      </c>
      <c r="L140" s="128">
        <f>J140*K140</f>
        <v>3403.52</v>
      </c>
    </row>
    <row r="141" spans="2:12" x14ac:dyDescent="0.35">
      <c r="C141" s="26" t="s">
        <v>442</v>
      </c>
      <c r="D141" s="224"/>
      <c r="E141" s="52"/>
      <c r="F141" s="33">
        <v>1680</v>
      </c>
      <c r="G141" s="33">
        <f>H141-F141</f>
        <v>0</v>
      </c>
      <c r="H141" s="33">
        <f>F141*(1+$O$33)</f>
        <v>1680</v>
      </c>
      <c r="I141" s="169">
        <f>I134</f>
        <v>0</v>
      </c>
      <c r="J141" s="274">
        <f>H141*(1-I141)</f>
        <v>1680</v>
      </c>
      <c r="K141" s="169">
        <f>K134</f>
        <v>0.32</v>
      </c>
      <c r="L141" s="128">
        <f>J141*K141</f>
        <v>537.6</v>
      </c>
    </row>
    <row r="142" spans="2:12" x14ac:dyDescent="0.35">
      <c r="C142" s="26" t="s">
        <v>442</v>
      </c>
      <c r="D142" s="224"/>
      <c r="E142" s="52"/>
      <c r="F142" s="33">
        <v>1680</v>
      </c>
      <c r="G142" s="33">
        <f>H142-F142</f>
        <v>0</v>
      </c>
      <c r="H142" s="33">
        <f>F142*(1+$O$33)</f>
        <v>1680</v>
      </c>
      <c r="I142" s="169">
        <f>I135</f>
        <v>0</v>
      </c>
      <c r="J142" s="274">
        <f>H142*(1-I142)</f>
        <v>1680</v>
      </c>
      <c r="K142" s="169">
        <f>K135</f>
        <v>0.32</v>
      </c>
      <c r="L142" s="128">
        <f>J142*K142</f>
        <v>537.6</v>
      </c>
    </row>
    <row r="143" spans="2:12" x14ac:dyDescent="0.35">
      <c r="C143" s="26" t="s">
        <v>442</v>
      </c>
      <c r="D143" s="224"/>
      <c r="E143" s="52"/>
      <c r="F143" s="33">
        <v>10636</v>
      </c>
      <c r="G143" s="33">
        <f>H143-F143</f>
        <v>0</v>
      </c>
      <c r="H143" s="33">
        <f>F143*(1+$O$33)</f>
        <v>10636</v>
      </c>
      <c r="I143" s="169">
        <f>I136</f>
        <v>0</v>
      </c>
      <c r="J143" s="274">
        <f>H143*(1-I143)</f>
        <v>10636</v>
      </c>
      <c r="K143" s="169">
        <f>K136</f>
        <v>0.32</v>
      </c>
      <c r="L143" s="128">
        <f>J143*K143</f>
        <v>3403.52</v>
      </c>
    </row>
    <row r="144" spans="2:12" x14ac:dyDescent="0.35">
      <c r="D144" s="224"/>
      <c r="E144" s="52"/>
      <c r="F144" s="33"/>
      <c r="G144" s="33"/>
      <c r="H144" s="33"/>
      <c r="I144" s="33"/>
      <c r="J144" s="33"/>
    </row>
    <row r="145" spans="2:12" x14ac:dyDescent="0.35">
      <c r="B145" s="26" t="s">
        <v>474</v>
      </c>
      <c r="D145" s="224"/>
      <c r="E145" s="52"/>
      <c r="F145" s="33"/>
      <c r="G145" s="33"/>
      <c r="H145" s="33"/>
      <c r="I145" s="33"/>
      <c r="J145" s="33"/>
    </row>
    <row r="146" spans="2:12" x14ac:dyDescent="0.35">
      <c r="C146" s="26" t="s">
        <v>442</v>
      </c>
      <c r="D146" s="224"/>
      <c r="E146" s="52"/>
      <c r="F146" s="33">
        <v>10</v>
      </c>
      <c r="G146" s="45">
        <v>0</v>
      </c>
      <c r="H146" s="33">
        <f>F146+G146</f>
        <v>10</v>
      </c>
      <c r="I146" s="169">
        <f>I139</f>
        <v>0</v>
      </c>
      <c r="J146" s="274">
        <f>H146*(1-I146)</f>
        <v>10</v>
      </c>
      <c r="K146" s="169">
        <f>K139</f>
        <v>0.32</v>
      </c>
      <c r="L146" s="128">
        <f>J146*K146</f>
        <v>3.2</v>
      </c>
    </row>
    <row r="147" spans="2:12" x14ac:dyDescent="0.35">
      <c r="C147" s="26" t="s">
        <v>442</v>
      </c>
      <c r="D147" s="224"/>
      <c r="E147" s="52"/>
      <c r="F147" s="33">
        <v>10</v>
      </c>
      <c r="G147" s="45">
        <v>0</v>
      </c>
      <c r="H147" s="33">
        <f>F147+G147</f>
        <v>10</v>
      </c>
      <c r="I147" s="169">
        <f>I140</f>
        <v>0</v>
      </c>
      <c r="J147" s="274">
        <f>H147*(1-I147)</f>
        <v>10</v>
      </c>
      <c r="K147" s="169">
        <f>K140</f>
        <v>0.32</v>
      </c>
      <c r="L147" s="128">
        <f>J147*K147</f>
        <v>3.2</v>
      </c>
    </row>
    <row r="148" spans="2:12" x14ac:dyDescent="0.35">
      <c r="C148" s="26" t="s">
        <v>442</v>
      </c>
      <c r="D148" s="224"/>
      <c r="E148" s="52"/>
      <c r="F148" s="33">
        <v>10</v>
      </c>
      <c r="G148" s="45">
        <v>0</v>
      </c>
      <c r="H148" s="33">
        <f>F148+G148</f>
        <v>10</v>
      </c>
      <c r="I148" s="169">
        <f>I141</f>
        <v>0</v>
      </c>
      <c r="J148" s="274">
        <f>H148*(1-I148)</f>
        <v>10</v>
      </c>
      <c r="K148" s="169">
        <f>K141</f>
        <v>0.32</v>
      </c>
      <c r="L148" s="128">
        <f>J148*K148</f>
        <v>3.2</v>
      </c>
    </row>
    <row r="149" spans="2:12" x14ac:dyDescent="0.35">
      <c r="C149" s="26" t="s">
        <v>442</v>
      </c>
      <c r="D149" s="224"/>
      <c r="E149" s="52"/>
      <c r="F149" s="33">
        <v>10</v>
      </c>
      <c r="G149" s="45">
        <v>0</v>
      </c>
      <c r="H149" s="33">
        <f>F149+G149</f>
        <v>10</v>
      </c>
      <c r="I149" s="169">
        <f>I142</f>
        <v>0</v>
      </c>
      <c r="J149" s="274">
        <f>H149*(1-I149)</f>
        <v>10</v>
      </c>
      <c r="K149" s="169">
        <f>K142</f>
        <v>0.32</v>
      </c>
      <c r="L149" s="128">
        <f>J149*K149</f>
        <v>3.2</v>
      </c>
    </row>
    <row r="150" spans="2:12" x14ac:dyDescent="0.35">
      <c r="C150" s="26" t="s">
        <v>442</v>
      </c>
      <c r="D150" s="224"/>
      <c r="E150" s="52"/>
      <c r="F150" s="33">
        <v>10</v>
      </c>
      <c r="G150" s="45">
        <v>0</v>
      </c>
      <c r="H150" s="33">
        <f>F150+G150</f>
        <v>10</v>
      </c>
      <c r="I150" s="169">
        <f>I143</f>
        <v>0</v>
      </c>
      <c r="J150" s="274">
        <f>H150*(1-I150)</f>
        <v>10</v>
      </c>
      <c r="K150" s="169">
        <f>K143</f>
        <v>0.32</v>
      </c>
      <c r="L150" s="128">
        <f>J150*K150</f>
        <v>3.2</v>
      </c>
    </row>
    <row r="151" spans="2:12" x14ac:dyDescent="0.35">
      <c r="D151" s="224"/>
      <c r="E151" s="52"/>
      <c r="F151" s="33"/>
      <c r="G151" s="33"/>
      <c r="H151" s="33"/>
      <c r="I151" s="33"/>
      <c r="J151" s="33"/>
    </row>
    <row r="152" spans="2:12" x14ac:dyDescent="0.35">
      <c r="B152" s="26" t="s">
        <v>457</v>
      </c>
      <c r="D152" s="224"/>
      <c r="E152" s="52"/>
      <c r="F152" s="33"/>
      <c r="G152" s="33"/>
      <c r="H152" s="33"/>
      <c r="I152" s="33"/>
      <c r="J152" s="33"/>
    </row>
    <row r="153" spans="2:12" x14ac:dyDescent="0.35">
      <c r="C153" s="26" t="s">
        <v>442</v>
      </c>
      <c r="D153" s="224"/>
      <c r="E153" s="52"/>
      <c r="F153" s="33">
        <v>372</v>
      </c>
      <c r="G153" s="33">
        <f>H153-F153</f>
        <v>0</v>
      </c>
      <c r="H153" s="33">
        <f>F153*(1+$O$60)</f>
        <v>372</v>
      </c>
      <c r="I153" s="169">
        <f>I132</f>
        <v>0</v>
      </c>
      <c r="J153" s="274">
        <f>H153*(1-I153)</f>
        <v>372</v>
      </c>
      <c r="K153" s="169">
        <f>K132</f>
        <v>0.32</v>
      </c>
      <c r="L153" s="128">
        <f>J153*K153</f>
        <v>119.04</v>
      </c>
    </row>
    <row r="154" spans="2:12" x14ac:dyDescent="0.35">
      <c r="C154" s="26" t="s">
        <v>442</v>
      </c>
      <c r="D154" s="224"/>
      <c r="E154" s="52"/>
      <c r="F154" s="33">
        <v>372</v>
      </c>
      <c r="G154" s="33">
        <f>H154-F154</f>
        <v>0</v>
      </c>
      <c r="H154" s="33">
        <f>F154*(1+$O$60)</f>
        <v>372</v>
      </c>
      <c r="I154" s="169">
        <f>I133</f>
        <v>0</v>
      </c>
      <c r="J154" s="274">
        <f>H154*(1-I154)</f>
        <v>372</v>
      </c>
      <c r="K154" s="169">
        <f>K133</f>
        <v>0.32</v>
      </c>
      <c r="L154" s="128">
        <f>J154*K154</f>
        <v>119.04</v>
      </c>
    </row>
    <row r="155" spans="2:12" x14ac:dyDescent="0.35">
      <c r="C155" s="26" t="s">
        <v>442</v>
      </c>
      <c r="D155" s="224"/>
      <c r="E155" s="52"/>
      <c r="F155" s="33">
        <v>372</v>
      </c>
      <c r="G155" s="33">
        <f>H155-F155</f>
        <v>0</v>
      </c>
      <c r="H155" s="33">
        <f>F155*(1+$O$60)</f>
        <v>372</v>
      </c>
      <c r="I155" s="169">
        <f>I134</f>
        <v>0</v>
      </c>
      <c r="J155" s="274">
        <f>H155*(1-I155)</f>
        <v>372</v>
      </c>
      <c r="K155" s="169">
        <f>K134</f>
        <v>0.32</v>
      </c>
      <c r="L155" s="128">
        <f>J155*K155</f>
        <v>119.04</v>
      </c>
    </row>
    <row r="156" spans="2:12" x14ac:dyDescent="0.35">
      <c r="C156" s="26" t="s">
        <v>442</v>
      </c>
      <c r="D156" s="224"/>
      <c r="E156" s="52"/>
      <c r="F156" s="33">
        <v>372</v>
      </c>
      <c r="G156" s="33">
        <f>H156-F156</f>
        <v>0</v>
      </c>
      <c r="H156" s="33">
        <f>F156*(1+$O$60)</f>
        <v>372</v>
      </c>
      <c r="I156" s="169">
        <f>I135</f>
        <v>0</v>
      </c>
      <c r="J156" s="274">
        <f>H156*(1-I156)</f>
        <v>372</v>
      </c>
      <c r="K156" s="169">
        <f>K135</f>
        <v>0.32</v>
      </c>
      <c r="L156" s="128">
        <f>J156*K156</f>
        <v>119.04</v>
      </c>
    </row>
    <row r="157" spans="2:12" x14ac:dyDescent="0.35">
      <c r="C157" s="26" t="s">
        <v>442</v>
      </c>
      <c r="D157" s="224"/>
      <c r="E157" s="52"/>
      <c r="F157" s="33">
        <v>372</v>
      </c>
      <c r="G157" s="33">
        <f>H157-F157</f>
        <v>0</v>
      </c>
      <c r="H157" s="33">
        <f>F157*(1+$O$60)</f>
        <v>372</v>
      </c>
      <c r="I157" s="169">
        <f>I136</f>
        <v>0</v>
      </c>
      <c r="J157" s="274">
        <f>H157*(1-I157)</f>
        <v>372</v>
      </c>
      <c r="K157" s="169">
        <f>K136</f>
        <v>0.32</v>
      </c>
      <c r="L157" s="128">
        <f>J157*K157</f>
        <v>119.04</v>
      </c>
    </row>
    <row r="158" spans="2:12" x14ac:dyDescent="0.35">
      <c r="D158" s="224"/>
      <c r="E158" s="52"/>
      <c r="F158" s="33"/>
      <c r="G158" s="33"/>
      <c r="H158" s="33"/>
      <c r="I158" s="33"/>
      <c r="J158" s="33"/>
    </row>
    <row r="159" spans="2:12" x14ac:dyDescent="0.35">
      <c r="B159" s="26" t="s">
        <v>458</v>
      </c>
      <c r="D159" s="224"/>
      <c r="E159" s="52"/>
      <c r="F159" s="33"/>
      <c r="G159" s="33"/>
      <c r="H159" s="33"/>
      <c r="I159" s="33"/>
      <c r="J159" s="33"/>
    </row>
    <row r="160" spans="2:12" x14ac:dyDescent="0.35">
      <c r="C160" s="26" t="s">
        <v>442</v>
      </c>
      <c r="D160" s="224"/>
      <c r="E160" s="52"/>
      <c r="F160" s="33">
        <v>0</v>
      </c>
      <c r="G160" s="45">
        <v>0</v>
      </c>
      <c r="H160" s="33">
        <f>F160+G160</f>
        <v>0</v>
      </c>
      <c r="I160" s="169">
        <f>I153</f>
        <v>0</v>
      </c>
      <c r="J160" s="274">
        <f>H160*(1-I160)</f>
        <v>0</v>
      </c>
      <c r="K160" s="169">
        <f>K153</f>
        <v>0.32</v>
      </c>
      <c r="L160" s="128">
        <f>J160*K160</f>
        <v>0</v>
      </c>
    </row>
    <row r="161" spans="2:12" x14ac:dyDescent="0.35">
      <c r="C161" s="26" t="s">
        <v>442</v>
      </c>
      <c r="D161" s="224"/>
      <c r="E161" s="52"/>
      <c r="F161" s="33">
        <v>0</v>
      </c>
      <c r="G161" s="45">
        <v>0</v>
      </c>
      <c r="H161" s="33">
        <f>F161+G161</f>
        <v>0</v>
      </c>
      <c r="I161" s="169">
        <f>I154</f>
        <v>0</v>
      </c>
      <c r="J161" s="274">
        <f>H161*(1-I161)</f>
        <v>0</v>
      </c>
      <c r="K161" s="169">
        <f>K154</f>
        <v>0.32</v>
      </c>
      <c r="L161" s="128">
        <f>J161*K161</f>
        <v>0</v>
      </c>
    </row>
    <row r="162" spans="2:12" x14ac:dyDescent="0.35">
      <c r="C162" s="26" t="s">
        <v>442</v>
      </c>
      <c r="D162" s="224"/>
      <c r="E162" s="52"/>
      <c r="F162" s="33">
        <v>0</v>
      </c>
      <c r="G162" s="45">
        <v>0</v>
      </c>
      <c r="H162" s="33">
        <f>F162+G162</f>
        <v>0</v>
      </c>
      <c r="I162" s="169">
        <f>I155</f>
        <v>0</v>
      </c>
      <c r="J162" s="274">
        <f>H162*(1-I162)</f>
        <v>0</v>
      </c>
      <c r="K162" s="169">
        <f>K155</f>
        <v>0.32</v>
      </c>
      <c r="L162" s="128">
        <f>J162*K162</f>
        <v>0</v>
      </c>
    </row>
    <row r="163" spans="2:12" x14ac:dyDescent="0.35">
      <c r="C163" s="26" t="s">
        <v>442</v>
      </c>
      <c r="D163" s="224"/>
      <c r="E163" s="52"/>
      <c r="F163" s="33">
        <v>0</v>
      </c>
      <c r="G163" s="45">
        <v>0</v>
      </c>
      <c r="H163" s="33">
        <f>F163+G163</f>
        <v>0</v>
      </c>
      <c r="I163" s="169">
        <f>I156</f>
        <v>0</v>
      </c>
      <c r="J163" s="274">
        <f>H163*(1-I163)</f>
        <v>0</v>
      </c>
      <c r="K163" s="169">
        <f>K156</f>
        <v>0.32</v>
      </c>
      <c r="L163" s="128">
        <f>J163*K163</f>
        <v>0</v>
      </c>
    </row>
    <row r="164" spans="2:12" x14ac:dyDescent="0.35">
      <c r="C164" s="26" t="s">
        <v>442</v>
      </c>
      <c r="D164" s="224"/>
      <c r="E164" s="52"/>
      <c r="F164" s="33">
        <v>0</v>
      </c>
      <c r="G164" s="45">
        <v>0</v>
      </c>
      <c r="H164" s="33">
        <f>F164+G164</f>
        <v>0</v>
      </c>
      <c r="I164" s="169">
        <f>I157</f>
        <v>0</v>
      </c>
      <c r="J164" s="274">
        <f>H164*(1-I164)</f>
        <v>0</v>
      </c>
      <c r="K164" s="169">
        <f>K157</f>
        <v>0.32</v>
      </c>
      <c r="L164" s="128">
        <f>J164*K164</f>
        <v>0</v>
      </c>
    </row>
    <row r="165" spans="2:12" x14ac:dyDescent="0.35">
      <c r="D165" s="224"/>
      <c r="E165" s="52"/>
      <c r="F165" s="33"/>
      <c r="G165" s="33"/>
      <c r="H165" s="33"/>
      <c r="I165" s="33"/>
      <c r="J165" s="33"/>
    </row>
    <row r="166" spans="2:12" x14ac:dyDescent="0.35">
      <c r="B166" s="26" t="s">
        <v>982</v>
      </c>
      <c r="D166" s="224"/>
      <c r="E166" s="52"/>
      <c r="F166" s="33"/>
      <c r="G166" s="33"/>
      <c r="H166" s="33"/>
      <c r="I166" s="33"/>
      <c r="J166" s="33"/>
    </row>
    <row r="167" spans="2:12" x14ac:dyDescent="0.35">
      <c r="C167" s="26" t="s">
        <v>442</v>
      </c>
      <c r="D167" s="224"/>
      <c r="E167" s="52"/>
      <c r="F167" s="33">
        <f>(F125+F132)*0.0765</f>
        <v>459</v>
      </c>
      <c r="G167" s="33">
        <f>H167-F167</f>
        <v>13.770000000000039</v>
      </c>
      <c r="H167" s="33">
        <f>F167*(1+$O$86)</f>
        <v>472.77000000000004</v>
      </c>
      <c r="I167" s="169">
        <f>I160</f>
        <v>0</v>
      </c>
      <c r="J167" s="274">
        <f>H167*(1-I167)</f>
        <v>472.77000000000004</v>
      </c>
      <c r="K167" s="169">
        <f>K160</f>
        <v>0.32</v>
      </c>
      <c r="L167" s="128">
        <f>J167*K167</f>
        <v>151.28640000000001</v>
      </c>
    </row>
    <row r="168" spans="2:12" x14ac:dyDescent="0.35">
      <c r="C168" s="26" t="s">
        <v>442</v>
      </c>
      <c r="D168" s="224"/>
      <c r="E168" s="52"/>
      <c r="F168" s="33">
        <f>(F126+F133)*0.0765</f>
        <v>474.3</v>
      </c>
      <c r="G168" s="33">
        <f>H168-F168</f>
        <v>14.228999999999985</v>
      </c>
      <c r="H168" s="33">
        <f>F168*(1+$O$86)</f>
        <v>488.529</v>
      </c>
      <c r="I168" s="169">
        <f>I161</f>
        <v>0</v>
      </c>
      <c r="J168" s="274">
        <f>H168*(1-I168)</f>
        <v>488.529</v>
      </c>
      <c r="K168" s="169">
        <f>K161</f>
        <v>0.32</v>
      </c>
      <c r="L168" s="128">
        <f>J168*K168</f>
        <v>156.32928000000001</v>
      </c>
    </row>
    <row r="169" spans="2:12" x14ac:dyDescent="0.35">
      <c r="C169" s="26" t="s">
        <v>442</v>
      </c>
      <c r="D169" s="224"/>
      <c r="E169" s="52"/>
      <c r="F169" s="33">
        <f>(F127+F134)*0.0765</f>
        <v>459</v>
      </c>
      <c r="G169" s="33">
        <f>H169-F169</f>
        <v>13.770000000000039</v>
      </c>
      <c r="H169" s="33">
        <f>F169*(1+$O$86)</f>
        <v>472.77000000000004</v>
      </c>
      <c r="I169" s="169">
        <f>I162</f>
        <v>0</v>
      </c>
      <c r="J169" s="274">
        <f>H169*(1-I169)</f>
        <v>472.77000000000004</v>
      </c>
      <c r="K169" s="169">
        <f>K162</f>
        <v>0.32</v>
      </c>
      <c r="L169" s="128">
        <f>J169*K169</f>
        <v>151.28640000000001</v>
      </c>
    </row>
    <row r="170" spans="2:12" x14ac:dyDescent="0.35">
      <c r="C170" s="26" t="s">
        <v>442</v>
      </c>
      <c r="D170" s="224"/>
      <c r="E170" s="52"/>
      <c r="F170" s="33">
        <f>(F128+F135)*0.0765</f>
        <v>459</v>
      </c>
      <c r="G170" s="33">
        <f>H170-F170</f>
        <v>13.770000000000039</v>
      </c>
      <c r="H170" s="33">
        <f>F170*(1+$O$86)</f>
        <v>472.77000000000004</v>
      </c>
      <c r="I170" s="169">
        <f>I163</f>
        <v>0</v>
      </c>
      <c r="J170" s="274">
        <f>H170*(1-I170)</f>
        <v>472.77000000000004</v>
      </c>
      <c r="K170" s="169">
        <f>K163</f>
        <v>0.32</v>
      </c>
      <c r="L170" s="128">
        <f>J170*K170</f>
        <v>151.28640000000001</v>
      </c>
    </row>
    <row r="171" spans="2:12" x14ac:dyDescent="0.35">
      <c r="C171" s="26" t="s">
        <v>442</v>
      </c>
      <c r="D171" s="224"/>
      <c r="E171" s="52"/>
      <c r="F171" s="33">
        <f>(F129+F136)*0.0765</f>
        <v>459</v>
      </c>
      <c r="G171" s="33">
        <f>H171-F171</f>
        <v>13.770000000000039</v>
      </c>
      <c r="H171" s="33">
        <f>F171*(1+$O$86)</f>
        <v>472.77000000000004</v>
      </c>
      <c r="I171" s="169">
        <f>I164</f>
        <v>0</v>
      </c>
      <c r="J171" s="274">
        <f>H171*(1-I171)</f>
        <v>472.77000000000004</v>
      </c>
      <c r="K171" s="169">
        <f>K164</f>
        <v>0.32</v>
      </c>
      <c r="L171" s="128">
        <f>J171*K171</f>
        <v>151.28640000000001</v>
      </c>
    </row>
    <row r="172" spans="2:12" x14ac:dyDescent="0.35">
      <c r="D172" s="224"/>
      <c r="E172" s="52"/>
      <c r="F172" s="33"/>
      <c r="G172" s="33"/>
      <c r="H172" s="33"/>
      <c r="I172" s="33"/>
      <c r="J172" s="33"/>
    </row>
    <row r="173" spans="2:12" x14ac:dyDescent="0.35">
      <c r="B173" s="26" t="s">
        <v>459</v>
      </c>
      <c r="D173" s="224"/>
      <c r="E173" s="52"/>
      <c r="F173" s="33"/>
      <c r="G173" s="33"/>
      <c r="H173" s="33"/>
      <c r="I173" s="33"/>
      <c r="J173" s="33"/>
    </row>
    <row r="174" spans="2:12" x14ac:dyDescent="0.35">
      <c r="C174" s="26" t="s">
        <v>442</v>
      </c>
      <c r="D174" s="224"/>
      <c r="E174" s="52"/>
      <c r="F174" s="33">
        <f>(F125+F132)*0.1955</f>
        <v>1173</v>
      </c>
      <c r="G174" s="33">
        <f>H174-F174</f>
        <v>18.768000000000029</v>
      </c>
      <c r="H174" s="33">
        <f>F174*(1+$O$99)</f>
        <v>1191.768</v>
      </c>
      <c r="I174" s="169">
        <f>I167</f>
        <v>0</v>
      </c>
      <c r="J174" s="274">
        <f>H174*(1-I174)</f>
        <v>1191.768</v>
      </c>
      <c r="K174" s="169">
        <f>K167</f>
        <v>0.32</v>
      </c>
      <c r="L174" s="128">
        <f>J174*K174</f>
        <v>381.36576000000002</v>
      </c>
    </row>
    <row r="175" spans="2:12" x14ac:dyDescent="0.35">
      <c r="C175" s="26" t="s">
        <v>442</v>
      </c>
      <c r="D175" s="224"/>
      <c r="E175" s="52"/>
      <c r="F175" s="33">
        <f t="shared" ref="F175:F178" si="48">(F126+F133)*0.1955</f>
        <v>1212.1000000000001</v>
      </c>
      <c r="G175" s="33">
        <f>H175-F175</f>
        <v>19.393600000000106</v>
      </c>
      <c r="H175" s="33">
        <f>F175*(1+$O$99)</f>
        <v>1231.4936000000002</v>
      </c>
      <c r="I175" s="169">
        <f>I168</f>
        <v>0</v>
      </c>
      <c r="J175" s="274">
        <f>H175*(1-I175)</f>
        <v>1231.4936000000002</v>
      </c>
      <c r="K175" s="169">
        <f>K168</f>
        <v>0.32</v>
      </c>
      <c r="L175" s="128">
        <f>J175*K175</f>
        <v>394.0779520000001</v>
      </c>
    </row>
    <row r="176" spans="2:12" x14ac:dyDescent="0.35">
      <c r="C176" s="26" t="s">
        <v>442</v>
      </c>
      <c r="D176" s="224"/>
      <c r="E176" s="52"/>
      <c r="F176" s="33">
        <f t="shared" si="48"/>
        <v>1173</v>
      </c>
      <c r="G176" s="33">
        <f>H176-F176</f>
        <v>18.768000000000029</v>
      </c>
      <c r="H176" s="33">
        <f>F176*(1+$O$99)</f>
        <v>1191.768</v>
      </c>
      <c r="I176" s="169">
        <f>I169</f>
        <v>0</v>
      </c>
      <c r="J176" s="274">
        <f>H176*(1-I176)</f>
        <v>1191.768</v>
      </c>
      <c r="K176" s="169">
        <f>K169</f>
        <v>0.32</v>
      </c>
      <c r="L176" s="128">
        <f>J176*K176</f>
        <v>381.36576000000002</v>
      </c>
    </row>
    <row r="177" spans="1:12" x14ac:dyDescent="0.35">
      <c r="C177" s="26" t="s">
        <v>442</v>
      </c>
      <c r="D177" s="224"/>
      <c r="E177" s="52"/>
      <c r="F177" s="33">
        <f t="shared" si="48"/>
        <v>1173</v>
      </c>
      <c r="G177" s="33">
        <f>H177-F177</f>
        <v>18.768000000000029</v>
      </c>
      <c r="H177" s="33">
        <f>F177*(1+$O$99)</f>
        <v>1191.768</v>
      </c>
      <c r="I177" s="169">
        <f>I170</f>
        <v>0</v>
      </c>
      <c r="J177" s="274">
        <f>H177*(1-I177)</f>
        <v>1191.768</v>
      </c>
      <c r="K177" s="169">
        <f>K170</f>
        <v>0.32</v>
      </c>
      <c r="L177" s="128">
        <f>J177*K177</f>
        <v>381.36576000000002</v>
      </c>
    </row>
    <row r="178" spans="1:12" x14ac:dyDescent="0.35">
      <c r="C178" s="26" t="s">
        <v>442</v>
      </c>
      <c r="D178" s="224"/>
      <c r="E178" s="52"/>
      <c r="F178" s="33">
        <f t="shared" si="48"/>
        <v>1173</v>
      </c>
      <c r="G178" s="33">
        <f>H178-F178</f>
        <v>18.768000000000029</v>
      </c>
      <c r="H178" s="33">
        <f>F178*(1+$O$99)</f>
        <v>1191.768</v>
      </c>
      <c r="I178" s="169">
        <f>I171</f>
        <v>0</v>
      </c>
      <c r="J178" s="274">
        <f>H178*(1-I178)</f>
        <v>1191.768</v>
      </c>
      <c r="K178" s="169">
        <f>K171</f>
        <v>0.32</v>
      </c>
      <c r="L178" s="128">
        <f>J178*K178</f>
        <v>381.36576000000002</v>
      </c>
    </row>
    <row r="179" spans="1:12" x14ac:dyDescent="0.35">
      <c r="D179" s="224"/>
      <c r="E179" s="52"/>
      <c r="F179" s="33"/>
      <c r="G179" s="33"/>
      <c r="H179" s="33"/>
      <c r="I179" s="33"/>
      <c r="J179" s="33"/>
    </row>
    <row r="180" spans="1:12" s="25" customFormat="1" ht="15" x14ac:dyDescent="0.3">
      <c r="A180" s="25" t="s">
        <v>463</v>
      </c>
      <c r="D180" s="280"/>
      <c r="E180" s="27"/>
      <c r="F180" s="36">
        <f>SUM(F125:F179)</f>
        <v>66636.399999999994</v>
      </c>
      <c r="G180" s="36">
        <f t="shared" ref="G180:L180" si="49">SUM(G125:G179)</f>
        <v>163.77460000000036</v>
      </c>
      <c r="H180" s="36">
        <f t="shared" si="49"/>
        <v>66800.174599999984</v>
      </c>
      <c r="I180" s="36"/>
      <c r="J180" s="36">
        <f t="shared" si="49"/>
        <v>66800.174599999984</v>
      </c>
      <c r="L180" s="36">
        <f t="shared" si="49"/>
        <v>21376.055872000015</v>
      </c>
    </row>
    <row r="181" spans="1:12" x14ac:dyDescent="0.35">
      <c r="D181" s="224"/>
      <c r="E181" s="52"/>
      <c r="F181" s="33"/>
      <c r="G181" s="174">
        <f>G180*L181</f>
        <v>52.407872000000161</v>
      </c>
      <c r="H181" s="33"/>
      <c r="I181" s="33"/>
      <c r="J181" s="33"/>
      <c r="L181" s="168">
        <f>L180/J180</f>
        <v>0.32000000000000028</v>
      </c>
    </row>
    <row r="182" spans="1:12" x14ac:dyDescent="0.35">
      <c r="D182" s="224"/>
      <c r="E182" s="52"/>
      <c r="F182" s="33"/>
      <c r="G182" s="284" t="s">
        <v>476</v>
      </c>
      <c r="H182" s="33"/>
      <c r="I182" s="33"/>
      <c r="J182" s="33"/>
    </row>
    <row r="183" spans="1:12" x14ac:dyDescent="0.35">
      <c r="D183" s="224"/>
      <c r="E183" s="52"/>
      <c r="F183" s="33"/>
      <c r="G183" s="284"/>
      <c r="H183" s="33"/>
      <c r="I183" s="33"/>
      <c r="J183" s="33"/>
    </row>
    <row r="184" spans="1:12" s="122" customFormat="1" ht="6" customHeight="1" x14ac:dyDescent="0.35">
      <c r="D184" s="281"/>
      <c r="E184" s="151"/>
      <c r="F184" s="277"/>
      <c r="G184" s="277"/>
      <c r="H184" s="277"/>
      <c r="I184" s="277"/>
      <c r="J184" s="277"/>
    </row>
    <row r="185" spans="1:12" x14ac:dyDescent="0.35">
      <c r="A185" s="25" t="s">
        <v>4</v>
      </c>
      <c r="B185" s="25"/>
    </row>
    <row r="186" spans="1:12" x14ac:dyDescent="0.35">
      <c r="A186" s="25" t="s">
        <v>109</v>
      </c>
      <c r="B186" s="25"/>
    </row>
    <row r="187" spans="1:12" x14ac:dyDescent="0.35">
      <c r="A187" s="25" t="s">
        <v>464</v>
      </c>
      <c r="B187" s="25"/>
      <c r="H187" s="50"/>
      <c r="I187" s="50"/>
      <c r="J187" s="50"/>
      <c r="L187" s="50" t="s">
        <v>1659</v>
      </c>
    </row>
    <row r="189" spans="1:12" x14ac:dyDescent="0.35">
      <c r="F189" s="46">
        <v>2012</v>
      </c>
      <c r="G189" s="27"/>
      <c r="H189" s="27"/>
      <c r="I189" s="27"/>
      <c r="J189" s="27"/>
      <c r="K189" s="269" t="s">
        <v>453</v>
      </c>
      <c r="L189" s="270"/>
    </row>
    <row r="190" spans="1:12" ht="31" x14ac:dyDescent="0.35">
      <c r="B190" s="273"/>
      <c r="C190" s="268"/>
      <c r="D190" s="267" t="s">
        <v>440</v>
      </c>
      <c r="E190" s="266" t="s">
        <v>441</v>
      </c>
      <c r="F190" s="245" t="s">
        <v>112</v>
      </c>
      <c r="G190" s="245" t="s">
        <v>36</v>
      </c>
      <c r="H190" s="271" t="s">
        <v>37</v>
      </c>
      <c r="I190" s="271" t="s">
        <v>460</v>
      </c>
      <c r="J190" s="271" t="s">
        <v>461</v>
      </c>
      <c r="K190" s="272" t="s">
        <v>454</v>
      </c>
      <c r="L190" s="272" t="s">
        <v>455</v>
      </c>
    </row>
    <row r="191" spans="1:12" x14ac:dyDescent="0.35">
      <c r="B191" s="26" t="s">
        <v>340</v>
      </c>
      <c r="D191" s="224"/>
      <c r="E191" s="52"/>
      <c r="F191" s="33"/>
      <c r="G191" s="33"/>
      <c r="H191" s="33"/>
      <c r="I191" s="33"/>
      <c r="J191" s="33"/>
    </row>
    <row r="192" spans="1:12" x14ac:dyDescent="0.35">
      <c r="C192" s="26" t="s">
        <v>443</v>
      </c>
      <c r="D192" s="117">
        <v>16.420000000000002</v>
      </c>
      <c r="E192" s="52">
        <v>40</v>
      </c>
      <c r="F192" s="33">
        <f t="shared" ref="F192:F198" si="50">D192*E192*52</f>
        <v>34153.600000000006</v>
      </c>
      <c r="G192" s="265">
        <f>F192*$O$3</f>
        <v>1024.6080000000002</v>
      </c>
      <c r="H192" s="33">
        <f t="shared" ref="H192:H198" si="51">F192+G192</f>
        <v>35178.208000000006</v>
      </c>
      <c r="I192" s="258">
        <v>0</v>
      </c>
      <c r="J192" s="274">
        <f t="shared" ref="J192:J198" si="52">H192*(1-I192)</f>
        <v>35178.208000000006</v>
      </c>
      <c r="K192" s="258">
        <v>0.47</v>
      </c>
      <c r="L192" s="128">
        <f t="shared" ref="L192:L198" si="53">J192*K192</f>
        <v>16533.75776</v>
      </c>
    </row>
    <row r="193" spans="2:12" x14ac:dyDescent="0.35">
      <c r="C193" s="26" t="s">
        <v>444</v>
      </c>
      <c r="D193" s="117">
        <v>29.52</v>
      </c>
      <c r="E193" s="52">
        <v>40</v>
      </c>
      <c r="F193" s="33">
        <f t="shared" si="50"/>
        <v>61401.599999999999</v>
      </c>
      <c r="G193" s="265">
        <f t="shared" ref="G193:G198" si="54">F193*$O$3</f>
        <v>1842.0479999999998</v>
      </c>
      <c r="H193" s="33">
        <f t="shared" si="51"/>
        <v>63243.648000000001</v>
      </c>
      <c r="I193" s="258">
        <v>0</v>
      </c>
      <c r="J193" s="274">
        <f t="shared" si="52"/>
        <v>63243.648000000001</v>
      </c>
      <c r="K193" s="258">
        <v>0.47</v>
      </c>
      <c r="L193" s="128">
        <f t="shared" si="53"/>
        <v>29724.51456</v>
      </c>
    </row>
    <row r="194" spans="2:12" x14ac:dyDescent="0.35">
      <c r="C194" s="26" t="s">
        <v>1112</v>
      </c>
      <c r="D194" s="117">
        <v>11.25</v>
      </c>
      <c r="E194" s="52">
        <v>40</v>
      </c>
      <c r="F194" s="33">
        <f>(D194*E194*52)*0.5</f>
        <v>11700</v>
      </c>
      <c r="G194" s="265">
        <f t="shared" si="54"/>
        <v>351</v>
      </c>
      <c r="H194" s="33">
        <f t="shared" si="51"/>
        <v>12051</v>
      </c>
      <c r="I194" s="258">
        <v>0</v>
      </c>
      <c r="J194" s="274">
        <f t="shared" si="52"/>
        <v>12051</v>
      </c>
      <c r="K194" s="258">
        <v>0.46</v>
      </c>
      <c r="L194" s="128">
        <f t="shared" si="53"/>
        <v>5543.46</v>
      </c>
    </row>
    <row r="195" spans="2:12" x14ac:dyDescent="0.35">
      <c r="C195" s="26" t="s">
        <v>443</v>
      </c>
      <c r="D195" s="117">
        <v>13.89</v>
      </c>
      <c r="E195" s="52">
        <v>40</v>
      </c>
      <c r="F195" s="33">
        <f t="shared" si="50"/>
        <v>28891.200000000001</v>
      </c>
      <c r="G195" s="265">
        <f t="shared" si="54"/>
        <v>866.73599999999999</v>
      </c>
      <c r="H195" s="33">
        <f t="shared" si="51"/>
        <v>29757.936000000002</v>
      </c>
      <c r="I195" s="258">
        <v>0</v>
      </c>
      <c r="J195" s="274">
        <f t="shared" si="52"/>
        <v>29757.936000000002</v>
      </c>
      <c r="K195" s="258">
        <v>0.47</v>
      </c>
      <c r="L195" s="128">
        <f t="shared" si="53"/>
        <v>13986.22992</v>
      </c>
    </row>
    <row r="196" spans="2:12" x14ac:dyDescent="0.35">
      <c r="C196" s="26" t="s">
        <v>443</v>
      </c>
      <c r="D196" s="117">
        <v>17.04</v>
      </c>
      <c r="E196" s="52">
        <v>40</v>
      </c>
      <c r="F196" s="33">
        <f t="shared" si="50"/>
        <v>35443.199999999997</v>
      </c>
      <c r="G196" s="265">
        <f t="shared" si="54"/>
        <v>1063.2959999999998</v>
      </c>
      <c r="H196" s="33">
        <f t="shared" si="51"/>
        <v>36506.495999999999</v>
      </c>
      <c r="I196" s="258">
        <v>0</v>
      </c>
      <c r="J196" s="274">
        <f t="shared" si="52"/>
        <v>36506.495999999999</v>
      </c>
      <c r="K196" s="258">
        <v>0.47</v>
      </c>
      <c r="L196" s="128">
        <f t="shared" si="53"/>
        <v>17158.053119999997</v>
      </c>
    </row>
    <row r="197" spans="2:12" x14ac:dyDescent="0.35">
      <c r="C197" s="26" t="s">
        <v>443</v>
      </c>
      <c r="D197" s="117">
        <v>14.67</v>
      </c>
      <c r="E197" s="52">
        <v>40</v>
      </c>
      <c r="F197" s="33">
        <f t="shared" si="50"/>
        <v>30513.599999999999</v>
      </c>
      <c r="G197" s="265">
        <f t="shared" si="54"/>
        <v>915.4079999999999</v>
      </c>
      <c r="H197" s="33">
        <f t="shared" si="51"/>
        <v>31429.007999999998</v>
      </c>
      <c r="I197" s="258">
        <v>0</v>
      </c>
      <c r="J197" s="274">
        <f t="shared" si="52"/>
        <v>31429.007999999998</v>
      </c>
      <c r="K197" s="258">
        <v>0.47</v>
      </c>
      <c r="L197" s="128">
        <f t="shared" si="53"/>
        <v>14771.633759999999</v>
      </c>
    </row>
    <row r="198" spans="2:12" x14ac:dyDescent="0.35">
      <c r="C198" s="26" t="s">
        <v>445</v>
      </c>
      <c r="D198" s="117">
        <v>19.36</v>
      </c>
      <c r="E198" s="52">
        <v>40</v>
      </c>
      <c r="F198" s="33">
        <f t="shared" si="50"/>
        <v>40268.799999999996</v>
      </c>
      <c r="G198" s="265">
        <f t="shared" si="54"/>
        <v>1208.0639999999999</v>
      </c>
      <c r="H198" s="33">
        <f t="shared" si="51"/>
        <v>41476.863999999994</v>
      </c>
      <c r="I198" s="258">
        <v>0</v>
      </c>
      <c r="J198" s="274">
        <f t="shared" si="52"/>
        <v>41476.863999999994</v>
      </c>
      <c r="K198" s="258">
        <v>0.46</v>
      </c>
      <c r="L198" s="128">
        <f t="shared" si="53"/>
        <v>19079.35744</v>
      </c>
    </row>
    <row r="199" spans="2:12" x14ac:dyDescent="0.35">
      <c r="D199" s="224"/>
      <c r="E199" s="52"/>
      <c r="F199" s="33"/>
      <c r="G199" s="33"/>
      <c r="H199" s="33"/>
      <c r="I199" s="33"/>
      <c r="J199" s="33"/>
    </row>
    <row r="200" spans="2:12" x14ac:dyDescent="0.35">
      <c r="B200" s="26" t="s">
        <v>472</v>
      </c>
      <c r="D200" s="224"/>
      <c r="E200" s="52"/>
      <c r="F200" s="33"/>
      <c r="G200" s="33"/>
      <c r="H200" s="33"/>
      <c r="I200" s="33"/>
      <c r="J200" s="33"/>
    </row>
    <row r="201" spans="2:12" x14ac:dyDescent="0.35">
      <c r="C201" s="26" t="s">
        <v>443</v>
      </c>
      <c r="D201" s="224"/>
      <c r="E201" s="52"/>
      <c r="F201" s="33">
        <v>171</v>
      </c>
      <c r="G201" s="33">
        <f t="shared" ref="G201:G207" si="55">F201*$O$3</f>
        <v>5.13</v>
      </c>
      <c r="H201" s="33">
        <f t="shared" ref="H201:H207" si="56">F201+G201</f>
        <v>176.13</v>
      </c>
      <c r="I201" s="169">
        <f t="shared" ref="I201:I207" si="57">I192</f>
        <v>0</v>
      </c>
      <c r="J201" s="274">
        <f t="shared" ref="J201:J207" si="58">H201*(1-I201)</f>
        <v>176.13</v>
      </c>
      <c r="K201" s="169">
        <f t="shared" ref="K201:K207" si="59">K192</f>
        <v>0.47</v>
      </c>
      <c r="L201" s="128">
        <f t="shared" ref="L201:L207" si="60">J201*K201</f>
        <v>82.781099999999995</v>
      </c>
    </row>
    <row r="202" spans="2:12" x14ac:dyDescent="0.35">
      <c r="C202" s="26" t="s">
        <v>444</v>
      </c>
      <c r="D202" s="224"/>
      <c r="E202" s="52"/>
      <c r="F202" s="33">
        <v>0</v>
      </c>
      <c r="G202" s="33">
        <f t="shared" si="55"/>
        <v>0</v>
      </c>
      <c r="H202" s="33">
        <f t="shared" si="56"/>
        <v>0</v>
      </c>
      <c r="I202" s="169">
        <f t="shared" si="57"/>
        <v>0</v>
      </c>
      <c r="J202" s="274">
        <f>H202*(1-I202)</f>
        <v>0</v>
      </c>
      <c r="K202" s="169">
        <f t="shared" si="59"/>
        <v>0.47</v>
      </c>
      <c r="L202" s="128">
        <f>J202*K202</f>
        <v>0</v>
      </c>
    </row>
    <row r="203" spans="2:12" x14ac:dyDescent="0.35">
      <c r="C203" s="26" t="s">
        <v>1112</v>
      </c>
      <c r="D203" s="224"/>
      <c r="E203" s="52"/>
      <c r="F203" s="33">
        <v>0</v>
      </c>
      <c r="G203" s="33">
        <f t="shared" si="55"/>
        <v>0</v>
      </c>
      <c r="H203" s="33">
        <f t="shared" si="56"/>
        <v>0</v>
      </c>
      <c r="I203" s="169">
        <f t="shared" si="57"/>
        <v>0</v>
      </c>
      <c r="J203" s="274">
        <f t="shared" si="58"/>
        <v>0</v>
      </c>
      <c r="K203" s="169">
        <f t="shared" si="59"/>
        <v>0.46</v>
      </c>
      <c r="L203" s="128">
        <f t="shared" si="60"/>
        <v>0</v>
      </c>
    </row>
    <row r="204" spans="2:12" x14ac:dyDescent="0.35">
      <c r="C204" s="26" t="s">
        <v>443</v>
      </c>
      <c r="D204" s="224"/>
      <c r="E204" s="52"/>
      <c r="F204" s="33">
        <v>144</v>
      </c>
      <c r="G204" s="33">
        <f t="shared" si="55"/>
        <v>4.32</v>
      </c>
      <c r="H204" s="33">
        <f t="shared" si="56"/>
        <v>148.32</v>
      </c>
      <c r="I204" s="169">
        <f t="shared" si="57"/>
        <v>0</v>
      </c>
      <c r="J204" s="274">
        <f t="shared" si="58"/>
        <v>148.32</v>
      </c>
      <c r="K204" s="169">
        <f t="shared" si="59"/>
        <v>0.47</v>
      </c>
      <c r="L204" s="128">
        <f t="shared" si="60"/>
        <v>69.710399999999993</v>
      </c>
    </row>
    <row r="205" spans="2:12" x14ac:dyDescent="0.35">
      <c r="C205" s="26" t="s">
        <v>443</v>
      </c>
      <c r="D205" s="224"/>
      <c r="E205" s="52"/>
      <c r="F205" s="33">
        <v>177</v>
      </c>
      <c r="G205" s="33">
        <f t="shared" si="55"/>
        <v>5.31</v>
      </c>
      <c r="H205" s="33">
        <f t="shared" si="56"/>
        <v>182.31</v>
      </c>
      <c r="I205" s="169">
        <f t="shared" si="57"/>
        <v>0</v>
      </c>
      <c r="J205" s="274">
        <f t="shared" si="58"/>
        <v>182.31</v>
      </c>
      <c r="K205" s="169">
        <f t="shared" si="59"/>
        <v>0.47</v>
      </c>
      <c r="L205" s="128">
        <f t="shared" si="60"/>
        <v>85.685699999999997</v>
      </c>
    </row>
    <row r="206" spans="2:12" x14ac:dyDescent="0.35">
      <c r="C206" s="26" t="s">
        <v>443</v>
      </c>
      <c r="D206" s="224"/>
      <c r="E206" s="52"/>
      <c r="F206" s="33">
        <v>153</v>
      </c>
      <c r="G206" s="33">
        <f t="shared" si="55"/>
        <v>4.59</v>
      </c>
      <c r="H206" s="33">
        <f t="shared" si="56"/>
        <v>157.59</v>
      </c>
      <c r="I206" s="169">
        <f t="shared" si="57"/>
        <v>0</v>
      </c>
      <c r="J206" s="274">
        <f t="shared" si="58"/>
        <v>157.59</v>
      </c>
      <c r="K206" s="169">
        <f t="shared" si="59"/>
        <v>0.47</v>
      </c>
      <c r="L206" s="128">
        <f t="shared" si="60"/>
        <v>74.067300000000003</v>
      </c>
    </row>
    <row r="207" spans="2:12" x14ac:dyDescent="0.35">
      <c r="C207" s="26" t="s">
        <v>445</v>
      </c>
      <c r="D207" s="224"/>
      <c r="E207" s="52"/>
      <c r="F207" s="33">
        <v>201</v>
      </c>
      <c r="G207" s="33">
        <f t="shared" si="55"/>
        <v>6.0299999999999994</v>
      </c>
      <c r="H207" s="33">
        <f t="shared" si="56"/>
        <v>207.03</v>
      </c>
      <c r="I207" s="169">
        <f t="shared" si="57"/>
        <v>0</v>
      </c>
      <c r="J207" s="274">
        <f t="shared" si="58"/>
        <v>207.03</v>
      </c>
      <c r="K207" s="169">
        <f t="shared" si="59"/>
        <v>0.46</v>
      </c>
      <c r="L207" s="128">
        <f t="shared" si="60"/>
        <v>95.233800000000002</v>
      </c>
    </row>
    <row r="208" spans="2:12" x14ac:dyDescent="0.35">
      <c r="D208" s="224"/>
      <c r="E208" s="52"/>
      <c r="F208" s="33"/>
      <c r="G208" s="33"/>
      <c r="H208" s="33"/>
      <c r="I208" s="33"/>
      <c r="J208" s="33"/>
    </row>
    <row r="209" spans="2:12" x14ac:dyDescent="0.35">
      <c r="B209" s="26" t="s">
        <v>473</v>
      </c>
      <c r="D209" s="224"/>
      <c r="E209" s="52"/>
      <c r="F209" s="33"/>
      <c r="G209" s="33"/>
      <c r="H209" s="33"/>
      <c r="I209" s="33"/>
      <c r="J209" s="33"/>
    </row>
    <row r="210" spans="2:12" x14ac:dyDescent="0.35">
      <c r="C210" s="26" t="s">
        <v>443</v>
      </c>
      <c r="D210" s="224"/>
      <c r="E210" s="52"/>
      <c r="F210" s="33">
        <v>4488</v>
      </c>
      <c r="G210" s="33">
        <f t="shared" ref="G210:G216" si="61">H210-F210</f>
        <v>0</v>
      </c>
      <c r="H210" s="33">
        <f t="shared" ref="H210:H216" si="62">F210*(1+$O$33)</f>
        <v>4488</v>
      </c>
      <c r="I210" s="169">
        <f t="shared" ref="I210:I216" si="63">I201</f>
        <v>0</v>
      </c>
      <c r="J210" s="274">
        <f t="shared" ref="J210:J216" si="64">H210*(1-I210)</f>
        <v>4488</v>
      </c>
      <c r="K210" s="169">
        <f t="shared" ref="K210:K216" si="65">K201</f>
        <v>0.47</v>
      </c>
      <c r="L210" s="128">
        <f t="shared" ref="L210:L216" si="66">J210*K210</f>
        <v>2109.3599999999997</v>
      </c>
    </row>
    <row r="211" spans="2:12" x14ac:dyDescent="0.35">
      <c r="C211" s="26" t="s">
        <v>444</v>
      </c>
      <c r="D211" s="224"/>
      <c r="E211" s="52"/>
      <c r="F211" s="33">
        <v>6535</v>
      </c>
      <c r="G211" s="33">
        <f t="shared" si="61"/>
        <v>0</v>
      </c>
      <c r="H211" s="33">
        <f t="shared" si="62"/>
        <v>6535</v>
      </c>
      <c r="I211" s="169">
        <f t="shared" si="63"/>
        <v>0</v>
      </c>
      <c r="J211" s="274">
        <f t="shared" si="64"/>
        <v>6535</v>
      </c>
      <c r="K211" s="169">
        <f t="shared" si="65"/>
        <v>0.47</v>
      </c>
      <c r="L211" s="128">
        <f>J211*K211</f>
        <v>3071.45</v>
      </c>
    </row>
    <row r="212" spans="2:12" x14ac:dyDescent="0.35">
      <c r="C212" s="26" t="s">
        <v>1112</v>
      </c>
      <c r="D212" s="224"/>
      <c r="E212" s="52"/>
      <c r="F212" s="33">
        <v>0</v>
      </c>
      <c r="G212" s="33">
        <f t="shared" si="61"/>
        <v>0</v>
      </c>
      <c r="H212" s="33">
        <f t="shared" si="62"/>
        <v>0</v>
      </c>
      <c r="I212" s="169">
        <f t="shared" si="63"/>
        <v>0</v>
      </c>
      <c r="J212" s="274">
        <f t="shared" si="64"/>
        <v>0</v>
      </c>
      <c r="K212" s="169">
        <f t="shared" si="65"/>
        <v>0.46</v>
      </c>
      <c r="L212" s="128">
        <f t="shared" si="66"/>
        <v>0</v>
      </c>
    </row>
    <row r="213" spans="2:12" x14ac:dyDescent="0.35">
      <c r="C213" s="26" t="s">
        <v>443</v>
      </c>
      <c r="D213" s="224"/>
      <c r="E213" s="52"/>
      <c r="F213" s="33">
        <v>6535</v>
      </c>
      <c r="G213" s="33">
        <f t="shared" si="61"/>
        <v>0</v>
      </c>
      <c r="H213" s="33">
        <f t="shared" si="62"/>
        <v>6535</v>
      </c>
      <c r="I213" s="169">
        <f t="shared" si="63"/>
        <v>0</v>
      </c>
      <c r="J213" s="274">
        <f t="shared" si="64"/>
        <v>6535</v>
      </c>
      <c r="K213" s="169">
        <f t="shared" si="65"/>
        <v>0.47</v>
      </c>
      <c r="L213" s="128">
        <f t="shared" si="66"/>
        <v>3071.45</v>
      </c>
    </row>
    <row r="214" spans="2:12" x14ac:dyDescent="0.35">
      <c r="C214" s="26" t="s">
        <v>443</v>
      </c>
      <c r="D214" s="224"/>
      <c r="E214" s="52"/>
      <c r="F214" s="33">
        <v>4488</v>
      </c>
      <c r="G214" s="33">
        <f t="shared" si="61"/>
        <v>0</v>
      </c>
      <c r="H214" s="33">
        <f t="shared" si="62"/>
        <v>4488</v>
      </c>
      <c r="I214" s="169">
        <f t="shared" si="63"/>
        <v>0</v>
      </c>
      <c r="J214" s="274">
        <f t="shared" si="64"/>
        <v>4488</v>
      </c>
      <c r="K214" s="169">
        <f t="shared" si="65"/>
        <v>0.47</v>
      </c>
      <c r="L214" s="128">
        <f t="shared" si="66"/>
        <v>2109.3599999999997</v>
      </c>
    </row>
    <row r="215" spans="2:12" x14ac:dyDescent="0.35">
      <c r="C215" s="26" t="s">
        <v>443</v>
      </c>
      <c r="D215" s="224"/>
      <c r="E215" s="52"/>
      <c r="F215" s="33">
        <v>6535</v>
      </c>
      <c r="G215" s="33">
        <f t="shared" si="61"/>
        <v>0</v>
      </c>
      <c r="H215" s="33">
        <f t="shared" si="62"/>
        <v>6535</v>
      </c>
      <c r="I215" s="169">
        <f t="shared" si="63"/>
        <v>0</v>
      </c>
      <c r="J215" s="274">
        <f t="shared" si="64"/>
        <v>6535</v>
      </c>
      <c r="K215" s="169">
        <f t="shared" si="65"/>
        <v>0.47</v>
      </c>
      <c r="L215" s="128">
        <f t="shared" si="66"/>
        <v>3071.45</v>
      </c>
    </row>
    <row r="216" spans="2:12" x14ac:dyDescent="0.35">
      <c r="C216" s="26" t="s">
        <v>445</v>
      </c>
      <c r="D216" s="224"/>
      <c r="E216" s="52"/>
      <c r="F216" s="33">
        <v>6535</v>
      </c>
      <c r="G216" s="33">
        <f t="shared" si="61"/>
        <v>0</v>
      </c>
      <c r="H216" s="33">
        <f t="shared" si="62"/>
        <v>6535</v>
      </c>
      <c r="I216" s="169">
        <f t="shared" si="63"/>
        <v>0</v>
      </c>
      <c r="J216" s="274">
        <f t="shared" si="64"/>
        <v>6535</v>
      </c>
      <c r="K216" s="169">
        <f t="shared" si="65"/>
        <v>0.46</v>
      </c>
      <c r="L216" s="128">
        <f t="shared" si="66"/>
        <v>3006.1</v>
      </c>
    </row>
    <row r="217" spans="2:12" x14ac:dyDescent="0.35">
      <c r="D217" s="224"/>
      <c r="E217" s="52"/>
      <c r="F217" s="33"/>
      <c r="G217" s="33"/>
      <c r="H217" s="33"/>
      <c r="I217" s="33"/>
      <c r="J217" s="33"/>
    </row>
    <row r="218" spans="2:12" x14ac:dyDescent="0.35">
      <c r="B218" s="26" t="s">
        <v>474</v>
      </c>
      <c r="D218" s="224"/>
      <c r="E218" s="52"/>
      <c r="F218" s="33"/>
      <c r="G218" s="33"/>
      <c r="H218" s="33"/>
      <c r="I218" s="33"/>
      <c r="J218" s="33"/>
    </row>
    <row r="219" spans="2:12" x14ac:dyDescent="0.35">
      <c r="C219" s="26" t="s">
        <v>443</v>
      </c>
      <c r="D219" s="224"/>
      <c r="E219" s="52"/>
      <c r="F219" s="33">
        <v>55</v>
      </c>
      <c r="G219" s="45">
        <v>0</v>
      </c>
      <c r="H219" s="33">
        <f t="shared" ref="H219:H225" si="67">F219+G219</f>
        <v>55</v>
      </c>
      <c r="I219" s="169">
        <f t="shared" ref="I219:I225" si="68">I210</f>
        <v>0</v>
      </c>
      <c r="J219" s="274">
        <f t="shared" ref="J219:J225" si="69">H219*(1-I219)</f>
        <v>55</v>
      </c>
      <c r="K219" s="169">
        <f t="shared" ref="K219:K225" si="70">K210</f>
        <v>0.47</v>
      </c>
      <c r="L219" s="128">
        <f t="shared" ref="L219:L225" si="71">J219*K219</f>
        <v>25.849999999999998</v>
      </c>
    </row>
    <row r="220" spans="2:12" x14ac:dyDescent="0.35">
      <c r="C220" s="26" t="s">
        <v>444</v>
      </c>
      <c r="D220" s="224"/>
      <c r="E220" s="52"/>
      <c r="F220" s="33">
        <v>104</v>
      </c>
      <c r="G220" s="45">
        <v>0</v>
      </c>
      <c r="H220" s="33">
        <f t="shared" si="67"/>
        <v>104</v>
      </c>
      <c r="I220" s="169">
        <f t="shared" si="68"/>
        <v>0</v>
      </c>
      <c r="J220" s="274">
        <f t="shared" si="69"/>
        <v>104</v>
      </c>
      <c r="K220" s="169">
        <f t="shared" si="70"/>
        <v>0.47</v>
      </c>
      <c r="L220" s="128">
        <f t="shared" si="71"/>
        <v>48.879999999999995</v>
      </c>
    </row>
    <row r="221" spans="2:12" x14ac:dyDescent="0.35">
      <c r="C221" s="26" t="s">
        <v>1112</v>
      </c>
      <c r="D221" s="224"/>
      <c r="E221" s="52"/>
      <c r="F221" s="33">
        <v>19</v>
      </c>
      <c r="G221" s="45">
        <v>0</v>
      </c>
      <c r="H221" s="33">
        <f t="shared" si="67"/>
        <v>19</v>
      </c>
      <c r="I221" s="169">
        <f t="shared" si="68"/>
        <v>0</v>
      </c>
      <c r="J221" s="274">
        <f t="shared" si="69"/>
        <v>19</v>
      </c>
      <c r="K221" s="169">
        <f t="shared" si="70"/>
        <v>0.46</v>
      </c>
      <c r="L221" s="128">
        <f t="shared" si="71"/>
        <v>8.74</v>
      </c>
    </row>
    <row r="222" spans="2:12" x14ac:dyDescent="0.35">
      <c r="C222" s="26" t="s">
        <v>443</v>
      </c>
      <c r="D222" s="224"/>
      <c r="E222" s="52"/>
      <c r="F222" s="33">
        <v>46</v>
      </c>
      <c r="G222" s="45">
        <v>0</v>
      </c>
      <c r="H222" s="33">
        <f t="shared" si="67"/>
        <v>46</v>
      </c>
      <c r="I222" s="169">
        <f t="shared" si="68"/>
        <v>0</v>
      </c>
      <c r="J222" s="274">
        <f t="shared" si="69"/>
        <v>46</v>
      </c>
      <c r="K222" s="169">
        <f t="shared" si="70"/>
        <v>0.47</v>
      </c>
      <c r="L222" s="128">
        <f t="shared" si="71"/>
        <v>21.619999999999997</v>
      </c>
    </row>
    <row r="223" spans="2:12" x14ac:dyDescent="0.35">
      <c r="C223" s="26" t="s">
        <v>443</v>
      </c>
      <c r="D223" s="224"/>
      <c r="E223" s="52"/>
      <c r="F223" s="33">
        <v>57</v>
      </c>
      <c r="G223" s="45">
        <v>0</v>
      </c>
      <c r="H223" s="33">
        <f t="shared" si="67"/>
        <v>57</v>
      </c>
      <c r="I223" s="169">
        <f t="shared" si="68"/>
        <v>0</v>
      </c>
      <c r="J223" s="274">
        <f t="shared" si="69"/>
        <v>57</v>
      </c>
      <c r="K223" s="169">
        <f t="shared" si="70"/>
        <v>0.47</v>
      </c>
      <c r="L223" s="128">
        <f t="shared" si="71"/>
        <v>26.79</v>
      </c>
    </row>
    <row r="224" spans="2:12" x14ac:dyDescent="0.35">
      <c r="C224" s="26" t="s">
        <v>443</v>
      </c>
      <c r="D224" s="224"/>
      <c r="E224" s="52"/>
      <c r="F224" s="33">
        <v>49</v>
      </c>
      <c r="G224" s="45">
        <v>0</v>
      </c>
      <c r="H224" s="33">
        <f t="shared" si="67"/>
        <v>49</v>
      </c>
      <c r="I224" s="169">
        <f t="shared" si="68"/>
        <v>0</v>
      </c>
      <c r="J224" s="274">
        <f t="shared" si="69"/>
        <v>49</v>
      </c>
      <c r="K224" s="169">
        <f t="shared" si="70"/>
        <v>0.47</v>
      </c>
      <c r="L224" s="128">
        <f t="shared" si="71"/>
        <v>23.029999999999998</v>
      </c>
    </row>
    <row r="225" spans="2:12" x14ac:dyDescent="0.35">
      <c r="C225" s="26" t="s">
        <v>445</v>
      </c>
      <c r="D225" s="224"/>
      <c r="E225" s="52"/>
      <c r="F225" s="33">
        <v>64</v>
      </c>
      <c r="G225" s="45">
        <v>0</v>
      </c>
      <c r="H225" s="33">
        <f t="shared" si="67"/>
        <v>64</v>
      </c>
      <c r="I225" s="169">
        <f t="shared" si="68"/>
        <v>0</v>
      </c>
      <c r="J225" s="274">
        <f t="shared" si="69"/>
        <v>64</v>
      </c>
      <c r="K225" s="169">
        <f t="shared" si="70"/>
        <v>0.46</v>
      </c>
      <c r="L225" s="128">
        <f t="shared" si="71"/>
        <v>29.44</v>
      </c>
    </row>
    <row r="226" spans="2:12" x14ac:dyDescent="0.35">
      <c r="D226" s="224"/>
      <c r="E226" s="52"/>
      <c r="F226" s="33"/>
      <c r="G226" s="33"/>
      <c r="H226" s="33"/>
      <c r="I226" s="33"/>
      <c r="J226" s="33"/>
    </row>
    <row r="227" spans="2:12" x14ac:dyDescent="0.35">
      <c r="B227" s="26" t="s">
        <v>457</v>
      </c>
      <c r="D227" s="224"/>
      <c r="E227" s="52"/>
      <c r="F227" s="33"/>
      <c r="G227" s="33"/>
      <c r="H227" s="33"/>
      <c r="I227" s="33"/>
      <c r="J227" s="33"/>
    </row>
    <row r="228" spans="2:12" x14ac:dyDescent="0.35">
      <c r="C228" s="26" t="s">
        <v>443</v>
      </c>
      <c r="D228" s="224"/>
      <c r="E228" s="52"/>
      <c r="F228" s="33">
        <v>373</v>
      </c>
      <c r="G228" s="33">
        <f t="shared" ref="G228:G234" si="72">H228-F228</f>
        <v>0</v>
      </c>
      <c r="H228" s="33">
        <f t="shared" ref="H228:H234" si="73">F228*(1+$O$60)</f>
        <v>373</v>
      </c>
      <c r="I228" s="169">
        <f t="shared" ref="I228:I234" si="74">I201</f>
        <v>0</v>
      </c>
      <c r="J228" s="274">
        <f t="shared" ref="J228:J234" si="75">H228*(1-I228)</f>
        <v>373</v>
      </c>
      <c r="K228" s="169">
        <f t="shared" ref="K228:K234" si="76">K201</f>
        <v>0.47</v>
      </c>
      <c r="L228" s="128">
        <f t="shared" ref="L228:L234" si="77">J228*K228</f>
        <v>175.31</v>
      </c>
    </row>
    <row r="229" spans="2:12" x14ac:dyDescent="0.35">
      <c r="C229" s="26" t="s">
        <v>444</v>
      </c>
      <c r="D229" s="224"/>
      <c r="E229" s="52"/>
      <c r="F229" s="33">
        <v>373</v>
      </c>
      <c r="G229" s="33">
        <f t="shared" si="72"/>
        <v>0</v>
      </c>
      <c r="H229" s="33">
        <f t="shared" si="73"/>
        <v>373</v>
      </c>
      <c r="I229" s="169">
        <f t="shared" si="74"/>
        <v>0</v>
      </c>
      <c r="J229" s="274">
        <f t="shared" si="75"/>
        <v>373</v>
      </c>
      <c r="K229" s="169">
        <f t="shared" si="76"/>
        <v>0.47</v>
      </c>
      <c r="L229" s="128">
        <f t="shared" si="77"/>
        <v>175.31</v>
      </c>
    </row>
    <row r="230" spans="2:12" x14ac:dyDescent="0.35">
      <c r="C230" s="26" t="s">
        <v>1112</v>
      </c>
      <c r="D230" s="224"/>
      <c r="E230" s="52"/>
      <c r="F230" s="33">
        <v>0</v>
      </c>
      <c r="G230" s="33">
        <f t="shared" si="72"/>
        <v>0</v>
      </c>
      <c r="H230" s="33">
        <f t="shared" si="73"/>
        <v>0</v>
      </c>
      <c r="I230" s="169">
        <f t="shared" si="74"/>
        <v>0</v>
      </c>
      <c r="J230" s="274">
        <f t="shared" si="75"/>
        <v>0</v>
      </c>
      <c r="K230" s="169">
        <f t="shared" si="76"/>
        <v>0.46</v>
      </c>
      <c r="L230" s="128">
        <f t="shared" si="77"/>
        <v>0</v>
      </c>
    </row>
    <row r="231" spans="2:12" x14ac:dyDescent="0.35">
      <c r="C231" s="26" t="s">
        <v>443</v>
      </c>
      <c r="D231" s="224"/>
      <c r="E231" s="52"/>
      <c r="F231" s="33">
        <v>373</v>
      </c>
      <c r="G231" s="33">
        <f t="shared" si="72"/>
        <v>0</v>
      </c>
      <c r="H231" s="33">
        <f t="shared" si="73"/>
        <v>373</v>
      </c>
      <c r="I231" s="169">
        <f t="shared" si="74"/>
        <v>0</v>
      </c>
      <c r="J231" s="274">
        <f t="shared" si="75"/>
        <v>373</v>
      </c>
      <c r="K231" s="169">
        <f t="shared" si="76"/>
        <v>0.47</v>
      </c>
      <c r="L231" s="128">
        <f t="shared" si="77"/>
        <v>175.31</v>
      </c>
    </row>
    <row r="232" spans="2:12" x14ac:dyDescent="0.35">
      <c r="C232" s="26" t="s">
        <v>443</v>
      </c>
      <c r="D232" s="224"/>
      <c r="E232" s="52"/>
      <c r="F232" s="33">
        <v>0</v>
      </c>
      <c r="G232" s="33">
        <f t="shared" si="72"/>
        <v>0</v>
      </c>
      <c r="H232" s="33">
        <f t="shared" si="73"/>
        <v>0</v>
      </c>
      <c r="I232" s="169">
        <f t="shared" si="74"/>
        <v>0</v>
      </c>
      <c r="J232" s="274">
        <f t="shared" si="75"/>
        <v>0</v>
      </c>
      <c r="K232" s="169">
        <f t="shared" si="76"/>
        <v>0.47</v>
      </c>
      <c r="L232" s="128">
        <f t="shared" si="77"/>
        <v>0</v>
      </c>
    </row>
    <row r="233" spans="2:12" x14ac:dyDescent="0.35">
      <c r="C233" s="26" t="s">
        <v>443</v>
      </c>
      <c r="D233" s="224"/>
      <c r="E233" s="52"/>
      <c r="F233" s="33">
        <v>373</v>
      </c>
      <c r="G233" s="33">
        <f t="shared" si="72"/>
        <v>0</v>
      </c>
      <c r="H233" s="33">
        <f t="shared" si="73"/>
        <v>373</v>
      </c>
      <c r="I233" s="169">
        <f t="shared" si="74"/>
        <v>0</v>
      </c>
      <c r="J233" s="274">
        <f t="shared" si="75"/>
        <v>373</v>
      </c>
      <c r="K233" s="169">
        <f t="shared" si="76"/>
        <v>0.47</v>
      </c>
      <c r="L233" s="128">
        <f t="shared" si="77"/>
        <v>175.31</v>
      </c>
    </row>
    <row r="234" spans="2:12" x14ac:dyDescent="0.35">
      <c r="C234" s="26" t="s">
        <v>445</v>
      </c>
      <c r="D234" s="224"/>
      <c r="E234" s="52"/>
      <c r="F234" s="33">
        <v>373</v>
      </c>
      <c r="G234" s="33">
        <f t="shared" si="72"/>
        <v>0</v>
      </c>
      <c r="H234" s="33">
        <f t="shared" si="73"/>
        <v>373</v>
      </c>
      <c r="I234" s="169">
        <f t="shared" si="74"/>
        <v>0</v>
      </c>
      <c r="J234" s="274">
        <f t="shared" si="75"/>
        <v>373</v>
      </c>
      <c r="K234" s="169">
        <f t="shared" si="76"/>
        <v>0.46</v>
      </c>
      <c r="L234" s="128">
        <f t="shared" si="77"/>
        <v>171.58</v>
      </c>
    </row>
    <row r="235" spans="2:12" x14ac:dyDescent="0.35">
      <c r="D235" s="224"/>
      <c r="E235" s="52"/>
      <c r="F235" s="33"/>
      <c r="G235" s="33"/>
      <c r="H235" s="33"/>
      <c r="I235" s="33"/>
      <c r="J235" s="33"/>
    </row>
    <row r="236" spans="2:12" x14ac:dyDescent="0.35">
      <c r="B236" s="26" t="s">
        <v>458</v>
      </c>
      <c r="D236" s="224"/>
      <c r="E236" s="52"/>
      <c r="F236" s="33"/>
      <c r="G236" s="33"/>
      <c r="H236" s="33"/>
      <c r="I236" s="33"/>
      <c r="J236" s="33"/>
    </row>
    <row r="237" spans="2:12" x14ac:dyDescent="0.35">
      <c r="C237" s="26" t="s">
        <v>443</v>
      </c>
      <c r="D237" s="224"/>
      <c r="E237" s="52"/>
      <c r="F237" s="33">
        <v>429</v>
      </c>
      <c r="G237" s="45">
        <v>0</v>
      </c>
      <c r="H237" s="33">
        <f t="shared" ref="H237:H243" si="78">F237*(1+$O$60)</f>
        <v>429</v>
      </c>
      <c r="I237" s="169">
        <f t="shared" ref="I237:I243" si="79">I228</f>
        <v>0</v>
      </c>
      <c r="J237" s="274">
        <f t="shared" ref="J237:J243" si="80">H237*(1-I237)</f>
        <v>429</v>
      </c>
      <c r="K237" s="169">
        <f t="shared" ref="K237:K243" si="81">K228</f>
        <v>0.47</v>
      </c>
      <c r="L237" s="128">
        <f t="shared" ref="L237:L243" si="82">J237*K237</f>
        <v>201.63</v>
      </c>
    </row>
    <row r="238" spans="2:12" x14ac:dyDescent="0.35">
      <c r="C238" s="26" t="s">
        <v>444</v>
      </c>
      <c r="D238" s="224"/>
      <c r="E238" s="52"/>
      <c r="F238" s="33">
        <v>771</v>
      </c>
      <c r="G238" s="45">
        <v>0</v>
      </c>
      <c r="H238" s="33">
        <f t="shared" si="78"/>
        <v>771</v>
      </c>
      <c r="I238" s="169">
        <f t="shared" si="79"/>
        <v>0</v>
      </c>
      <c r="J238" s="274">
        <f t="shared" si="80"/>
        <v>771</v>
      </c>
      <c r="K238" s="169">
        <f t="shared" si="81"/>
        <v>0.47</v>
      </c>
      <c r="L238" s="128">
        <f>J238*K238</f>
        <v>362.37</v>
      </c>
    </row>
    <row r="239" spans="2:12" x14ac:dyDescent="0.35">
      <c r="C239" s="26" t="s">
        <v>1112</v>
      </c>
      <c r="D239" s="224"/>
      <c r="E239" s="52"/>
      <c r="F239" s="33">
        <v>0</v>
      </c>
      <c r="G239" s="45">
        <v>0</v>
      </c>
      <c r="H239" s="33">
        <f t="shared" si="78"/>
        <v>0</v>
      </c>
      <c r="I239" s="169">
        <f t="shared" si="79"/>
        <v>0</v>
      </c>
      <c r="J239" s="274">
        <f t="shared" si="80"/>
        <v>0</v>
      </c>
      <c r="K239" s="169">
        <f t="shared" si="81"/>
        <v>0.46</v>
      </c>
      <c r="L239" s="128">
        <f t="shared" si="82"/>
        <v>0</v>
      </c>
    </row>
    <row r="240" spans="2:12" x14ac:dyDescent="0.35">
      <c r="C240" s="26" t="s">
        <v>443</v>
      </c>
      <c r="D240" s="224"/>
      <c r="E240" s="52"/>
      <c r="F240" s="33">
        <v>363</v>
      </c>
      <c r="G240" s="45">
        <v>0</v>
      </c>
      <c r="H240" s="33">
        <f t="shared" si="78"/>
        <v>363</v>
      </c>
      <c r="I240" s="169">
        <f t="shared" si="79"/>
        <v>0</v>
      </c>
      <c r="J240" s="274">
        <f t="shared" si="80"/>
        <v>363</v>
      </c>
      <c r="K240" s="169">
        <f t="shared" si="81"/>
        <v>0.47</v>
      </c>
      <c r="L240" s="128">
        <f t="shared" si="82"/>
        <v>170.60999999999999</v>
      </c>
    </row>
    <row r="241" spans="2:12" x14ac:dyDescent="0.35">
      <c r="C241" s="26" t="s">
        <v>443</v>
      </c>
      <c r="D241" s="224"/>
      <c r="E241" s="52"/>
      <c r="F241" s="33">
        <v>446</v>
      </c>
      <c r="G241" s="45">
        <v>0</v>
      </c>
      <c r="H241" s="33">
        <f t="shared" si="78"/>
        <v>446</v>
      </c>
      <c r="I241" s="169">
        <f t="shared" si="79"/>
        <v>0</v>
      </c>
      <c r="J241" s="274">
        <f t="shared" si="80"/>
        <v>446</v>
      </c>
      <c r="K241" s="169">
        <f t="shared" si="81"/>
        <v>0.47</v>
      </c>
      <c r="L241" s="128">
        <f t="shared" si="82"/>
        <v>209.61999999999998</v>
      </c>
    </row>
    <row r="242" spans="2:12" x14ac:dyDescent="0.35">
      <c r="C242" s="26" t="s">
        <v>443</v>
      </c>
      <c r="D242" s="224"/>
      <c r="E242" s="52"/>
      <c r="F242" s="33">
        <v>383</v>
      </c>
      <c r="G242" s="45">
        <v>0</v>
      </c>
      <c r="H242" s="33">
        <f t="shared" si="78"/>
        <v>383</v>
      </c>
      <c r="I242" s="169">
        <f t="shared" si="79"/>
        <v>0</v>
      </c>
      <c r="J242" s="274">
        <f t="shared" si="80"/>
        <v>383</v>
      </c>
      <c r="K242" s="169">
        <f t="shared" si="81"/>
        <v>0.47</v>
      </c>
      <c r="L242" s="128">
        <f t="shared" si="82"/>
        <v>180.01</v>
      </c>
    </row>
    <row r="243" spans="2:12" x14ac:dyDescent="0.35">
      <c r="C243" s="26" t="s">
        <v>445</v>
      </c>
      <c r="F243" s="128">
        <v>505</v>
      </c>
      <c r="G243" s="45">
        <v>0</v>
      </c>
      <c r="H243" s="33">
        <f t="shared" si="78"/>
        <v>505</v>
      </c>
      <c r="I243" s="169">
        <f t="shared" si="79"/>
        <v>0</v>
      </c>
      <c r="J243" s="274">
        <f t="shared" si="80"/>
        <v>505</v>
      </c>
      <c r="K243" s="169">
        <f t="shared" si="81"/>
        <v>0.46</v>
      </c>
      <c r="L243" s="128">
        <f t="shared" si="82"/>
        <v>232.3</v>
      </c>
    </row>
    <row r="244" spans="2:12" x14ac:dyDescent="0.35">
      <c r="I244" s="33"/>
      <c r="J244" s="33"/>
    </row>
    <row r="245" spans="2:12" x14ac:dyDescent="0.35">
      <c r="B245" s="26" t="s">
        <v>982</v>
      </c>
      <c r="I245" s="33"/>
      <c r="J245" s="33"/>
    </row>
    <row r="246" spans="2:12" x14ac:dyDescent="0.35">
      <c r="C246" s="26" t="s">
        <v>443</v>
      </c>
      <c r="F246" s="33">
        <f t="shared" ref="F246:F252" si="83">(F192+F201)*0.0765</f>
        <v>2625.8319000000006</v>
      </c>
      <c r="G246" s="33">
        <f t="shared" ref="G246:G252" si="84">H246-F246</f>
        <v>78.774957000000086</v>
      </c>
      <c r="H246" s="33">
        <f t="shared" ref="H246:H252" si="85">F246*(1+$O$86)</f>
        <v>2704.6068570000007</v>
      </c>
      <c r="I246" s="169">
        <f t="shared" ref="I246:I252" si="86">I237</f>
        <v>0</v>
      </c>
      <c r="J246" s="274">
        <f t="shared" ref="J246:J252" si="87">H246*(1-I246)</f>
        <v>2704.6068570000007</v>
      </c>
      <c r="K246" s="169">
        <f t="shared" ref="K246:K252" si="88">K237</f>
        <v>0.47</v>
      </c>
      <c r="L246" s="128">
        <f t="shared" ref="L246:L252" si="89">J246*K246</f>
        <v>1271.1652227900001</v>
      </c>
    </row>
    <row r="247" spans="2:12" x14ac:dyDescent="0.35">
      <c r="C247" s="26" t="s">
        <v>444</v>
      </c>
      <c r="F247" s="33">
        <f t="shared" si="83"/>
        <v>4697.2223999999997</v>
      </c>
      <c r="G247" s="33">
        <f t="shared" si="84"/>
        <v>140.91667200000029</v>
      </c>
      <c r="H247" s="33">
        <f t="shared" si="85"/>
        <v>4838.1390719999999</v>
      </c>
      <c r="I247" s="169">
        <f t="shared" si="86"/>
        <v>0</v>
      </c>
      <c r="J247" s="274">
        <f t="shared" si="87"/>
        <v>4838.1390719999999</v>
      </c>
      <c r="K247" s="169">
        <f t="shared" si="88"/>
        <v>0.47</v>
      </c>
      <c r="L247" s="128">
        <f t="shared" si="89"/>
        <v>2273.92536384</v>
      </c>
    </row>
    <row r="248" spans="2:12" x14ac:dyDescent="0.35">
      <c r="C248" s="26" t="s">
        <v>1112</v>
      </c>
      <c r="F248" s="33">
        <f t="shared" si="83"/>
        <v>895.05</v>
      </c>
      <c r="G248" s="33">
        <f t="shared" si="84"/>
        <v>26.851499999999987</v>
      </c>
      <c r="H248" s="33">
        <f t="shared" si="85"/>
        <v>921.90149999999994</v>
      </c>
      <c r="I248" s="169">
        <f t="shared" si="86"/>
        <v>0</v>
      </c>
      <c r="J248" s="274">
        <f t="shared" si="87"/>
        <v>921.90149999999994</v>
      </c>
      <c r="K248" s="169">
        <f t="shared" si="88"/>
        <v>0.46</v>
      </c>
      <c r="L248" s="128">
        <f t="shared" si="89"/>
        <v>424.07468999999998</v>
      </c>
    </row>
    <row r="249" spans="2:12" x14ac:dyDescent="0.35">
      <c r="C249" s="26" t="s">
        <v>443</v>
      </c>
      <c r="F249" s="33">
        <f t="shared" si="83"/>
        <v>2221.1927999999998</v>
      </c>
      <c r="G249" s="33">
        <f t="shared" si="84"/>
        <v>66.635784000000058</v>
      </c>
      <c r="H249" s="33">
        <f t="shared" si="85"/>
        <v>2287.8285839999999</v>
      </c>
      <c r="I249" s="169">
        <f t="shared" si="86"/>
        <v>0</v>
      </c>
      <c r="J249" s="274">
        <f t="shared" si="87"/>
        <v>2287.8285839999999</v>
      </c>
      <c r="K249" s="169">
        <f t="shared" si="88"/>
        <v>0.47</v>
      </c>
      <c r="L249" s="128">
        <f t="shared" si="89"/>
        <v>1075.27943448</v>
      </c>
    </row>
    <row r="250" spans="2:12" x14ac:dyDescent="0.35">
      <c r="C250" s="26" t="s">
        <v>443</v>
      </c>
      <c r="F250" s="33">
        <f t="shared" si="83"/>
        <v>2724.9452999999999</v>
      </c>
      <c r="G250" s="33">
        <f t="shared" si="84"/>
        <v>81.748359000000164</v>
      </c>
      <c r="H250" s="33">
        <f t="shared" si="85"/>
        <v>2806.693659</v>
      </c>
      <c r="I250" s="169">
        <f t="shared" si="86"/>
        <v>0</v>
      </c>
      <c r="J250" s="274">
        <f t="shared" si="87"/>
        <v>2806.693659</v>
      </c>
      <c r="K250" s="169">
        <f t="shared" si="88"/>
        <v>0.47</v>
      </c>
      <c r="L250" s="128">
        <f t="shared" si="89"/>
        <v>1319.14601973</v>
      </c>
    </row>
    <row r="251" spans="2:12" x14ac:dyDescent="0.35">
      <c r="C251" s="26" t="s">
        <v>443</v>
      </c>
      <c r="F251" s="33">
        <f t="shared" si="83"/>
        <v>2345.9948999999997</v>
      </c>
      <c r="G251" s="33">
        <f t="shared" si="84"/>
        <v>70.379847000000154</v>
      </c>
      <c r="H251" s="33">
        <f t="shared" si="85"/>
        <v>2416.3747469999998</v>
      </c>
      <c r="I251" s="169">
        <f t="shared" si="86"/>
        <v>0</v>
      </c>
      <c r="J251" s="274">
        <f t="shared" si="87"/>
        <v>2416.3747469999998</v>
      </c>
      <c r="K251" s="169">
        <f t="shared" si="88"/>
        <v>0.47</v>
      </c>
      <c r="L251" s="128">
        <f t="shared" si="89"/>
        <v>1135.6961310899999</v>
      </c>
    </row>
    <row r="252" spans="2:12" x14ac:dyDescent="0.35">
      <c r="C252" s="26" t="s">
        <v>445</v>
      </c>
      <c r="F252" s="33">
        <f t="shared" si="83"/>
        <v>3095.9396999999994</v>
      </c>
      <c r="G252" s="33">
        <f t="shared" si="84"/>
        <v>92.878191000000243</v>
      </c>
      <c r="H252" s="33">
        <f t="shared" si="85"/>
        <v>3188.8178909999997</v>
      </c>
      <c r="I252" s="169">
        <f t="shared" si="86"/>
        <v>0</v>
      </c>
      <c r="J252" s="274">
        <f t="shared" si="87"/>
        <v>3188.8178909999997</v>
      </c>
      <c r="K252" s="169">
        <f t="shared" si="88"/>
        <v>0.46</v>
      </c>
      <c r="L252" s="128">
        <f t="shared" si="89"/>
        <v>1466.85622986</v>
      </c>
    </row>
    <row r="253" spans="2:12" x14ac:dyDescent="0.35">
      <c r="F253" s="33"/>
      <c r="I253" s="33"/>
      <c r="J253" s="33"/>
    </row>
    <row r="254" spans="2:12" x14ac:dyDescent="0.35">
      <c r="B254" s="26" t="s">
        <v>459</v>
      </c>
      <c r="F254" s="33"/>
      <c r="I254" s="33"/>
      <c r="J254" s="33"/>
    </row>
    <row r="255" spans="2:12" x14ac:dyDescent="0.35">
      <c r="C255" s="26" t="s">
        <v>443</v>
      </c>
      <c r="F255" s="33">
        <f>(F192+F201)*0.1955</f>
        <v>6710.4593000000013</v>
      </c>
      <c r="G255" s="33">
        <f t="shared" ref="G255:G261" si="90">H255-F255</f>
        <v>107.3673488000004</v>
      </c>
      <c r="H255" s="33">
        <f t="shared" ref="H255:H261" si="91">F255*(1+$O$99)</f>
        <v>6817.8266488000017</v>
      </c>
      <c r="I255" s="169">
        <f t="shared" ref="I255:I261" si="92">I246</f>
        <v>0</v>
      </c>
      <c r="J255" s="274">
        <f t="shared" ref="J255:J261" si="93">H255*(1-I255)</f>
        <v>6817.8266488000017</v>
      </c>
      <c r="K255" s="169">
        <f t="shared" ref="K255:K261" si="94">K246</f>
        <v>0.47</v>
      </c>
      <c r="L255" s="128">
        <f t="shared" ref="L255:L261" si="95">J255*K255</f>
        <v>3204.3785249360008</v>
      </c>
    </row>
    <row r="256" spans="2:12" x14ac:dyDescent="0.35">
      <c r="C256" s="26" t="s">
        <v>444</v>
      </c>
      <c r="F256" s="33">
        <f t="shared" ref="F256:F261" si="96">(F193+F202)*0.1955</f>
        <v>12004.0128</v>
      </c>
      <c r="G256" s="33">
        <f t="shared" si="90"/>
        <v>192.06420480000088</v>
      </c>
      <c r="H256" s="33">
        <f t="shared" si="91"/>
        <v>12196.077004800001</v>
      </c>
      <c r="I256" s="169">
        <f t="shared" si="92"/>
        <v>0</v>
      </c>
      <c r="J256" s="274">
        <f>H256*(1-I256)</f>
        <v>12196.077004800001</v>
      </c>
      <c r="K256" s="169">
        <f t="shared" si="94"/>
        <v>0.47</v>
      </c>
      <c r="L256" s="128">
        <f>J256*K256</f>
        <v>5732.1561922560004</v>
      </c>
    </row>
    <row r="257" spans="1:12" x14ac:dyDescent="0.35">
      <c r="C257" s="26" t="s">
        <v>1112</v>
      </c>
      <c r="F257" s="33">
        <v>0</v>
      </c>
      <c r="G257" s="33">
        <f t="shared" si="90"/>
        <v>0</v>
      </c>
      <c r="H257" s="33">
        <f t="shared" si="91"/>
        <v>0</v>
      </c>
      <c r="I257" s="169">
        <f t="shared" si="92"/>
        <v>0</v>
      </c>
      <c r="J257" s="274">
        <f t="shared" si="93"/>
        <v>0</v>
      </c>
      <c r="K257" s="169">
        <f t="shared" si="94"/>
        <v>0.46</v>
      </c>
      <c r="L257" s="128">
        <f t="shared" si="95"/>
        <v>0</v>
      </c>
    </row>
    <row r="258" spans="1:12" x14ac:dyDescent="0.35">
      <c r="C258" s="26" t="s">
        <v>443</v>
      </c>
      <c r="F258" s="33">
        <f t="shared" si="96"/>
        <v>5676.3816000000006</v>
      </c>
      <c r="G258" s="33">
        <f t="shared" si="90"/>
        <v>90.822105600000214</v>
      </c>
      <c r="H258" s="33">
        <f t="shared" si="91"/>
        <v>5767.2037056000008</v>
      </c>
      <c r="I258" s="169">
        <f t="shared" si="92"/>
        <v>0</v>
      </c>
      <c r="J258" s="274">
        <f t="shared" si="93"/>
        <v>5767.2037056000008</v>
      </c>
      <c r="K258" s="169">
        <f t="shared" si="94"/>
        <v>0.47</v>
      </c>
      <c r="L258" s="128">
        <f t="shared" si="95"/>
        <v>2710.5857416320005</v>
      </c>
    </row>
    <row r="259" spans="1:12" x14ac:dyDescent="0.35">
      <c r="C259" s="26" t="s">
        <v>443</v>
      </c>
      <c r="F259" s="33">
        <f t="shared" si="96"/>
        <v>6963.7491</v>
      </c>
      <c r="G259" s="33">
        <f t="shared" si="90"/>
        <v>111.41998560000047</v>
      </c>
      <c r="H259" s="33">
        <f t="shared" si="91"/>
        <v>7075.1690856000005</v>
      </c>
      <c r="I259" s="169">
        <f t="shared" si="92"/>
        <v>0</v>
      </c>
      <c r="J259" s="274">
        <f t="shared" si="93"/>
        <v>7075.1690856000005</v>
      </c>
      <c r="K259" s="169">
        <f t="shared" si="94"/>
        <v>0.47</v>
      </c>
      <c r="L259" s="128">
        <f t="shared" si="95"/>
        <v>3325.3294702319999</v>
      </c>
    </row>
    <row r="260" spans="1:12" x14ac:dyDescent="0.35">
      <c r="C260" s="26" t="s">
        <v>443</v>
      </c>
      <c r="F260" s="33">
        <f t="shared" si="96"/>
        <v>5995.3203000000003</v>
      </c>
      <c r="G260" s="33">
        <f t="shared" si="90"/>
        <v>95.925124800000049</v>
      </c>
      <c r="H260" s="33">
        <f t="shared" si="91"/>
        <v>6091.2454248000004</v>
      </c>
      <c r="I260" s="169">
        <f t="shared" si="92"/>
        <v>0</v>
      </c>
      <c r="J260" s="274">
        <f t="shared" si="93"/>
        <v>6091.2454248000004</v>
      </c>
      <c r="K260" s="169">
        <f t="shared" si="94"/>
        <v>0.47</v>
      </c>
      <c r="L260" s="128">
        <f t="shared" si="95"/>
        <v>2862.885349656</v>
      </c>
    </row>
    <row r="261" spans="1:12" x14ac:dyDescent="0.35">
      <c r="C261" s="26" t="s">
        <v>445</v>
      </c>
      <c r="F261" s="33">
        <f t="shared" si="96"/>
        <v>7911.8458999999993</v>
      </c>
      <c r="G261" s="33">
        <f t="shared" si="90"/>
        <v>126.58953440000005</v>
      </c>
      <c r="H261" s="33">
        <f t="shared" si="91"/>
        <v>8038.4354343999994</v>
      </c>
      <c r="I261" s="169">
        <f t="shared" si="92"/>
        <v>0</v>
      </c>
      <c r="J261" s="274">
        <f t="shared" si="93"/>
        <v>8038.4354343999994</v>
      </c>
      <c r="K261" s="169">
        <f t="shared" si="94"/>
        <v>0.46</v>
      </c>
      <c r="L261" s="128">
        <f t="shared" si="95"/>
        <v>3697.680299824</v>
      </c>
    </row>
    <row r="262" spans="1:12" x14ac:dyDescent="0.35">
      <c r="I262" s="33"/>
      <c r="J262" s="33"/>
    </row>
    <row r="263" spans="1:12" s="25" customFormat="1" ht="15" x14ac:dyDescent="0.3">
      <c r="A263" s="25" t="s">
        <v>465</v>
      </c>
      <c r="F263" s="36">
        <f>SUM(F192:F262)</f>
        <v>347357.94600000011</v>
      </c>
      <c r="G263" s="36">
        <f t="shared" ref="G263:L263" si="97">SUM(G192:G262)</f>
        <v>8578.9136140000028</v>
      </c>
      <c r="H263" s="36">
        <f t="shared" si="97"/>
        <v>355936.85961400002</v>
      </c>
      <c r="I263" s="36"/>
      <c r="J263" s="36">
        <f t="shared" si="97"/>
        <v>355936.85961400002</v>
      </c>
      <c r="L263" s="36">
        <f t="shared" si="97"/>
        <v>166556.52353032594</v>
      </c>
    </row>
    <row r="264" spans="1:12" x14ac:dyDescent="0.35">
      <c r="G264" s="174">
        <f>G263*L264</f>
        <v>4014.403084761675</v>
      </c>
      <c r="H264" s="33"/>
      <c r="I264" s="33"/>
      <c r="J264" s="33"/>
      <c r="L264" s="168">
        <f>L263/J263</f>
        <v>0.46793839702623141</v>
      </c>
    </row>
    <row r="265" spans="1:12" ht="15" customHeight="1" x14ac:dyDescent="0.35">
      <c r="G265" s="284" t="s">
        <v>476</v>
      </c>
      <c r="I265" s="33"/>
      <c r="J265" s="33"/>
    </row>
    <row r="266" spans="1:12" ht="15" customHeight="1" x14ac:dyDescent="0.35">
      <c r="G266" s="284"/>
      <c r="I266" s="33"/>
      <c r="J266" s="33"/>
    </row>
    <row r="267" spans="1:12" s="122" customFormat="1" ht="4.9000000000000004" customHeight="1" x14ac:dyDescent="0.35">
      <c r="I267" s="277"/>
      <c r="J267" s="277"/>
    </row>
    <row r="268" spans="1:12" ht="15" customHeight="1" x14ac:dyDescent="0.35">
      <c r="A268" s="25" t="s">
        <v>4</v>
      </c>
      <c r="B268" s="25"/>
    </row>
    <row r="269" spans="1:12" ht="15" customHeight="1" x14ac:dyDescent="0.35">
      <c r="A269" s="25" t="s">
        <v>109</v>
      </c>
      <c r="B269" s="25"/>
    </row>
    <row r="270" spans="1:12" ht="15" customHeight="1" x14ac:dyDescent="0.35">
      <c r="A270" s="25" t="s">
        <v>466</v>
      </c>
      <c r="B270" s="25"/>
      <c r="H270" s="50"/>
      <c r="I270" s="50"/>
      <c r="J270" s="50"/>
      <c r="L270" s="50" t="s">
        <v>1660</v>
      </c>
    </row>
    <row r="271" spans="1:12" ht="15" customHeight="1" x14ac:dyDescent="0.35"/>
    <row r="272" spans="1:12" ht="31.15" customHeight="1" x14ac:dyDescent="0.35">
      <c r="F272" s="46">
        <v>2012</v>
      </c>
      <c r="G272" s="27"/>
      <c r="H272" s="27"/>
      <c r="I272" s="27"/>
      <c r="J272" s="27"/>
      <c r="K272" s="269" t="s">
        <v>453</v>
      </c>
      <c r="L272" s="270"/>
    </row>
    <row r="273" spans="2:15" ht="40.9" customHeight="1" x14ac:dyDescent="0.35">
      <c r="B273" s="273"/>
      <c r="C273" s="268"/>
      <c r="D273" s="267" t="s">
        <v>440</v>
      </c>
      <c r="E273" s="266" t="s">
        <v>441</v>
      </c>
      <c r="F273" s="245" t="s">
        <v>112</v>
      </c>
      <c r="G273" s="245" t="s">
        <v>36</v>
      </c>
      <c r="H273" s="271" t="s">
        <v>37</v>
      </c>
      <c r="I273" s="271" t="s">
        <v>460</v>
      </c>
      <c r="J273" s="271" t="s">
        <v>461</v>
      </c>
      <c r="K273" s="272" t="s">
        <v>454</v>
      </c>
      <c r="L273" s="272" t="s">
        <v>455</v>
      </c>
    </row>
    <row r="274" spans="2:15" ht="15" customHeight="1" x14ac:dyDescent="0.35">
      <c r="B274" s="26" t="s">
        <v>340</v>
      </c>
      <c r="I274" s="33"/>
      <c r="J274" s="33"/>
    </row>
    <row r="275" spans="2:15" ht="15" customHeight="1" x14ac:dyDescent="0.35">
      <c r="C275" s="26" t="s">
        <v>446</v>
      </c>
      <c r="D275" s="117">
        <v>17.600000000000001</v>
      </c>
      <c r="E275" s="52">
        <v>40</v>
      </c>
      <c r="F275" s="33">
        <f t="shared" ref="F275:F286" si="98">D275*E275*52</f>
        <v>36608</v>
      </c>
      <c r="G275" s="265">
        <f>F275*$O$3</f>
        <v>1098.24</v>
      </c>
      <c r="H275" s="33">
        <f t="shared" ref="H275:H287" si="99">F275+G275</f>
        <v>37706.239999999998</v>
      </c>
      <c r="I275" s="258">
        <v>0</v>
      </c>
      <c r="J275" s="274">
        <f t="shared" ref="J275:J287" si="100">H275*(1-I275)</f>
        <v>37706.239999999998</v>
      </c>
      <c r="K275" s="258">
        <v>0.47</v>
      </c>
      <c r="L275" s="128">
        <f t="shared" ref="L275:L287" si="101">J275*K275</f>
        <v>17721.932799999999</v>
      </c>
      <c r="N275" s="33"/>
      <c r="O275" s="282"/>
    </row>
    <row r="276" spans="2:15" ht="15" customHeight="1" x14ac:dyDescent="0.35">
      <c r="C276" s="26" t="s">
        <v>447</v>
      </c>
      <c r="D276" s="117">
        <v>14.39</v>
      </c>
      <c r="E276" s="52">
        <v>40</v>
      </c>
      <c r="F276" s="33">
        <f t="shared" si="98"/>
        <v>29931.200000000001</v>
      </c>
      <c r="G276" s="265">
        <f t="shared" ref="G276:G287" si="102">F276*$O$3</f>
        <v>897.93600000000004</v>
      </c>
      <c r="H276" s="33">
        <f t="shared" si="99"/>
        <v>30829.136000000002</v>
      </c>
      <c r="I276" s="258">
        <v>0</v>
      </c>
      <c r="J276" s="274">
        <f t="shared" si="100"/>
        <v>30829.136000000002</v>
      </c>
      <c r="K276" s="258">
        <v>0.47</v>
      </c>
      <c r="L276" s="128">
        <f t="shared" si="101"/>
        <v>14489.69392</v>
      </c>
      <c r="N276" s="33"/>
      <c r="O276" s="282"/>
    </row>
    <row r="277" spans="2:15" ht="15" customHeight="1" x14ac:dyDescent="0.35">
      <c r="C277" s="26" t="s">
        <v>447</v>
      </c>
      <c r="D277" s="117">
        <v>18.21</v>
      </c>
      <c r="E277" s="52">
        <v>40</v>
      </c>
      <c r="F277" s="33">
        <f t="shared" si="98"/>
        <v>37876.800000000003</v>
      </c>
      <c r="G277" s="265">
        <f t="shared" si="102"/>
        <v>1136.3040000000001</v>
      </c>
      <c r="H277" s="33">
        <f t="shared" si="99"/>
        <v>39013.104000000007</v>
      </c>
      <c r="I277" s="258">
        <v>0</v>
      </c>
      <c r="J277" s="274">
        <f t="shared" si="100"/>
        <v>39013.104000000007</v>
      </c>
      <c r="K277" s="258">
        <v>0.47</v>
      </c>
      <c r="L277" s="128">
        <f t="shared" si="101"/>
        <v>18336.158880000003</v>
      </c>
      <c r="N277" s="33"/>
      <c r="O277" s="282"/>
    </row>
    <row r="278" spans="2:15" ht="15" customHeight="1" x14ac:dyDescent="0.35">
      <c r="C278" s="26" t="s">
        <v>449</v>
      </c>
      <c r="D278" s="117">
        <v>17.38</v>
      </c>
      <c r="E278" s="52">
        <v>40</v>
      </c>
      <c r="F278" s="33">
        <f t="shared" si="98"/>
        <v>36150.399999999994</v>
      </c>
      <c r="G278" s="265">
        <f t="shared" si="102"/>
        <v>1084.5119999999997</v>
      </c>
      <c r="H278" s="33">
        <f t="shared" si="99"/>
        <v>37234.911999999997</v>
      </c>
      <c r="I278" s="258">
        <v>0.4</v>
      </c>
      <c r="J278" s="274">
        <f t="shared" si="100"/>
        <v>22340.947199999999</v>
      </c>
      <c r="K278" s="258">
        <v>0</v>
      </c>
      <c r="L278" s="128">
        <f t="shared" si="101"/>
        <v>0</v>
      </c>
      <c r="N278" s="33"/>
      <c r="O278" s="282"/>
    </row>
    <row r="279" spans="2:15" ht="15" customHeight="1" x14ac:dyDescent="0.35">
      <c r="C279" s="26" t="s">
        <v>449</v>
      </c>
      <c r="D279" s="117">
        <v>13.97</v>
      </c>
      <c r="E279" s="52">
        <v>40</v>
      </c>
      <c r="F279" s="33">
        <f t="shared" si="98"/>
        <v>29057.600000000002</v>
      </c>
      <c r="G279" s="265">
        <f t="shared" si="102"/>
        <v>871.72800000000007</v>
      </c>
      <c r="H279" s="33">
        <f t="shared" si="99"/>
        <v>29929.328000000001</v>
      </c>
      <c r="I279" s="258">
        <v>0</v>
      </c>
      <c r="J279" s="274">
        <f t="shared" si="100"/>
        <v>29929.328000000001</v>
      </c>
      <c r="K279" s="258">
        <v>0</v>
      </c>
      <c r="L279" s="128">
        <f t="shared" si="101"/>
        <v>0</v>
      </c>
      <c r="N279" s="33"/>
      <c r="O279" s="282"/>
    </row>
    <row r="280" spans="2:15" ht="15" customHeight="1" x14ac:dyDescent="0.35">
      <c r="C280" s="26" t="s">
        <v>446</v>
      </c>
      <c r="D280" s="117">
        <v>17.3</v>
      </c>
      <c r="E280" s="52">
        <v>40</v>
      </c>
      <c r="F280" s="33">
        <f t="shared" si="98"/>
        <v>35984</v>
      </c>
      <c r="G280" s="265">
        <f t="shared" si="102"/>
        <v>1079.52</v>
      </c>
      <c r="H280" s="33">
        <f t="shared" si="99"/>
        <v>37063.519999999997</v>
      </c>
      <c r="I280" s="258">
        <v>0</v>
      </c>
      <c r="J280" s="274">
        <f t="shared" si="100"/>
        <v>37063.519999999997</v>
      </c>
      <c r="K280" s="258">
        <v>0</v>
      </c>
      <c r="L280" s="128">
        <f t="shared" si="101"/>
        <v>0</v>
      </c>
      <c r="N280" s="33"/>
      <c r="O280" s="282"/>
    </row>
    <row r="281" spans="2:15" ht="15" customHeight="1" x14ac:dyDescent="0.35">
      <c r="C281" s="26" t="s">
        <v>450</v>
      </c>
      <c r="D281" s="117">
        <v>0</v>
      </c>
      <c r="E281" s="52">
        <v>40</v>
      </c>
      <c r="F281" s="33">
        <f t="shared" si="98"/>
        <v>0</v>
      </c>
      <c r="G281" s="265">
        <f t="shared" si="102"/>
        <v>0</v>
      </c>
      <c r="H281" s="33">
        <f t="shared" si="99"/>
        <v>0</v>
      </c>
      <c r="I281" s="258">
        <v>0</v>
      </c>
      <c r="J281" s="274">
        <f t="shared" si="100"/>
        <v>0</v>
      </c>
      <c r="K281" s="258">
        <v>0</v>
      </c>
      <c r="L281" s="128">
        <f t="shared" si="101"/>
        <v>0</v>
      </c>
      <c r="N281" s="33"/>
      <c r="O281" s="282"/>
    </row>
    <row r="282" spans="2:15" ht="15" customHeight="1" x14ac:dyDescent="0.35">
      <c r="C282" s="26" t="s">
        <v>447</v>
      </c>
      <c r="D282" s="117">
        <v>19.7</v>
      </c>
      <c r="E282" s="52">
        <v>40</v>
      </c>
      <c r="F282" s="33">
        <f t="shared" si="98"/>
        <v>40976</v>
      </c>
      <c r="G282" s="265">
        <f t="shared" si="102"/>
        <v>1229.28</v>
      </c>
      <c r="H282" s="33">
        <f t="shared" si="99"/>
        <v>42205.279999999999</v>
      </c>
      <c r="I282" s="258">
        <v>0</v>
      </c>
      <c r="J282" s="274">
        <f t="shared" si="100"/>
        <v>42205.279999999999</v>
      </c>
      <c r="K282" s="258">
        <v>0</v>
      </c>
      <c r="L282" s="128">
        <f t="shared" si="101"/>
        <v>0</v>
      </c>
      <c r="N282" s="33"/>
      <c r="O282" s="282"/>
    </row>
    <row r="283" spans="2:15" ht="15" customHeight="1" x14ac:dyDescent="0.35">
      <c r="C283" s="26" t="s">
        <v>447</v>
      </c>
      <c r="D283" s="117">
        <v>17.07</v>
      </c>
      <c r="E283" s="52">
        <v>40</v>
      </c>
      <c r="F283" s="33">
        <f t="shared" si="98"/>
        <v>35505.599999999999</v>
      </c>
      <c r="G283" s="265">
        <f t="shared" si="102"/>
        <v>1065.1679999999999</v>
      </c>
      <c r="H283" s="33">
        <f t="shared" si="99"/>
        <v>36570.767999999996</v>
      </c>
      <c r="I283" s="258">
        <v>0</v>
      </c>
      <c r="J283" s="274">
        <f t="shared" si="100"/>
        <v>36570.767999999996</v>
      </c>
      <c r="K283" s="258">
        <v>0.47</v>
      </c>
      <c r="L283" s="128">
        <f t="shared" si="101"/>
        <v>17188.260959999996</v>
      </c>
      <c r="N283" s="33"/>
      <c r="O283" s="282"/>
    </row>
    <row r="284" spans="2:15" ht="15" customHeight="1" x14ac:dyDescent="0.35">
      <c r="C284" s="26" t="s">
        <v>447</v>
      </c>
      <c r="D284" s="117">
        <v>13.43</v>
      </c>
      <c r="E284" s="52">
        <v>40</v>
      </c>
      <c r="F284" s="33">
        <f t="shared" si="98"/>
        <v>27934.400000000001</v>
      </c>
      <c r="G284" s="265">
        <f t="shared" si="102"/>
        <v>838.03200000000004</v>
      </c>
      <c r="H284" s="33">
        <f t="shared" si="99"/>
        <v>28772.432000000001</v>
      </c>
      <c r="I284" s="258">
        <v>0</v>
      </c>
      <c r="J284" s="274">
        <f t="shared" si="100"/>
        <v>28772.432000000001</v>
      </c>
      <c r="K284" s="258">
        <v>0.47</v>
      </c>
      <c r="L284" s="128">
        <f t="shared" si="101"/>
        <v>13523.043039999999</v>
      </c>
      <c r="N284" s="33"/>
      <c r="O284" s="282"/>
    </row>
    <row r="285" spans="2:15" ht="15" customHeight="1" x14ac:dyDescent="0.35">
      <c r="C285" s="26" t="s">
        <v>447</v>
      </c>
      <c r="D285" s="117">
        <v>15.37</v>
      </c>
      <c r="E285" s="52">
        <v>40</v>
      </c>
      <c r="F285" s="33">
        <f t="shared" si="98"/>
        <v>31969.599999999999</v>
      </c>
      <c r="G285" s="265">
        <f t="shared" si="102"/>
        <v>959.08799999999997</v>
      </c>
      <c r="H285" s="33">
        <f t="shared" si="99"/>
        <v>32928.688000000002</v>
      </c>
      <c r="I285" s="258">
        <v>0</v>
      </c>
      <c r="J285" s="274">
        <f t="shared" si="100"/>
        <v>32928.688000000002</v>
      </c>
      <c r="K285" s="258">
        <v>0</v>
      </c>
      <c r="L285" s="128">
        <f t="shared" si="101"/>
        <v>0</v>
      </c>
      <c r="N285" s="33"/>
      <c r="O285" s="282"/>
    </row>
    <row r="286" spans="2:15" ht="15" customHeight="1" x14ac:dyDescent="0.35">
      <c r="C286" s="26" t="s">
        <v>451</v>
      </c>
      <c r="D286" s="117">
        <v>28.39</v>
      </c>
      <c r="E286" s="52">
        <v>40</v>
      </c>
      <c r="F286" s="33">
        <f t="shared" si="98"/>
        <v>59051.199999999997</v>
      </c>
      <c r="G286" s="265">
        <f t="shared" si="102"/>
        <v>1771.5359999999998</v>
      </c>
      <c r="H286" s="33">
        <f t="shared" si="99"/>
        <v>60822.735999999997</v>
      </c>
      <c r="I286" s="258">
        <v>0</v>
      </c>
      <c r="J286" s="274">
        <f t="shared" si="100"/>
        <v>60822.735999999997</v>
      </c>
      <c r="K286" s="258">
        <v>1.4999999999999999E-2</v>
      </c>
      <c r="L286" s="128">
        <f t="shared" si="101"/>
        <v>912.34103999999991</v>
      </c>
      <c r="N286" s="33"/>
      <c r="O286" s="282"/>
    </row>
    <row r="287" spans="2:15" ht="15" customHeight="1" x14ac:dyDescent="0.35">
      <c r="C287" s="26" t="s">
        <v>452</v>
      </c>
      <c r="D287" s="117">
        <v>9.8000000000000007</v>
      </c>
      <c r="E287" s="52">
        <v>40</v>
      </c>
      <c r="F287" s="33">
        <v>4951</v>
      </c>
      <c r="G287" s="265">
        <f t="shared" si="102"/>
        <v>148.53</v>
      </c>
      <c r="H287" s="33">
        <f t="shared" si="99"/>
        <v>5099.53</v>
      </c>
      <c r="I287" s="258">
        <v>0</v>
      </c>
      <c r="J287" s="274">
        <f t="shared" si="100"/>
        <v>5099.53</v>
      </c>
      <c r="K287" s="258">
        <v>0</v>
      </c>
      <c r="L287" s="128">
        <f t="shared" si="101"/>
        <v>0</v>
      </c>
      <c r="N287" s="33"/>
      <c r="O287" s="282"/>
    </row>
    <row r="288" spans="2:15" ht="15" customHeight="1" x14ac:dyDescent="0.35">
      <c r="I288" s="33"/>
      <c r="J288" s="33"/>
    </row>
    <row r="289" spans="2:12" ht="15" customHeight="1" x14ac:dyDescent="0.35">
      <c r="B289" s="26" t="s">
        <v>472</v>
      </c>
      <c r="I289" s="33"/>
      <c r="J289" s="33"/>
    </row>
    <row r="290" spans="2:12" ht="15" customHeight="1" x14ac:dyDescent="0.35">
      <c r="C290" s="26" t="s">
        <v>446</v>
      </c>
      <c r="F290" s="33">
        <v>2306</v>
      </c>
      <c r="G290" s="33">
        <f>F290*$O$3</f>
        <v>69.179999999999993</v>
      </c>
      <c r="H290" s="33">
        <f>F290+G290</f>
        <v>2375.1799999999998</v>
      </c>
      <c r="I290" s="169">
        <f>I275</f>
        <v>0</v>
      </c>
      <c r="J290" s="274">
        <f t="shared" ref="J290:J302" si="103">H290*(1-I290)</f>
        <v>2375.1799999999998</v>
      </c>
      <c r="K290" s="169">
        <f>K275</f>
        <v>0.47</v>
      </c>
      <c r="L290" s="128">
        <f t="shared" ref="L290:L302" si="104">J290*K290</f>
        <v>1116.3345999999999</v>
      </c>
    </row>
    <row r="291" spans="2:12" ht="15" customHeight="1" x14ac:dyDescent="0.35">
      <c r="C291" s="26" t="s">
        <v>447</v>
      </c>
      <c r="F291" s="33">
        <v>1886</v>
      </c>
      <c r="G291" s="33">
        <f t="shared" ref="G291:G302" si="105">F291*$O$3</f>
        <v>56.58</v>
      </c>
      <c r="H291" s="33">
        <f t="shared" ref="H291:H302" si="106">F291+G291</f>
        <v>1942.58</v>
      </c>
      <c r="I291" s="169">
        <f>I276</f>
        <v>0</v>
      </c>
      <c r="J291" s="274">
        <f t="shared" si="103"/>
        <v>1942.58</v>
      </c>
      <c r="K291" s="169">
        <f>K276</f>
        <v>0.47</v>
      </c>
      <c r="L291" s="128">
        <f t="shared" si="104"/>
        <v>913.01259999999991</v>
      </c>
    </row>
    <row r="292" spans="2:12" ht="15" customHeight="1" x14ac:dyDescent="0.35">
      <c r="C292" s="26" t="s">
        <v>447</v>
      </c>
      <c r="F292" s="33">
        <v>2386</v>
      </c>
      <c r="G292" s="33">
        <f t="shared" si="105"/>
        <v>71.58</v>
      </c>
      <c r="H292" s="33">
        <f t="shared" si="106"/>
        <v>2457.58</v>
      </c>
      <c r="I292" s="169">
        <f>I277</f>
        <v>0</v>
      </c>
      <c r="J292" s="274">
        <f t="shared" si="103"/>
        <v>2457.58</v>
      </c>
      <c r="K292" s="169">
        <f>K277</f>
        <v>0.47</v>
      </c>
      <c r="L292" s="128">
        <f t="shared" si="104"/>
        <v>1155.0626</v>
      </c>
    </row>
    <row r="293" spans="2:12" ht="15" customHeight="1" x14ac:dyDescent="0.35">
      <c r="C293" s="26" t="s">
        <v>449</v>
      </c>
      <c r="F293" s="33">
        <v>2277</v>
      </c>
      <c r="G293" s="33">
        <f t="shared" si="105"/>
        <v>68.31</v>
      </c>
      <c r="H293" s="33">
        <f t="shared" si="106"/>
        <v>2345.31</v>
      </c>
      <c r="I293" s="169">
        <f>I278</f>
        <v>0.4</v>
      </c>
      <c r="J293" s="274">
        <f t="shared" si="103"/>
        <v>1407.1859999999999</v>
      </c>
      <c r="K293" s="169">
        <f>K278</f>
        <v>0</v>
      </c>
      <c r="L293" s="128">
        <f t="shared" si="104"/>
        <v>0</v>
      </c>
    </row>
    <row r="294" spans="2:12" ht="15" customHeight="1" x14ac:dyDescent="0.35">
      <c r="C294" s="26" t="s">
        <v>449</v>
      </c>
      <c r="F294" s="33">
        <v>1831</v>
      </c>
      <c r="G294" s="33">
        <f t="shared" si="105"/>
        <v>54.93</v>
      </c>
      <c r="H294" s="33">
        <f t="shared" si="106"/>
        <v>1885.93</v>
      </c>
      <c r="I294" s="169">
        <f>I279</f>
        <v>0</v>
      </c>
      <c r="J294" s="274">
        <f t="shared" ref="J294" si="107">H294*(1-I294)</f>
        <v>1885.93</v>
      </c>
      <c r="K294" s="169">
        <f>K279</f>
        <v>0</v>
      </c>
      <c r="L294" s="128">
        <f t="shared" ref="L294" si="108">J294*K294</f>
        <v>0</v>
      </c>
    </row>
    <row r="295" spans="2:12" ht="15" customHeight="1" x14ac:dyDescent="0.35">
      <c r="C295" s="26" t="s">
        <v>446</v>
      </c>
      <c r="F295" s="33">
        <v>2267</v>
      </c>
      <c r="G295" s="33">
        <f t="shared" si="105"/>
        <v>68.009999999999991</v>
      </c>
      <c r="H295" s="33">
        <f t="shared" si="106"/>
        <v>2335.0100000000002</v>
      </c>
      <c r="I295" s="169">
        <f t="shared" ref="I295:I302" si="109">I280</f>
        <v>0</v>
      </c>
      <c r="J295" s="274">
        <f t="shared" si="103"/>
        <v>2335.0100000000002</v>
      </c>
      <c r="K295" s="169">
        <f t="shared" ref="K295:K302" si="110">K280</f>
        <v>0</v>
      </c>
      <c r="L295" s="128">
        <f t="shared" si="104"/>
        <v>0</v>
      </c>
    </row>
    <row r="296" spans="2:12" ht="15" customHeight="1" x14ac:dyDescent="0.35">
      <c r="C296" s="26" t="s">
        <v>450</v>
      </c>
      <c r="F296" s="33">
        <v>0</v>
      </c>
      <c r="G296" s="33">
        <f t="shared" si="105"/>
        <v>0</v>
      </c>
      <c r="H296" s="33">
        <f t="shared" si="106"/>
        <v>0</v>
      </c>
      <c r="I296" s="169">
        <f t="shared" si="109"/>
        <v>0</v>
      </c>
      <c r="J296" s="274">
        <f t="shared" si="103"/>
        <v>0</v>
      </c>
      <c r="K296" s="169">
        <f t="shared" si="110"/>
        <v>0</v>
      </c>
      <c r="L296" s="128">
        <f t="shared" si="104"/>
        <v>0</v>
      </c>
    </row>
    <row r="297" spans="2:12" ht="15" customHeight="1" x14ac:dyDescent="0.35">
      <c r="C297" s="26" t="s">
        <v>447</v>
      </c>
      <c r="F297" s="33">
        <v>2581</v>
      </c>
      <c r="G297" s="33">
        <f t="shared" si="105"/>
        <v>77.429999999999993</v>
      </c>
      <c r="H297" s="33">
        <f t="shared" si="106"/>
        <v>2658.43</v>
      </c>
      <c r="I297" s="169">
        <f t="shared" si="109"/>
        <v>0</v>
      </c>
      <c r="J297" s="274">
        <f t="shared" si="103"/>
        <v>2658.43</v>
      </c>
      <c r="K297" s="169">
        <f t="shared" si="110"/>
        <v>0</v>
      </c>
      <c r="L297" s="128">
        <f t="shared" si="104"/>
        <v>0</v>
      </c>
    </row>
    <row r="298" spans="2:12" ht="15" customHeight="1" x14ac:dyDescent="0.35">
      <c r="C298" s="26" t="s">
        <v>447</v>
      </c>
      <c r="F298" s="33">
        <v>2237</v>
      </c>
      <c r="G298" s="33">
        <f t="shared" si="105"/>
        <v>67.11</v>
      </c>
      <c r="H298" s="33">
        <f t="shared" si="106"/>
        <v>2304.11</v>
      </c>
      <c r="I298" s="169">
        <f t="shared" si="109"/>
        <v>0</v>
      </c>
      <c r="J298" s="274">
        <f t="shared" si="103"/>
        <v>2304.11</v>
      </c>
      <c r="K298" s="169">
        <f t="shared" si="110"/>
        <v>0.47</v>
      </c>
      <c r="L298" s="128">
        <f t="shared" si="104"/>
        <v>1082.9317000000001</v>
      </c>
    </row>
    <row r="299" spans="2:12" ht="15" customHeight="1" x14ac:dyDescent="0.35">
      <c r="C299" s="26" t="s">
        <v>447</v>
      </c>
      <c r="F299" s="33">
        <v>1760</v>
      </c>
      <c r="G299" s="33">
        <f t="shared" si="105"/>
        <v>52.8</v>
      </c>
      <c r="H299" s="33">
        <f t="shared" si="106"/>
        <v>1812.8</v>
      </c>
      <c r="I299" s="169">
        <f t="shared" si="109"/>
        <v>0</v>
      </c>
      <c r="J299" s="274">
        <f t="shared" si="103"/>
        <v>1812.8</v>
      </c>
      <c r="K299" s="169">
        <f t="shared" si="110"/>
        <v>0.47</v>
      </c>
      <c r="L299" s="128">
        <f t="shared" si="104"/>
        <v>852.01599999999996</v>
      </c>
    </row>
    <row r="300" spans="2:12" ht="15" customHeight="1" x14ac:dyDescent="0.35">
      <c r="C300" s="26" t="s">
        <v>447</v>
      </c>
      <c r="F300" s="33">
        <v>2014</v>
      </c>
      <c r="G300" s="33">
        <f t="shared" si="105"/>
        <v>60.419999999999995</v>
      </c>
      <c r="H300" s="33">
        <f t="shared" si="106"/>
        <v>2074.42</v>
      </c>
      <c r="I300" s="169">
        <f t="shared" si="109"/>
        <v>0</v>
      </c>
      <c r="J300" s="274">
        <f t="shared" si="103"/>
        <v>2074.42</v>
      </c>
      <c r="K300" s="169">
        <f t="shared" si="110"/>
        <v>0</v>
      </c>
      <c r="L300" s="128">
        <f t="shared" si="104"/>
        <v>0</v>
      </c>
    </row>
    <row r="301" spans="2:12" ht="15" customHeight="1" x14ac:dyDescent="0.35">
      <c r="C301" s="26" t="s">
        <v>451</v>
      </c>
      <c r="F301" s="33">
        <v>0</v>
      </c>
      <c r="G301" s="33">
        <f t="shared" si="105"/>
        <v>0</v>
      </c>
      <c r="H301" s="33">
        <f t="shared" si="106"/>
        <v>0</v>
      </c>
      <c r="I301" s="169">
        <f t="shared" si="109"/>
        <v>0</v>
      </c>
      <c r="J301" s="274">
        <f t="shared" si="103"/>
        <v>0</v>
      </c>
      <c r="K301" s="169">
        <f t="shared" si="110"/>
        <v>1.4999999999999999E-2</v>
      </c>
      <c r="L301" s="128">
        <f t="shared" si="104"/>
        <v>0</v>
      </c>
    </row>
    <row r="302" spans="2:12" ht="15" customHeight="1" x14ac:dyDescent="0.35">
      <c r="C302" s="26" t="s">
        <v>452</v>
      </c>
      <c r="F302" s="33">
        <v>0</v>
      </c>
      <c r="G302" s="33">
        <f t="shared" si="105"/>
        <v>0</v>
      </c>
      <c r="H302" s="33">
        <f t="shared" si="106"/>
        <v>0</v>
      </c>
      <c r="I302" s="169">
        <f t="shared" si="109"/>
        <v>0</v>
      </c>
      <c r="J302" s="274">
        <f t="shared" si="103"/>
        <v>0</v>
      </c>
      <c r="K302" s="169">
        <f t="shared" si="110"/>
        <v>0</v>
      </c>
      <c r="L302" s="128">
        <f t="shared" si="104"/>
        <v>0</v>
      </c>
    </row>
    <row r="303" spans="2:12" ht="15" customHeight="1" x14ac:dyDescent="0.35">
      <c r="I303" s="33"/>
      <c r="J303" s="33"/>
    </row>
    <row r="304" spans="2:12" ht="15" customHeight="1" x14ac:dyDescent="0.35">
      <c r="B304" s="26" t="s">
        <v>473</v>
      </c>
      <c r="I304" s="33"/>
      <c r="J304" s="33"/>
    </row>
    <row r="305" spans="2:12" ht="15" customHeight="1" x14ac:dyDescent="0.35">
      <c r="C305" s="26" t="s">
        <v>446</v>
      </c>
      <c r="F305" s="33">
        <v>6535</v>
      </c>
      <c r="G305" s="33">
        <f>H305-F305</f>
        <v>0</v>
      </c>
      <c r="H305" s="33">
        <f>F305*(1+$O$33)</f>
        <v>6535</v>
      </c>
      <c r="I305" s="169">
        <f>I290</f>
        <v>0</v>
      </c>
      <c r="J305" s="274">
        <f t="shared" ref="J305:J317" si="111">H305*(1-I305)</f>
        <v>6535</v>
      </c>
      <c r="K305" s="169">
        <f>K290</f>
        <v>0.47</v>
      </c>
      <c r="L305" s="128">
        <f t="shared" ref="L305:L317" si="112">J305*K305</f>
        <v>3071.45</v>
      </c>
    </row>
    <row r="306" spans="2:12" ht="15" customHeight="1" x14ac:dyDescent="0.35">
      <c r="C306" s="26" t="s">
        <v>447</v>
      </c>
      <c r="F306" s="33">
        <v>6535</v>
      </c>
      <c r="G306" s="33">
        <f t="shared" ref="G306:G317" si="113">H306-F306</f>
        <v>0</v>
      </c>
      <c r="H306" s="33">
        <f t="shared" ref="H306:H317" si="114">F306*(1+$O$33)</f>
        <v>6535</v>
      </c>
      <c r="I306" s="169">
        <f>I291</f>
        <v>0</v>
      </c>
      <c r="J306" s="274">
        <f t="shared" si="111"/>
        <v>6535</v>
      </c>
      <c r="K306" s="169">
        <f>K291</f>
        <v>0.47</v>
      </c>
      <c r="L306" s="128">
        <f t="shared" si="112"/>
        <v>3071.45</v>
      </c>
    </row>
    <row r="307" spans="2:12" ht="15" customHeight="1" x14ac:dyDescent="0.35">
      <c r="C307" s="26" t="s">
        <v>447</v>
      </c>
      <c r="F307" s="33">
        <v>6535</v>
      </c>
      <c r="G307" s="33">
        <f t="shared" si="113"/>
        <v>0</v>
      </c>
      <c r="H307" s="33">
        <f t="shared" si="114"/>
        <v>6535</v>
      </c>
      <c r="I307" s="169">
        <f>I292</f>
        <v>0</v>
      </c>
      <c r="J307" s="274">
        <f t="shared" si="111"/>
        <v>6535</v>
      </c>
      <c r="K307" s="169">
        <f>K292</f>
        <v>0.47</v>
      </c>
      <c r="L307" s="128">
        <f t="shared" si="112"/>
        <v>3071.45</v>
      </c>
    </row>
    <row r="308" spans="2:12" ht="15" customHeight="1" x14ac:dyDescent="0.35">
      <c r="C308" s="26" t="s">
        <v>449</v>
      </c>
      <c r="F308" s="33">
        <v>6535</v>
      </c>
      <c r="G308" s="33">
        <f t="shared" si="113"/>
        <v>0</v>
      </c>
      <c r="H308" s="33">
        <f t="shared" si="114"/>
        <v>6535</v>
      </c>
      <c r="I308" s="169">
        <f>I293</f>
        <v>0.4</v>
      </c>
      <c r="J308" s="274">
        <f t="shared" si="111"/>
        <v>3921</v>
      </c>
      <c r="K308" s="169">
        <f>K293</f>
        <v>0</v>
      </c>
      <c r="L308" s="128">
        <f t="shared" si="112"/>
        <v>0</v>
      </c>
    </row>
    <row r="309" spans="2:12" ht="15" customHeight="1" x14ac:dyDescent="0.35">
      <c r="C309" s="26" t="s">
        <v>449</v>
      </c>
      <c r="F309" s="33">
        <v>6535</v>
      </c>
      <c r="G309" s="33">
        <f t="shared" si="113"/>
        <v>0</v>
      </c>
      <c r="H309" s="33">
        <f t="shared" si="114"/>
        <v>6535</v>
      </c>
      <c r="I309" s="169">
        <f>I294</f>
        <v>0</v>
      </c>
      <c r="J309" s="274">
        <f t="shared" ref="J309" si="115">H309*(1-I309)</f>
        <v>6535</v>
      </c>
      <c r="K309" s="169">
        <f>K294</f>
        <v>0</v>
      </c>
      <c r="L309" s="128">
        <f t="shared" ref="L309" si="116">J309*K309</f>
        <v>0</v>
      </c>
    </row>
    <row r="310" spans="2:12" ht="15" customHeight="1" x14ac:dyDescent="0.35">
      <c r="C310" s="26" t="s">
        <v>446</v>
      </c>
      <c r="F310" s="33">
        <v>6535</v>
      </c>
      <c r="G310" s="33">
        <f t="shared" si="113"/>
        <v>0</v>
      </c>
      <c r="H310" s="33">
        <f t="shared" si="114"/>
        <v>6535</v>
      </c>
      <c r="I310" s="169">
        <f t="shared" ref="I310:I317" si="117">I295</f>
        <v>0</v>
      </c>
      <c r="J310" s="274">
        <f t="shared" si="111"/>
        <v>6535</v>
      </c>
      <c r="K310" s="169">
        <f t="shared" ref="K310:K317" si="118">K295</f>
        <v>0</v>
      </c>
      <c r="L310" s="128">
        <f t="shared" si="112"/>
        <v>0</v>
      </c>
    </row>
    <row r="311" spans="2:12" ht="15" customHeight="1" x14ac:dyDescent="0.35">
      <c r="C311" s="26" t="s">
        <v>450</v>
      </c>
      <c r="F311" s="33">
        <v>0</v>
      </c>
      <c r="G311" s="33">
        <f t="shared" si="113"/>
        <v>0</v>
      </c>
      <c r="H311" s="33">
        <f t="shared" si="114"/>
        <v>0</v>
      </c>
      <c r="I311" s="169">
        <f t="shared" si="117"/>
        <v>0</v>
      </c>
      <c r="J311" s="274">
        <f t="shared" si="111"/>
        <v>0</v>
      </c>
      <c r="K311" s="169">
        <f t="shared" si="118"/>
        <v>0</v>
      </c>
      <c r="L311" s="128">
        <f t="shared" si="112"/>
        <v>0</v>
      </c>
    </row>
    <row r="312" spans="2:12" ht="15" customHeight="1" x14ac:dyDescent="0.35">
      <c r="C312" s="26" t="s">
        <v>447</v>
      </c>
      <c r="F312" s="33">
        <v>6535</v>
      </c>
      <c r="G312" s="33">
        <f t="shared" si="113"/>
        <v>0</v>
      </c>
      <c r="H312" s="33">
        <f t="shared" si="114"/>
        <v>6535</v>
      </c>
      <c r="I312" s="169">
        <f t="shared" si="117"/>
        <v>0</v>
      </c>
      <c r="J312" s="274">
        <f t="shared" si="111"/>
        <v>6535</v>
      </c>
      <c r="K312" s="169">
        <f t="shared" si="118"/>
        <v>0</v>
      </c>
      <c r="L312" s="128">
        <f t="shared" si="112"/>
        <v>0</v>
      </c>
    </row>
    <row r="313" spans="2:12" ht="15" customHeight="1" x14ac:dyDescent="0.35">
      <c r="C313" s="26" t="s">
        <v>447</v>
      </c>
      <c r="F313" s="33">
        <v>6535</v>
      </c>
      <c r="G313" s="33">
        <f t="shared" si="113"/>
        <v>0</v>
      </c>
      <c r="H313" s="33">
        <f t="shared" si="114"/>
        <v>6535</v>
      </c>
      <c r="I313" s="169">
        <f t="shared" si="117"/>
        <v>0</v>
      </c>
      <c r="J313" s="274">
        <f t="shared" si="111"/>
        <v>6535</v>
      </c>
      <c r="K313" s="169">
        <f t="shared" si="118"/>
        <v>0.47</v>
      </c>
      <c r="L313" s="128">
        <f t="shared" si="112"/>
        <v>3071.45</v>
      </c>
    </row>
    <row r="314" spans="2:12" ht="15" customHeight="1" x14ac:dyDescent="0.35">
      <c r="C314" s="26" t="s">
        <v>447</v>
      </c>
      <c r="F314" s="33">
        <v>6535</v>
      </c>
      <c r="G314" s="33">
        <f t="shared" si="113"/>
        <v>0</v>
      </c>
      <c r="H314" s="33">
        <f t="shared" si="114"/>
        <v>6535</v>
      </c>
      <c r="I314" s="169">
        <f t="shared" si="117"/>
        <v>0</v>
      </c>
      <c r="J314" s="274">
        <f t="shared" si="111"/>
        <v>6535</v>
      </c>
      <c r="K314" s="169">
        <f t="shared" si="118"/>
        <v>0.47</v>
      </c>
      <c r="L314" s="128">
        <f t="shared" si="112"/>
        <v>3071.45</v>
      </c>
    </row>
    <row r="315" spans="2:12" ht="15" customHeight="1" x14ac:dyDescent="0.35">
      <c r="C315" s="26" t="s">
        <v>447</v>
      </c>
      <c r="F315" s="33">
        <v>6535</v>
      </c>
      <c r="G315" s="33">
        <f t="shared" si="113"/>
        <v>0</v>
      </c>
      <c r="H315" s="33">
        <f t="shared" si="114"/>
        <v>6535</v>
      </c>
      <c r="I315" s="169">
        <f t="shared" si="117"/>
        <v>0</v>
      </c>
      <c r="J315" s="274">
        <f t="shared" si="111"/>
        <v>6535</v>
      </c>
      <c r="K315" s="169">
        <f t="shared" si="118"/>
        <v>0</v>
      </c>
      <c r="L315" s="128">
        <f t="shared" si="112"/>
        <v>0</v>
      </c>
    </row>
    <row r="316" spans="2:12" ht="15" customHeight="1" x14ac:dyDescent="0.35">
      <c r="C316" s="26" t="s">
        <v>451</v>
      </c>
      <c r="F316" s="33">
        <v>6535</v>
      </c>
      <c r="G316" s="33">
        <f t="shared" si="113"/>
        <v>0</v>
      </c>
      <c r="H316" s="33">
        <f t="shared" si="114"/>
        <v>6535</v>
      </c>
      <c r="I316" s="169">
        <f t="shared" si="117"/>
        <v>0</v>
      </c>
      <c r="J316" s="274">
        <f t="shared" si="111"/>
        <v>6535</v>
      </c>
      <c r="K316" s="169">
        <f t="shared" si="118"/>
        <v>1.4999999999999999E-2</v>
      </c>
      <c r="L316" s="128">
        <f t="shared" si="112"/>
        <v>98.024999999999991</v>
      </c>
    </row>
    <row r="317" spans="2:12" ht="15" customHeight="1" x14ac:dyDescent="0.35">
      <c r="C317" s="26" t="s">
        <v>452</v>
      </c>
      <c r="F317" s="33">
        <v>0</v>
      </c>
      <c r="G317" s="33">
        <f t="shared" si="113"/>
        <v>0</v>
      </c>
      <c r="H317" s="33">
        <f t="shared" si="114"/>
        <v>0</v>
      </c>
      <c r="I317" s="169">
        <f t="shared" si="117"/>
        <v>0</v>
      </c>
      <c r="J317" s="274">
        <f t="shared" si="111"/>
        <v>0</v>
      </c>
      <c r="K317" s="169">
        <f t="shared" si="118"/>
        <v>0</v>
      </c>
      <c r="L317" s="128">
        <f t="shared" si="112"/>
        <v>0</v>
      </c>
    </row>
    <row r="318" spans="2:12" ht="15" customHeight="1" x14ac:dyDescent="0.35">
      <c r="F318" s="33"/>
      <c r="I318" s="33"/>
      <c r="J318" s="33"/>
    </row>
    <row r="319" spans="2:12" ht="15" customHeight="1" x14ac:dyDescent="0.35">
      <c r="B319" s="26" t="s">
        <v>474</v>
      </c>
      <c r="F319" s="33"/>
      <c r="I319" s="33"/>
      <c r="J319" s="33"/>
    </row>
    <row r="320" spans="2:12" ht="15" customHeight="1" x14ac:dyDescent="0.35">
      <c r="C320" s="26" t="s">
        <v>446</v>
      </c>
      <c r="F320" s="33">
        <v>660</v>
      </c>
      <c r="G320" s="45">
        <v>0</v>
      </c>
      <c r="H320" s="33">
        <f>F320+G320</f>
        <v>660</v>
      </c>
      <c r="I320" s="169">
        <f>I305</f>
        <v>0</v>
      </c>
      <c r="J320" s="274">
        <f t="shared" ref="J320:J332" si="119">H320*(1-I320)</f>
        <v>660</v>
      </c>
      <c r="K320" s="169">
        <f>K305</f>
        <v>0.47</v>
      </c>
      <c r="L320" s="128">
        <f t="shared" ref="L320:L332" si="120">J320*K320</f>
        <v>310.2</v>
      </c>
    </row>
    <row r="321" spans="2:12" ht="15" customHeight="1" x14ac:dyDescent="0.35">
      <c r="C321" s="26" t="s">
        <v>447</v>
      </c>
      <c r="F321" s="33">
        <v>538</v>
      </c>
      <c r="G321" s="45">
        <v>0</v>
      </c>
      <c r="H321" s="33">
        <f t="shared" ref="H321:H332" si="121">F321+G321</f>
        <v>538</v>
      </c>
      <c r="I321" s="169">
        <f>I306</f>
        <v>0</v>
      </c>
      <c r="J321" s="274">
        <f t="shared" si="119"/>
        <v>538</v>
      </c>
      <c r="K321" s="169">
        <f>K306</f>
        <v>0.47</v>
      </c>
      <c r="L321" s="128">
        <f t="shared" si="120"/>
        <v>252.85999999999999</v>
      </c>
    </row>
    <row r="322" spans="2:12" ht="15" customHeight="1" x14ac:dyDescent="0.35">
      <c r="C322" s="26" t="s">
        <v>447</v>
      </c>
      <c r="F322" s="33">
        <v>675</v>
      </c>
      <c r="G322" s="45">
        <v>0</v>
      </c>
      <c r="H322" s="33">
        <f t="shared" si="121"/>
        <v>675</v>
      </c>
      <c r="I322" s="169">
        <f>I307</f>
        <v>0</v>
      </c>
      <c r="J322" s="274">
        <f t="shared" si="119"/>
        <v>675</v>
      </c>
      <c r="K322" s="169">
        <f>K307</f>
        <v>0.47</v>
      </c>
      <c r="L322" s="128">
        <f t="shared" si="120"/>
        <v>317.25</v>
      </c>
    </row>
    <row r="323" spans="2:12" ht="15" customHeight="1" x14ac:dyDescent="0.35">
      <c r="C323" s="26" t="s">
        <v>449</v>
      </c>
      <c r="F323" s="33">
        <v>651</v>
      </c>
      <c r="G323" s="45">
        <v>0</v>
      </c>
      <c r="H323" s="33">
        <f t="shared" si="121"/>
        <v>651</v>
      </c>
      <c r="I323" s="169">
        <f>I308</f>
        <v>0.4</v>
      </c>
      <c r="J323" s="274">
        <f t="shared" si="119"/>
        <v>390.59999999999997</v>
      </c>
      <c r="K323" s="169">
        <f>K308</f>
        <v>0</v>
      </c>
      <c r="L323" s="128">
        <f t="shared" si="120"/>
        <v>0</v>
      </c>
    </row>
    <row r="324" spans="2:12" ht="15" customHeight="1" x14ac:dyDescent="0.35">
      <c r="C324" s="26" t="s">
        <v>449</v>
      </c>
      <c r="F324" s="33">
        <v>519</v>
      </c>
      <c r="G324" s="45">
        <v>0</v>
      </c>
      <c r="H324" s="33">
        <f t="shared" si="121"/>
        <v>519</v>
      </c>
      <c r="I324" s="169">
        <f>I309</f>
        <v>0</v>
      </c>
      <c r="J324" s="274">
        <f t="shared" ref="J324" si="122">H324*(1-I324)</f>
        <v>519</v>
      </c>
      <c r="K324" s="169">
        <f>K309</f>
        <v>0</v>
      </c>
      <c r="L324" s="128">
        <f t="shared" ref="L324" si="123">J324*K324</f>
        <v>0</v>
      </c>
    </row>
    <row r="325" spans="2:12" ht="15" customHeight="1" x14ac:dyDescent="0.35">
      <c r="C325" s="26" t="s">
        <v>446</v>
      </c>
      <c r="F325" s="33">
        <v>666</v>
      </c>
      <c r="G325" s="45">
        <v>0</v>
      </c>
      <c r="H325" s="33">
        <f t="shared" si="121"/>
        <v>666</v>
      </c>
      <c r="I325" s="169">
        <f t="shared" ref="I325:I332" si="124">I310</f>
        <v>0</v>
      </c>
      <c r="J325" s="274">
        <f t="shared" si="119"/>
        <v>666</v>
      </c>
      <c r="K325" s="169">
        <f t="shared" ref="K325:K332" si="125">K310</f>
        <v>0</v>
      </c>
      <c r="L325" s="128">
        <f t="shared" si="120"/>
        <v>0</v>
      </c>
    </row>
    <row r="326" spans="2:12" ht="15" customHeight="1" x14ac:dyDescent="0.35">
      <c r="C326" s="26" t="s">
        <v>450</v>
      </c>
      <c r="F326" s="33">
        <v>0</v>
      </c>
      <c r="G326" s="45">
        <v>0</v>
      </c>
      <c r="H326" s="33">
        <f t="shared" si="121"/>
        <v>0</v>
      </c>
      <c r="I326" s="169">
        <f t="shared" si="124"/>
        <v>0</v>
      </c>
      <c r="J326" s="274">
        <f t="shared" si="119"/>
        <v>0</v>
      </c>
      <c r="K326" s="169">
        <f t="shared" si="125"/>
        <v>0</v>
      </c>
      <c r="L326" s="128">
        <f t="shared" si="120"/>
        <v>0</v>
      </c>
    </row>
    <row r="327" spans="2:12" ht="15" customHeight="1" x14ac:dyDescent="0.35">
      <c r="C327" s="26" t="s">
        <v>447</v>
      </c>
      <c r="F327" s="33">
        <v>720</v>
      </c>
      <c r="G327" s="45">
        <v>0</v>
      </c>
      <c r="H327" s="33">
        <f t="shared" si="121"/>
        <v>720</v>
      </c>
      <c r="I327" s="169">
        <f t="shared" si="124"/>
        <v>0</v>
      </c>
      <c r="J327" s="274">
        <f t="shared" si="119"/>
        <v>720</v>
      </c>
      <c r="K327" s="169">
        <f t="shared" si="125"/>
        <v>0</v>
      </c>
      <c r="L327" s="128">
        <f t="shared" si="120"/>
        <v>0</v>
      </c>
    </row>
    <row r="328" spans="2:12" ht="15" customHeight="1" x14ac:dyDescent="0.35">
      <c r="C328" s="26" t="s">
        <v>447</v>
      </c>
      <c r="F328" s="33">
        <v>641</v>
      </c>
      <c r="G328" s="45">
        <v>0</v>
      </c>
      <c r="H328" s="33">
        <f t="shared" si="121"/>
        <v>641</v>
      </c>
      <c r="I328" s="169">
        <f t="shared" si="124"/>
        <v>0</v>
      </c>
      <c r="J328" s="274">
        <f t="shared" si="119"/>
        <v>641</v>
      </c>
      <c r="K328" s="169">
        <f t="shared" si="125"/>
        <v>0.47</v>
      </c>
      <c r="L328" s="128">
        <f t="shared" si="120"/>
        <v>301.27</v>
      </c>
    </row>
    <row r="329" spans="2:12" ht="15" customHeight="1" x14ac:dyDescent="0.35">
      <c r="C329" s="26" t="s">
        <v>447</v>
      </c>
      <c r="F329" s="33">
        <v>500</v>
      </c>
      <c r="G329" s="45">
        <v>0</v>
      </c>
      <c r="H329" s="33">
        <f t="shared" si="121"/>
        <v>500</v>
      </c>
      <c r="I329" s="169">
        <f t="shared" si="124"/>
        <v>0</v>
      </c>
      <c r="J329" s="274">
        <f t="shared" si="119"/>
        <v>500</v>
      </c>
      <c r="K329" s="169">
        <f t="shared" si="125"/>
        <v>0.47</v>
      </c>
      <c r="L329" s="128">
        <f t="shared" si="120"/>
        <v>235</v>
      </c>
    </row>
    <row r="330" spans="2:12" ht="15" customHeight="1" x14ac:dyDescent="0.35">
      <c r="C330" s="26" t="s">
        <v>447</v>
      </c>
      <c r="F330" s="33">
        <v>573</v>
      </c>
      <c r="G330" s="45">
        <v>0</v>
      </c>
      <c r="H330" s="33">
        <f t="shared" si="121"/>
        <v>573</v>
      </c>
      <c r="I330" s="169">
        <f t="shared" si="124"/>
        <v>0</v>
      </c>
      <c r="J330" s="274">
        <f t="shared" si="119"/>
        <v>573</v>
      </c>
      <c r="K330" s="169">
        <f t="shared" si="125"/>
        <v>0</v>
      </c>
      <c r="L330" s="128">
        <f t="shared" si="120"/>
        <v>0</v>
      </c>
    </row>
    <row r="331" spans="2:12" ht="15" customHeight="1" x14ac:dyDescent="0.35">
      <c r="C331" s="26" t="s">
        <v>451</v>
      </c>
      <c r="F331" s="33">
        <v>1059</v>
      </c>
      <c r="G331" s="45">
        <v>0</v>
      </c>
      <c r="H331" s="33">
        <f t="shared" si="121"/>
        <v>1059</v>
      </c>
      <c r="I331" s="169">
        <f t="shared" si="124"/>
        <v>0</v>
      </c>
      <c r="J331" s="274">
        <f t="shared" si="119"/>
        <v>1059</v>
      </c>
      <c r="K331" s="169">
        <f t="shared" si="125"/>
        <v>1.4999999999999999E-2</v>
      </c>
      <c r="L331" s="128">
        <f t="shared" si="120"/>
        <v>15.885</v>
      </c>
    </row>
    <row r="332" spans="2:12" ht="15" customHeight="1" x14ac:dyDescent="0.35">
      <c r="C332" s="26" t="s">
        <v>452</v>
      </c>
      <c r="F332" s="33">
        <v>92</v>
      </c>
      <c r="G332" s="45">
        <v>0</v>
      </c>
      <c r="H332" s="33">
        <f t="shared" si="121"/>
        <v>92</v>
      </c>
      <c r="I332" s="169">
        <f t="shared" si="124"/>
        <v>0</v>
      </c>
      <c r="J332" s="274">
        <f t="shared" si="119"/>
        <v>92</v>
      </c>
      <c r="K332" s="169">
        <f t="shared" si="125"/>
        <v>0</v>
      </c>
      <c r="L332" s="128">
        <f t="shared" si="120"/>
        <v>0</v>
      </c>
    </row>
    <row r="333" spans="2:12" ht="15" customHeight="1" x14ac:dyDescent="0.35">
      <c r="I333" s="33"/>
      <c r="J333" s="33"/>
    </row>
    <row r="334" spans="2:12" ht="15" customHeight="1" x14ac:dyDescent="0.35">
      <c r="B334" s="26" t="s">
        <v>457</v>
      </c>
      <c r="I334" s="33"/>
      <c r="J334" s="33"/>
    </row>
    <row r="335" spans="2:12" ht="15" customHeight="1" x14ac:dyDescent="0.35">
      <c r="C335" s="26" t="s">
        <v>446</v>
      </c>
      <c r="F335" s="33">
        <v>372</v>
      </c>
      <c r="G335" s="33">
        <f>H335-F335</f>
        <v>0</v>
      </c>
      <c r="H335" s="33">
        <f t="shared" ref="H335:H347" si="126">F335*(1+$O$60)</f>
        <v>372</v>
      </c>
      <c r="I335" s="169">
        <f>I290</f>
        <v>0</v>
      </c>
      <c r="J335" s="274">
        <f t="shared" ref="J335:J347" si="127">H335*(1-I335)</f>
        <v>372</v>
      </c>
      <c r="K335" s="169">
        <f>K290</f>
        <v>0.47</v>
      </c>
      <c r="L335" s="128">
        <f t="shared" ref="L335:L347" si="128">J335*K335</f>
        <v>174.84</v>
      </c>
    </row>
    <row r="336" spans="2:12" ht="15" customHeight="1" x14ac:dyDescent="0.35">
      <c r="C336" s="26" t="s">
        <v>447</v>
      </c>
      <c r="F336" s="33">
        <v>372</v>
      </c>
      <c r="G336" s="33">
        <f t="shared" ref="G336:G347" si="129">H336-F336</f>
        <v>0</v>
      </c>
      <c r="H336" s="33">
        <f t="shared" si="126"/>
        <v>372</v>
      </c>
      <c r="I336" s="169">
        <f>I291</f>
        <v>0</v>
      </c>
      <c r="J336" s="274">
        <f t="shared" si="127"/>
        <v>372</v>
      </c>
      <c r="K336" s="169">
        <f>K291</f>
        <v>0.47</v>
      </c>
      <c r="L336" s="128">
        <f t="shared" si="128"/>
        <v>174.84</v>
      </c>
    </row>
    <row r="337" spans="2:12" ht="15" customHeight="1" x14ac:dyDescent="0.35">
      <c r="C337" s="26" t="s">
        <v>447</v>
      </c>
      <c r="F337" s="33">
        <v>372</v>
      </c>
      <c r="G337" s="33">
        <f t="shared" si="129"/>
        <v>0</v>
      </c>
      <c r="H337" s="33">
        <f t="shared" si="126"/>
        <v>372</v>
      </c>
      <c r="I337" s="169">
        <f>I292</f>
        <v>0</v>
      </c>
      <c r="J337" s="274">
        <f t="shared" si="127"/>
        <v>372</v>
      </c>
      <c r="K337" s="169">
        <f>K292</f>
        <v>0.47</v>
      </c>
      <c r="L337" s="128">
        <f t="shared" si="128"/>
        <v>174.84</v>
      </c>
    </row>
    <row r="338" spans="2:12" ht="15" customHeight="1" x14ac:dyDescent="0.35">
      <c r="C338" s="26" t="s">
        <v>449</v>
      </c>
      <c r="F338" s="33">
        <v>372</v>
      </c>
      <c r="G338" s="33">
        <f t="shared" si="129"/>
        <v>0</v>
      </c>
      <c r="H338" s="33">
        <f t="shared" si="126"/>
        <v>372</v>
      </c>
      <c r="I338" s="169">
        <f>I293</f>
        <v>0.4</v>
      </c>
      <c r="J338" s="274">
        <f t="shared" si="127"/>
        <v>223.2</v>
      </c>
      <c r="K338" s="169">
        <f>K293</f>
        <v>0</v>
      </c>
      <c r="L338" s="128">
        <f t="shared" si="128"/>
        <v>0</v>
      </c>
    </row>
    <row r="339" spans="2:12" ht="15" customHeight="1" x14ac:dyDescent="0.35">
      <c r="C339" s="26" t="s">
        <v>449</v>
      </c>
      <c r="F339" s="33">
        <v>372</v>
      </c>
      <c r="G339" s="33">
        <f t="shared" ref="G339" si="130">H339-F339</f>
        <v>0</v>
      </c>
      <c r="H339" s="33">
        <f t="shared" ref="H339" si="131">F339*(1+$O$60)</f>
        <v>372</v>
      </c>
      <c r="I339" s="169">
        <f>I294</f>
        <v>0</v>
      </c>
      <c r="J339" s="274">
        <f t="shared" ref="J339" si="132">H339*(1-I339)</f>
        <v>372</v>
      </c>
      <c r="K339" s="169">
        <f>K294</f>
        <v>0</v>
      </c>
      <c r="L339" s="128">
        <f t="shared" ref="L339" si="133">J339*K339</f>
        <v>0</v>
      </c>
    </row>
    <row r="340" spans="2:12" ht="15" customHeight="1" x14ac:dyDescent="0.35">
      <c r="C340" s="26" t="s">
        <v>446</v>
      </c>
      <c r="F340" s="33">
        <v>372</v>
      </c>
      <c r="G340" s="33">
        <f t="shared" si="129"/>
        <v>0</v>
      </c>
      <c r="H340" s="33">
        <f t="shared" si="126"/>
        <v>372</v>
      </c>
      <c r="I340" s="169">
        <f t="shared" ref="I340:I347" si="134">I295</f>
        <v>0</v>
      </c>
      <c r="J340" s="274">
        <f t="shared" si="127"/>
        <v>372</v>
      </c>
      <c r="K340" s="169">
        <f t="shared" ref="K340:K347" si="135">K295</f>
        <v>0</v>
      </c>
      <c r="L340" s="128">
        <f t="shared" si="128"/>
        <v>0</v>
      </c>
    </row>
    <row r="341" spans="2:12" ht="15" customHeight="1" x14ac:dyDescent="0.35">
      <c r="C341" s="26" t="s">
        <v>450</v>
      </c>
      <c r="F341" s="33">
        <v>0</v>
      </c>
      <c r="G341" s="33">
        <f t="shared" si="129"/>
        <v>0</v>
      </c>
      <c r="H341" s="33">
        <f t="shared" si="126"/>
        <v>0</v>
      </c>
      <c r="I341" s="169">
        <f t="shared" si="134"/>
        <v>0</v>
      </c>
      <c r="J341" s="274">
        <f t="shared" si="127"/>
        <v>0</v>
      </c>
      <c r="K341" s="169">
        <f t="shared" si="135"/>
        <v>0</v>
      </c>
      <c r="L341" s="128">
        <f t="shared" si="128"/>
        <v>0</v>
      </c>
    </row>
    <row r="342" spans="2:12" ht="15" customHeight="1" x14ac:dyDescent="0.35">
      <c r="C342" s="26" t="s">
        <v>447</v>
      </c>
      <c r="F342" s="33">
        <v>372</v>
      </c>
      <c r="G342" s="33">
        <f t="shared" si="129"/>
        <v>0</v>
      </c>
      <c r="H342" s="33">
        <f t="shared" si="126"/>
        <v>372</v>
      </c>
      <c r="I342" s="169">
        <f t="shared" si="134"/>
        <v>0</v>
      </c>
      <c r="J342" s="274">
        <f t="shared" si="127"/>
        <v>372</v>
      </c>
      <c r="K342" s="169">
        <f t="shared" si="135"/>
        <v>0</v>
      </c>
      <c r="L342" s="128">
        <f t="shared" si="128"/>
        <v>0</v>
      </c>
    </row>
    <row r="343" spans="2:12" ht="15" customHeight="1" x14ac:dyDescent="0.35">
      <c r="C343" s="26" t="s">
        <v>447</v>
      </c>
      <c r="F343" s="33">
        <v>372</v>
      </c>
      <c r="G343" s="33">
        <f t="shared" si="129"/>
        <v>0</v>
      </c>
      <c r="H343" s="33">
        <f t="shared" si="126"/>
        <v>372</v>
      </c>
      <c r="I343" s="169">
        <f t="shared" si="134"/>
        <v>0</v>
      </c>
      <c r="J343" s="274">
        <f t="shared" si="127"/>
        <v>372</v>
      </c>
      <c r="K343" s="169">
        <f t="shared" si="135"/>
        <v>0.47</v>
      </c>
      <c r="L343" s="128">
        <f t="shared" si="128"/>
        <v>174.84</v>
      </c>
    </row>
    <row r="344" spans="2:12" ht="15" customHeight="1" x14ac:dyDescent="0.35">
      <c r="C344" s="26" t="s">
        <v>447</v>
      </c>
      <c r="F344" s="33">
        <v>372</v>
      </c>
      <c r="G344" s="33">
        <f t="shared" si="129"/>
        <v>0</v>
      </c>
      <c r="H344" s="33">
        <f t="shared" si="126"/>
        <v>372</v>
      </c>
      <c r="I344" s="169">
        <f t="shared" si="134"/>
        <v>0</v>
      </c>
      <c r="J344" s="274">
        <f t="shared" si="127"/>
        <v>372</v>
      </c>
      <c r="K344" s="169">
        <f t="shared" si="135"/>
        <v>0.47</v>
      </c>
      <c r="L344" s="128">
        <f t="shared" si="128"/>
        <v>174.84</v>
      </c>
    </row>
    <row r="345" spans="2:12" ht="15" customHeight="1" x14ac:dyDescent="0.35">
      <c r="C345" s="26" t="s">
        <v>447</v>
      </c>
      <c r="F345" s="33">
        <v>372</v>
      </c>
      <c r="G345" s="33">
        <f t="shared" si="129"/>
        <v>0</v>
      </c>
      <c r="H345" s="33">
        <f t="shared" si="126"/>
        <v>372</v>
      </c>
      <c r="I345" s="169">
        <f t="shared" si="134"/>
        <v>0</v>
      </c>
      <c r="J345" s="274">
        <f t="shared" si="127"/>
        <v>372</v>
      </c>
      <c r="K345" s="169">
        <f t="shared" si="135"/>
        <v>0</v>
      </c>
      <c r="L345" s="128">
        <f t="shared" si="128"/>
        <v>0</v>
      </c>
    </row>
    <row r="346" spans="2:12" ht="15" customHeight="1" x14ac:dyDescent="0.35">
      <c r="C346" s="26" t="s">
        <v>451</v>
      </c>
      <c r="F346" s="33">
        <v>372</v>
      </c>
      <c r="G346" s="33">
        <f t="shared" si="129"/>
        <v>0</v>
      </c>
      <c r="H346" s="33">
        <f t="shared" si="126"/>
        <v>372</v>
      </c>
      <c r="I346" s="169">
        <f t="shared" si="134"/>
        <v>0</v>
      </c>
      <c r="J346" s="274">
        <f t="shared" si="127"/>
        <v>372</v>
      </c>
      <c r="K346" s="169">
        <f t="shared" si="135"/>
        <v>1.4999999999999999E-2</v>
      </c>
      <c r="L346" s="128">
        <f t="shared" si="128"/>
        <v>5.58</v>
      </c>
    </row>
    <row r="347" spans="2:12" ht="15" customHeight="1" x14ac:dyDescent="0.35">
      <c r="C347" s="26" t="s">
        <v>452</v>
      </c>
      <c r="F347" s="33">
        <v>0</v>
      </c>
      <c r="G347" s="33">
        <f t="shared" si="129"/>
        <v>0</v>
      </c>
      <c r="H347" s="33">
        <f t="shared" si="126"/>
        <v>0</v>
      </c>
      <c r="I347" s="169">
        <f t="shared" si="134"/>
        <v>0</v>
      </c>
      <c r="J347" s="274">
        <f t="shared" si="127"/>
        <v>0</v>
      </c>
      <c r="K347" s="169">
        <f t="shared" si="135"/>
        <v>0</v>
      </c>
      <c r="L347" s="128">
        <f t="shared" si="128"/>
        <v>0</v>
      </c>
    </row>
    <row r="348" spans="2:12" ht="15" customHeight="1" x14ac:dyDescent="0.35">
      <c r="F348" s="33"/>
      <c r="I348" s="33"/>
      <c r="J348" s="33"/>
    </row>
    <row r="349" spans="2:12" ht="15" customHeight="1" x14ac:dyDescent="0.35">
      <c r="B349" s="26" t="s">
        <v>458</v>
      </c>
      <c r="F349" s="33"/>
      <c r="I349" s="33"/>
      <c r="J349" s="33"/>
    </row>
    <row r="350" spans="2:12" ht="15" customHeight="1" x14ac:dyDescent="0.35">
      <c r="C350" s="26" t="s">
        <v>446</v>
      </c>
      <c r="F350" s="33">
        <v>417</v>
      </c>
      <c r="G350" s="33">
        <f>H350-F350</f>
        <v>0</v>
      </c>
      <c r="H350" s="33">
        <f>F350*(1+$O$60)</f>
        <v>417</v>
      </c>
      <c r="I350" s="169">
        <f>I335</f>
        <v>0</v>
      </c>
      <c r="J350" s="274">
        <f t="shared" ref="J350:J362" si="136">H350*(1-I350)</f>
        <v>417</v>
      </c>
      <c r="K350" s="169">
        <f>K335</f>
        <v>0.47</v>
      </c>
      <c r="L350" s="128">
        <f t="shared" ref="L350:L362" si="137">J350*K350</f>
        <v>195.98999999999998</v>
      </c>
    </row>
    <row r="351" spans="2:12" ht="15" customHeight="1" x14ac:dyDescent="0.35">
      <c r="C351" s="26" t="s">
        <v>447</v>
      </c>
      <c r="F351" s="33">
        <v>340</v>
      </c>
      <c r="G351" s="33">
        <f t="shared" ref="G351:G362" si="138">H351-F351</f>
        <v>0</v>
      </c>
      <c r="H351" s="33">
        <f t="shared" ref="H351:H362" si="139">F351*(1+$O$60)</f>
        <v>340</v>
      </c>
      <c r="I351" s="169">
        <f>I336</f>
        <v>0</v>
      </c>
      <c r="J351" s="274">
        <f t="shared" si="136"/>
        <v>340</v>
      </c>
      <c r="K351" s="169">
        <f>K336</f>
        <v>0.47</v>
      </c>
      <c r="L351" s="128">
        <f t="shared" si="137"/>
        <v>159.79999999999998</v>
      </c>
    </row>
    <row r="352" spans="2:12" ht="15" customHeight="1" x14ac:dyDescent="0.35">
      <c r="C352" s="26" t="s">
        <v>447</v>
      </c>
      <c r="F352" s="33">
        <v>425</v>
      </c>
      <c r="G352" s="33">
        <f t="shared" si="138"/>
        <v>0</v>
      </c>
      <c r="H352" s="33">
        <f t="shared" si="139"/>
        <v>425</v>
      </c>
      <c r="I352" s="169">
        <f>I337</f>
        <v>0</v>
      </c>
      <c r="J352" s="274">
        <f t="shared" si="136"/>
        <v>425</v>
      </c>
      <c r="K352" s="169">
        <f>K337</f>
        <v>0.47</v>
      </c>
      <c r="L352" s="128">
        <f t="shared" si="137"/>
        <v>199.75</v>
      </c>
    </row>
    <row r="353" spans="2:12" ht="15" customHeight="1" x14ac:dyDescent="0.35">
      <c r="C353" s="26" t="s">
        <v>449</v>
      </c>
      <c r="F353" s="33">
        <v>410</v>
      </c>
      <c r="G353" s="33">
        <f t="shared" si="138"/>
        <v>0</v>
      </c>
      <c r="H353" s="33">
        <f t="shared" si="139"/>
        <v>410</v>
      </c>
      <c r="I353" s="169">
        <f>I338</f>
        <v>0.4</v>
      </c>
      <c r="J353" s="274">
        <f t="shared" si="136"/>
        <v>246</v>
      </c>
      <c r="K353" s="169">
        <f>K338</f>
        <v>0</v>
      </c>
      <c r="L353" s="128">
        <f t="shared" si="137"/>
        <v>0</v>
      </c>
    </row>
    <row r="354" spans="2:12" ht="15" customHeight="1" x14ac:dyDescent="0.35">
      <c r="C354" s="26" t="s">
        <v>449</v>
      </c>
      <c r="F354" s="33">
        <v>328</v>
      </c>
      <c r="G354" s="33">
        <f t="shared" si="138"/>
        <v>0</v>
      </c>
      <c r="H354" s="33">
        <f t="shared" si="139"/>
        <v>328</v>
      </c>
      <c r="I354" s="169">
        <f>I339</f>
        <v>0</v>
      </c>
      <c r="J354" s="274">
        <f t="shared" ref="J354" si="140">H354*(1-I354)</f>
        <v>328</v>
      </c>
      <c r="K354" s="169">
        <f>K339</f>
        <v>0</v>
      </c>
      <c r="L354" s="128">
        <f t="shared" ref="L354" si="141">J354*K354</f>
        <v>0</v>
      </c>
    </row>
    <row r="355" spans="2:12" ht="15" customHeight="1" x14ac:dyDescent="0.35">
      <c r="C355" s="26" t="s">
        <v>446</v>
      </c>
      <c r="F355" s="33">
        <v>418</v>
      </c>
      <c r="G355" s="33">
        <f t="shared" si="138"/>
        <v>0</v>
      </c>
      <c r="H355" s="33">
        <f t="shared" si="139"/>
        <v>418</v>
      </c>
      <c r="I355" s="169">
        <f t="shared" ref="I355:I362" si="142">I340</f>
        <v>0</v>
      </c>
      <c r="J355" s="274">
        <f t="shared" si="136"/>
        <v>418</v>
      </c>
      <c r="K355" s="169">
        <f t="shared" ref="K355:K362" si="143">K340</f>
        <v>0</v>
      </c>
      <c r="L355" s="128">
        <f t="shared" si="137"/>
        <v>0</v>
      </c>
    </row>
    <row r="356" spans="2:12" ht="15" customHeight="1" x14ac:dyDescent="0.35">
      <c r="C356" s="26" t="s">
        <v>450</v>
      </c>
      <c r="F356" s="33">
        <v>0</v>
      </c>
      <c r="G356" s="33">
        <f t="shared" si="138"/>
        <v>0</v>
      </c>
      <c r="H356" s="33">
        <f t="shared" si="139"/>
        <v>0</v>
      </c>
      <c r="I356" s="169">
        <f t="shared" si="142"/>
        <v>0</v>
      </c>
      <c r="J356" s="274">
        <f t="shared" si="136"/>
        <v>0</v>
      </c>
      <c r="K356" s="169">
        <f t="shared" si="143"/>
        <v>0</v>
      </c>
      <c r="L356" s="128">
        <f t="shared" si="137"/>
        <v>0</v>
      </c>
    </row>
    <row r="357" spans="2:12" ht="15" customHeight="1" x14ac:dyDescent="0.35">
      <c r="C357" s="26" t="s">
        <v>447</v>
      </c>
      <c r="F357" s="33">
        <v>453</v>
      </c>
      <c r="G357" s="33">
        <f t="shared" si="138"/>
        <v>0</v>
      </c>
      <c r="H357" s="33">
        <f t="shared" si="139"/>
        <v>453</v>
      </c>
      <c r="I357" s="169">
        <f t="shared" si="142"/>
        <v>0</v>
      </c>
      <c r="J357" s="274">
        <f t="shared" si="136"/>
        <v>453</v>
      </c>
      <c r="K357" s="169">
        <f t="shared" si="143"/>
        <v>0</v>
      </c>
      <c r="L357" s="128">
        <f t="shared" si="137"/>
        <v>0</v>
      </c>
    </row>
    <row r="358" spans="2:12" ht="15" customHeight="1" x14ac:dyDescent="0.35">
      <c r="C358" s="26" t="s">
        <v>447</v>
      </c>
      <c r="F358" s="33">
        <v>403</v>
      </c>
      <c r="G358" s="33">
        <f t="shared" si="138"/>
        <v>0</v>
      </c>
      <c r="H358" s="33">
        <f t="shared" si="139"/>
        <v>403</v>
      </c>
      <c r="I358" s="169">
        <f t="shared" si="142"/>
        <v>0</v>
      </c>
      <c r="J358" s="274">
        <f t="shared" si="136"/>
        <v>403</v>
      </c>
      <c r="K358" s="169">
        <f t="shared" si="143"/>
        <v>0.47</v>
      </c>
      <c r="L358" s="128">
        <f t="shared" si="137"/>
        <v>189.41</v>
      </c>
    </row>
    <row r="359" spans="2:12" ht="15" customHeight="1" x14ac:dyDescent="0.35">
      <c r="C359" s="26" t="s">
        <v>447</v>
      </c>
      <c r="F359" s="33">
        <v>316</v>
      </c>
      <c r="G359" s="33">
        <f t="shared" si="138"/>
        <v>0</v>
      </c>
      <c r="H359" s="33">
        <f t="shared" si="139"/>
        <v>316</v>
      </c>
      <c r="I359" s="169">
        <f t="shared" si="142"/>
        <v>0</v>
      </c>
      <c r="J359" s="274">
        <f t="shared" si="136"/>
        <v>316</v>
      </c>
      <c r="K359" s="169">
        <f t="shared" si="143"/>
        <v>0.47</v>
      </c>
      <c r="L359" s="128">
        <f t="shared" si="137"/>
        <v>148.51999999999998</v>
      </c>
    </row>
    <row r="360" spans="2:12" ht="15" customHeight="1" x14ac:dyDescent="0.35">
      <c r="C360" s="26" t="s">
        <v>447</v>
      </c>
      <c r="F360" s="33">
        <v>360</v>
      </c>
      <c r="G360" s="33">
        <f t="shared" si="138"/>
        <v>0</v>
      </c>
      <c r="H360" s="33">
        <f t="shared" si="139"/>
        <v>360</v>
      </c>
      <c r="I360" s="169">
        <f t="shared" si="142"/>
        <v>0</v>
      </c>
      <c r="J360" s="274">
        <f t="shared" si="136"/>
        <v>360</v>
      </c>
      <c r="K360" s="169">
        <f t="shared" si="143"/>
        <v>0</v>
      </c>
      <c r="L360" s="128">
        <f t="shared" si="137"/>
        <v>0</v>
      </c>
    </row>
    <row r="361" spans="2:12" ht="15" customHeight="1" x14ac:dyDescent="0.35">
      <c r="C361" s="26" t="s">
        <v>451</v>
      </c>
      <c r="F361" s="33">
        <v>666</v>
      </c>
      <c r="G361" s="33">
        <f t="shared" si="138"/>
        <v>0</v>
      </c>
      <c r="H361" s="33">
        <f t="shared" si="139"/>
        <v>666</v>
      </c>
      <c r="I361" s="169">
        <f t="shared" si="142"/>
        <v>0</v>
      </c>
      <c r="J361" s="274">
        <f t="shared" si="136"/>
        <v>666</v>
      </c>
      <c r="K361" s="169">
        <f t="shared" si="143"/>
        <v>1.4999999999999999E-2</v>
      </c>
      <c r="L361" s="128">
        <f t="shared" si="137"/>
        <v>9.99</v>
      </c>
    </row>
    <row r="362" spans="2:12" ht="15" customHeight="1" x14ac:dyDescent="0.35">
      <c r="C362" s="26" t="s">
        <v>452</v>
      </c>
      <c r="F362" s="33">
        <v>0</v>
      </c>
      <c r="G362" s="33">
        <f t="shared" si="138"/>
        <v>0</v>
      </c>
      <c r="H362" s="33">
        <f t="shared" si="139"/>
        <v>0</v>
      </c>
      <c r="I362" s="169">
        <f t="shared" si="142"/>
        <v>0</v>
      </c>
      <c r="J362" s="274">
        <f t="shared" si="136"/>
        <v>0</v>
      </c>
      <c r="K362" s="169">
        <f t="shared" si="143"/>
        <v>0</v>
      </c>
      <c r="L362" s="128">
        <f t="shared" si="137"/>
        <v>0</v>
      </c>
    </row>
    <row r="363" spans="2:12" ht="15" customHeight="1" x14ac:dyDescent="0.35">
      <c r="F363" s="33"/>
      <c r="I363" s="33"/>
      <c r="J363" s="33"/>
    </row>
    <row r="364" spans="2:12" ht="15" customHeight="1" x14ac:dyDescent="0.35">
      <c r="B364" s="26" t="s">
        <v>982</v>
      </c>
      <c r="F364" s="33"/>
      <c r="I364" s="33"/>
      <c r="J364" s="33"/>
    </row>
    <row r="365" spans="2:12" ht="15" customHeight="1" x14ac:dyDescent="0.35">
      <c r="C365" s="26" t="s">
        <v>446</v>
      </c>
      <c r="F365" s="33">
        <f t="shared" ref="F365:F377" si="144">(F275+F290)*0.0765</f>
        <v>2976.9209999999998</v>
      </c>
      <c r="G365" s="33">
        <f>H365-F365</f>
        <v>89.307630000000245</v>
      </c>
      <c r="H365" s="33">
        <f>F365*(1+$O$86)</f>
        <v>3066.2286300000001</v>
      </c>
      <c r="I365" s="169">
        <f>I350</f>
        <v>0</v>
      </c>
      <c r="J365" s="274">
        <f t="shared" ref="J365:J377" si="145">H365*(1-I365)</f>
        <v>3066.2286300000001</v>
      </c>
      <c r="K365" s="169">
        <f>K350</f>
        <v>0.47</v>
      </c>
      <c r="L365" s="128">
        <f t="shared" ref="L365:L377" si="146">J365*K365</f>
        <v>1441.1274561</v>
      </c>
    </row>
    <row r="366" spans="2:12" ht="15" customHeight="1" x14ac:dyDescent="0.35">
      <c r="C366" s="26" t="s">
        <v>447</v>
      </c>
      <c r="F366" s="33">
        <f t="shared" si="144"/>
        <v>2434.0158000000001</v>
      </c>
      <c r="G366" s="33">
        <f t="shared" ref="G366:G377" si="147">H366-F366</f>
        <v>73.020473999999922</v>
      </c>
      <c r="H366" s="33">
        <f t="shared" ref="H366:H377" si="148">F366*(1+$O$86)</f>
        <v>2507.036274</v>
      </c>
      <c r="I366" s="169">
        <f>I351</f>
        <v>0</v>
      </c>
      <c r="J366" s="274">
        <f t="shared" si="145"/>
        <v>2507.036274</v>
      </c>
      <c r="K366" s="169">
        <f>K351</f>
        <v>0.47</v>
      </c>
      <c r="L366" s="128">
        <f t="shared" si="146"/>
        <v>1178.3070487800001</v>
      </c>
    </row>
    <row r="367" spans="2:12" ht="15" customHeight="1" x14ac:dyDescent="0.35">
      <c r="C367" s="26" t="s">
        <v>447</v>
      </c>
      <c r="F367" s="33">
        <f t="shared" si="144"/>
        <v>3080.1042000000002</v>
      </c>
      <c r="G367" s="33">
        <f t="shared" si="147"/>
        <v>92.403126000000157</v>
      </c>
      <c r="H367" s="33">
        <f t="shared" si="148"/>
        <v>3172.5073260000004</v>
      </c>
      <c r="I367" s="169">
        <f>I352</f>
        <v>0</v>
      </c>
      <c r="J367" s="274">
        <f t="shared" si="145"/>
        <v>3172.5073260000004</v>
      </c>
      <c r="K367" s="169">
        <f>K352</f>
        <v>0.47</v>
      </c>
      <c r="L367" s="128">
        <f t="shared" si="146"/>
        <v>1491.0784432200001</v>
      </c>
    </row>
    <row r="368" spans="2:12" ht="15" customHeight="1" x14ac:dyDescent="0.35">
      <c r="C368" s="26" t="s">
        <v>449</v>
      </c>
      <c r="F368" s="33">
        <f t="shared" si="144"/>
        <v>2939.6960999999997</v>
      </c>
      <c r="G368" s="33">
        <f t="shared" si="147"/>
        <v>88.190883000000213</v>
      </c>
      <c r="H368" s="33">
        <f t="shared" si="148"/>
        <v>3027.8869829999999</v>
      </c>
      <c r="I368" s="169">
        <f>I353</f>
        <v>0.4</v>
      </c>
      <c r="J368" s="274">
        <f t="shared" si="145"/>
        <v>1816.7321897999998</v>
      </c>
      <c r="K368" s="169">
        <f>K353</f>
        <v>0</v>
      </c>
      <c r="L368" s="128">
        <f t="shared" si="146"/>
        <v>0</v>
      </c>
    </row>
    <row r="369" spans="2:12" ht="15" customHeight="1" x14ac:dyDescent="0.35">
      <c r="C369" s="26" t="s">
        <v>449</v>
      </c>
      <c r="F369" s="33">
        <f t="shared" si="144"/>
        <v>2362.9779000000003</v>
      </c>
      <c r="G369" s="33">
        <f t="shared" ref="G369" si="149">H369-F369</f>
        <v>70.889337000000069</v>
      </c>
      <c r="H369" s="33">
        <f t="shared" ref="H369" si="150">F369*(1+$O$86)</f>
        <v>2433.8672370000004</v>
      </c>
      <c r="I369" s="169">
        <f>I354</f>
        <v>0</v>
      </c>
      <c r="J369" s="274">
        <f t="shared" ref="J369" si="151">H369*(1-I369)</f>
        <v>2433.8672370000004</v>
      </c>
      <c r="K369" s="169">
        <f>K354</f>
        <v>0</v>
      </c>
      <c r="L369" s="128">
        <f t="shared" ref="L369" si="152">J369*K369</f>
        <v>0</v>
      </c>
    </row>
    <row r="370" spans="2:12" ht="15" customHeight="1" x14ac:dyDescent="0.35">
      <c r="C370" s="26" t="s">
        <v>446</v>
      </c>
      <c r="F370" s="33">
        <f t="shared" si="144"/>
        <v>2926.2015000000001</v>
      </c>
      <c r="G370" s="33">
        <f t="shared" si="147"/>
        <v>87.786045000000286</v>
      </c>
      <c r="H370" s="33">
        <f t="shared" si="148"/>
        <v>3013.9875450000004</v>
      </c>
      <c r="I370" s="169">
        <f t="shared" ref="I370:I377" si="153">I355</f>
        <v>0</v>
      </c>
      <c r="J370" s="274">
        <f t="shared" si="145"/>
        <v>3013.9875450000004</v>
      </c>
      <c r="K370" s="169">
        <f t="shared" ref="K370:K377" si="154">K355</f>
        <v>0</v>
      </c>
      <c r="L370" s="128">
        <f t="shared" si="146"/>
        <v>0</v>
      </c>
    </row>
    <row r="371" spans="2:12" ht="15" customHeight="1" x14ac:dyDescent="0.35">
      <c r="C371" s="26" t="s">
        <v>450</v>
      </c>
      <c r="F371" s="33">
        <f t="shared" si="144"/>
        <v>0</v>
      </c>
      <c r="G371" s="33">
        <f t="shared" si="147"/>
        <v>0</v>
      </c>
      <c r="H371" s="33">
        <f t="shared" si="148"/>
        <v>0</v>
      </c>
      <c r="I371" s="169">
        <f t="shared" si="153"/>
        <v>0</v>
      </c>
      <c r="J371" s="274">
        <f t="shared" si="145"/>
        <v>0</v>
      </c>
      <c r="K371" s="169">
        <f t="shared" si="154"/>
        <v>0</v>
      </c>
      <c r="L371" s="128">
        <f t="shared" si="146"/>
        <v>0</v>
      </c>
    </row>
    <row r="372" spans="2:12" ht="15" customHeight="1" x14ac:dyDescent="0.35">
      <c r="C372" s="26" t="s">
        <v>447</v>
      </c>
      <c r="F372" s="33">
        <f t="shared" si="144"/>
        <v>3332.1104999999998</v>
      </c>
      <c r="G372" s="33">
        <f t="shared" si="147"/>
        <v>99.963314999999966</v>
      </c>
      <c r="H372" s="33">
        <f t="shared" si="148"/>
        <v>3432.0738149999997</v>
      </c>
      <c r="I372" s="169">
        <f t="shared" si="153"/>
        <v>0</v>
      </c>
      <c r="J372" s="274">
        <f t="shared" si="145"/>
        <v>3432.0738149999997</v>
      </c>
      <c r="K372" s="169">
        <f t="shared" si="154"/>
        <v>0</v>
      </c>
      <c r="L372" s="128">
        <f t="shared" si="146"/>
        <v>0</v>
      </c>
    </row>
    <row r="373" spans="2:12" ht="15" customHeight="1" x14ac:dyDescent="0.35">
      <c r="C373" s="26" t="s">
        <v>447</v>
      </c>
      <c r="F373" s="33">
        <f t="shared" si="144"/>
        <v>2887.3089</v>
      </c>
      <c r="G373" s="33">
        <f t="shared" si="147"/>
        <v>86.619267000000036</v>
      </c>
      <c r="H373" s="33">
        <f t="shared" si="148"/>
        <v>2973.928167</v>
      </c>
      <c r="I373" s="169">
        <f t="shared" si="153"/>
        <v>0</v>
      </c>
      <c r="J373" s="274">
        <f t="shared" si="145"/>
        <v>2973.928167</v>
      </c>
      <c r="K373" s="169">
        <f t="shared" si="154"/>
        <v>0.47</v>
      </c>
      <c r="L373" s="128">
        <f t="shared" si="146"/>
        <v>1397.74623849</v>
      </c>
    </row>
    <row r="374" spans="2:12" ht="15" customHeight="1" x14ac:dyDescent="0.35">
      <c r="C374" s="26" t="s">
        <v>447</v>
      </c>
      <c r="F374" s="33">
        <f t="shared" si="144"/>
        <v>2271.6215999999999</v>
      </c>
      <c r="G374" s="33">
        <f t="shared" si="147"/>
        <v>68.148647999999866</v>
      </c>
      <c r="H374" s="33">
        <f t="shared" si="148"/>
        <v>2339.7702479999998</v>
      </c>
      <c r="I374" s="169">
        <f t="shared" si="153"/>
        <v>0</v>
      </c>
      <c r="J374" s="274">
        <f t="shared" si="145"/>
        <v>2339.7702479999998</v>
      </c>
      <c r="K374" s="169">
        <f t="shared" si="154"/>
        <v>0.47</v>
      </c>
      <c r="L374" s="128">
        <f t="shared" si="146"/>
        <v>1099.69201656</v>
      </c>
    </row>
    <row r="375" spans="2:12" ht="15" customHeight="1" x14ac:dyDescent="0.35">
      <c r="C375" s="26" t="s">
        <v>447</v>
      </c>
      <c r="F375" s="33">
        <f t="shared" si="144"/>
        <v>2599.7453999999998</v>
      </c>
      <c r="G375" s="33">
        <f t="shared" si="147"/>
        <v>77.992361999999957</v>
      </c>
      <c r="H375" s="33">
        <f t="shared" si="148"/>
        <v>2677.7377619999997</v>
      </c>
      <c r="I375" s="169">
        <f t="shared" si="153"/>
        <v>0</v>
      </c>
      <c r="J375" s="274">
        <f t="shared" si="145"/>
        <v>2677.7377619999997</v>
      </c>
      <c r="K375" s="169">
        <f t="shared" si="154"/>
        <v>0</v>
      </c>
      <c r="L375" s="128">
        <f t="shared" si="146"/>
        <v>0</v>
      </c>
    </row>
    <row r="376" spans="2:12" ht="15" customHeight="1" x14ac:dyDescent="0.35">
      <c r="C376" s="26" t="s">
        <v>451</v>
      </c>
      <c r="F376" s="33">
        <f t="shared" si="144"/>
        <v>4517.4168</v>
      </c>
      <c r="G376" s="33">
        <f t="shared" si="147"/>
        <v>135.52250400000048</v>
      </c>
      <c r="H376" s="33">
        <f t="shared" si="148"/>
        <v>4652.9393040000004</v>
      </c>
      <c r="I376" s="169">
        <f t="shared" si="153"/>
        <v>0</v>
      </c>
      <c r="J376" s="274">
        <f t="shared" si="145"/>
        <v>4652.9393040000004</v>
      </c>
      <c r="K376" s="169">
        <f t="shared" si="154"/>
        <v>1.4999999999999999E-2</v>
      </c>
      <c r="L376" s="128">
        <f t="shared" si="146"/>
        <v>69.794089560000003</v>
      </c>
    </row>
    <row r="377" spans="2:12" ht="15" customHeight="1" x14ac:dyDescent="0.35">
      <c r="C377" s="26" t="s">
        <v>452</v>
      </c>
      <c r="F377" s="33">
        <f t="shared" si="144"/>
        <v>378.75149999999996</v>
      </c>
      <c r="G377" s="33">
        <f t="shared" si="147"/>
        <v>11.362545000000011</v>
      </c>
      <c r="H377" s="33">
        <f t="shared" si="148"/>
        <v>390.11404499999998</v>
      </c>
      <c r="I377" s="169">
        <f t="shared" si="153"/>
        <v>0</v>
      </c>
      <c r="J377" s="274">
        <f t="shared" si="145"/>
        <v>390.11404499999998</v>
      </c>
      <c r="K377" s="169">
        <f t="shared" si="154"/>
        <v>0</v>
      </c>
      <c r="L377" s="128">
        <f t="shared" si="146"/>
        <v>0</v>
      </c>
    </row>
    <row r="378" spans="2:12" ht="15" customHeight="1" x14ac:dyDescent="0.35">
      <c r="F378" s="33"/>
      <c r="I378" s="33"/>
      <c r="J378" s="33"/>
    </row>
    <row r="379" spans="2:12" ht="15" customHeight="1" x14ac:dyDescent="0.35">
      <c r="B379" s="26" t="s">
        <v>459</v>
      </c>
      <c r="F379" s="33"/>
      <c r="I379" s="33"/>
      <c r="J379" s="33"/>
    </row>
    <row r="380" spans="2:12" ht="15" customHeight="1" x14ac:dyDescent="0.35">
      <c r="C380" s="26" t="s">
        <v>446</v>
      </c>
      <c r="F380" s="33">
        <f>(F275+F290)*0.1955</f>
        <v>7607.6869999999999</v>
      </c>
      <c r="G380" s="33">
        <f>H380-F380</f>
        <v>121.72299199999998</v>
      </c>
      <c r="H380" s="33">
        <f>F380*(1+$O$99)</f>
        <v>7729.4099919999999</v>
      </c>
      <c r="I380" s="169">
        <f>I365</f>
        <v>0</v>
      </c>
      <c r="J380" s="274">
        <f t="shared" ref="J380:J392" si="155">H380*(1-I380)</f>
        <v>7729.4099919999999</v>
      </c>
      <c r="K380" s="169">
        <f>K365</f>
        <v>0.47</v>
      </c>
      <c r="L380" s="128">
        <f t="shared" ref="L380:L392" si="156">J380*K380</f>
        <v>3632.8226962399999</v>
      </c>
    </row>
    <row r="381" spans="2:12" ht="15" customHeight="1" x14ac:dyDescent="0.35">
      <c r="C381" s="26" t="s">
        <v>447</v>
      </c>
      <c r="F381" s="33">
        <f t="shared" ref="F381:F392" si="157">(F276+F291)*0.1955</f>
        <v>6220.2626</v>
      </c>
      <c r="G381" s="33">
        <f t="shared" ref="G381:G392" si="158">H381-F381</f>
        <v>99.524201600000197</v>
      </c>
      <c r="H381" s="33">
        <f t="shared" ref="H381:H392" si="159">F381*(1+$O$99)</f>
        <v>6319.7868016000002</v>
      </c>
      <c r="I381" s="169">
        <f>I366</f>
        <v>0</v>
      </c>
      <c r="J381" s="274">
        <f t="shared" si="155"/>
        <v>6319.7868016000002</v>
      </c>
      <c r="K381" s="169">
        <f>K366</f>
        <v>0.47</v>
      </c>
      <c r="L381" s="128">
        <f t="shared" si="156"/>
        <v>2970.299796752</v>
      </c>
    </row>
    <row r="382" spans="2:12" ht="15" customHeight="1" x14ac:dyDescent="0.35">
      <c r="C382" s="26" t="s">
        <v>447</v>
      </c>
      <c r="F382" s="33">
        <f t="shared" si="157"/>
        <v>7871.3774000000012</v>
      </c>
      <c r="G382" s="33">
        <f t="shared" si="158"/>
        <v>125.94203840000046</v>
      </c>
      <c r="H382" s="33">
        <f t="shared" si="159"/>
        <v>7997.3194384000017</v>
      </c>
      <c r="I382" s="169">
        <f>I367</f>
        <v>0</v>
      </c>
      <c r="J382" s="274">
        <f t="shared" si="155"/>
        <v>7997.3194384000017</v>
      </c>
      <c r="K382" s="169">
        <f>K367</f>
        <v>0.47</v>
      </c>
      <c r="L382" s="128">
        <f t="shared" si="156"/>
        <v>3758.7401360480007</v>
      </c>
    </row>
    <row r="383" spans="2:12" ht="15" customHeight="1" x14ac:dyDescent="0.35">
      <c r="C383" s="26" t="s">
        <v>449</v>
      </c>
      <c r="F383" s="33">
        <f t="shared" si="157"/>
        <v>7512.5566999999992</v>
      </c>
      <c r="G383" s="33">
        <f t="shared" si="158"/>
        <v>120.20090720000007</v>
      </c>
      <c r="H383" s="33">
        <f t="shared" si="159"/>
        <v>7632.7576071999993</v>
      </c>
      <c r="I383" s="169">
        <f>I368</f>
        <v>0.4</v>
      </c>
      <c r="J383" s="274">
        <f t="shared" si="155"/>
        <v>4579.6545643199997</v>
      </c>
      <c r="K383" s="169">
        <f>K368</f>
        <v>0</v>
      </c>
      <c r="L383" s="128">
        <f t="shared" si="156"/>
        <v>0</v>
      </c>
    </row>
    <row r="384" spans="2:12" ht="15" customHeight="1" x14ac:dyDescent="0.35">
      <c r="C384" s="26" t="s">
        <v>449</v>
      </c>
      <c r="F384" s="33">
        <f t="shared" si="157"/>
        <v>6038.7213000000011</v>
      </c>
      <c r="G384" s="33">
        <f t="shared" ref="G384" si="160">H384-F384</f>
        <v>96.619540800000323</v>
      </c>
      <c r="H384" s="33">
        <f t="shared" ref="H384" si="161">F384*(1+$O$99)</f>
        <v>6135.3408408000014</v>
      </c>
      <c r="I384" s="169">
        <f>I369</f>
        <v>0</v>
      </c>
      <c r="J384" s="274">
        <f t="shared" ref="J384" si="162">H384*(1-I384)</f>
        <v>6135.3408408000014</v>
      </c>
      <c r="K384" s="169">
        <f>K369</f>
        <v>0</v>
      </c>
      <c r="L384" s="128">
        <f t="shared" ref="L384" si="163">J384*K384</f>
        <v>0</v>
      </c>
    </row>
    <row r="385" spans="1:12" ht="15" customHeight="1" x14ac:dyDescent="0.35">
      <c r="C385" s="26" t="s">
        <v>446</v>
      </c>
      <c r="F385" s="33">
        <f t="shared" si="157"/>
        <v>7478.0705000000007</v>
      </c>
      <c r="G385" s="33">
        <f t="shared" si="158"/>
        <v>119.64912800000002</v>
      </c>
      <c r="H385" s="33">
        <f t="shared" si="159"/>
        <v>7597.7196280000007</v>
      </c>
      <c r="I385" s="169">
        <f t="shared" ref="I385:I392" si="164">I370</f>
        <v>0</v>
      </c>
      <c r="J385" s="274">
        <f t="shared" si="155"/>
        <v>7597.7196280000007</v>
      </c>
      <c r="K385" s="169">
        <f t="shared" ref="K385:K392" si="165">K370</f>
        <v>0</v>
      </c>
      <c r="L385" s="128">
        <f t="shared" si="156"/>
        <v>0</v>
      </c>
    </row>
    <row r="386" spans="1:12" ht="15" customHeight="1" x14ac:dyDescent="0.35">
      <c r="C386" s="26" t="s">
        <v>450</v>
      </c>
      <c r="F386" s="33">
        <f t="shared" si="157"/>
        <v>0</v>
      </c>
      <c r="G386" s="33">
        <f t="shared" si="158"/>
        <v>0</v>
      </c>
      <c r="H386" s="33">
        <f t="shared" si="159"/>
        <v>0</v>
      </c>
      <c r="I386" s="169">
        <f t="shared" si="164"/>
        <v>0</v>
      </c>
      <c r="J386" s="274">
        <f t="shared" si="155"/>
        <v>0</v>
      </c>
      <c r="K386" s="169">
        <f t="shared" si="165"/>
        <v>0</v>
      </c>
      <c r="L386" s="128">
        <f t="shared" si="156"/>
        <v>0</v>
      </c>
    </row>
    <row r="387" spans="1:12" ht="15" customHeight="1" x14ac:dyDescent="0.35">
      <c r="C387" s="26" t="s">
        <v>447</v>
      </c>
      <c r="F387" s="33">
        <f t="shared" si="157"/>
        <v>8515.3935000000001</v>
      </c>
      <c r="G387" s="33">
        <f t="shared" si="158"/>
        <v>136.24629599999935</v>
      </c>
      <c r="H387" s="33">
        <f t="shared" si="159"/>
        <v>8651.6397959999995</v>
      </c>
      <c r="I387" s="169">
        <f t="shared" si="164"/>
        <v>0</v>
      </c>
      <c r="J387" s="274">
        <f t="shared" si="155"/>
        <v>8651.6397959999995</v>
      </c>
      <c r="K387" s="169">
        <f t="shared" si="165"/>
        <v>0</v>
      </c>
      <c r="L387" s="128">
        <f t="shared" si="156"/>
        <v>0</v>
      </c>
    </row>
    <row r="388" spans="1:12" ht="15" customHeight="1" x14ac:dyDescent="0.35">
      <c r="C388" s="26" t="s">
        <v>447</v>
      </c>
      <c r="F388" s="33">
        <f t="shared" si="157"/>
        <v>7378.6782999999996</v>
      </c>
      <c r="G388" s="33">
        <f t="shared" si="158"/>
        <v>118.05885279999984</v>
      </c>
      <c r="H388" s="33">
        <f t="shared" si="159"/>
        <v>7496.7371527999994</v>
      </c>
      <c r="I388" s="169">
        <f t="shared" si="164"/>
        <v>0</v>
      </c>
      <c r="J388" s="274">
        <f t="shared" si="155"/>
        <v>7496.7371527999994</v>
      </c>
      <c r="K388" s="169">
        <f t="shared" si="165"/>
        <v>0.47</v>
      </c>
      <c r="L388" s="128">
        <f t="shared" si="156"/>
        <v>3523.4664618159995</v>
      </c>
    </row>
    <row r="389" spans="1:12" ht="15" customHeight="1" x14ac:dyDescent="0.35">
      <c r="C389" s="26" t="s">
        <v>447</v>
      </c>
      <c r="F389" s="33">
        <f t="shared" si="157"/>
        <v>5805.2552000000005</v>
      </c>
      <c r="G389" s="33">
        <f t="shared" si="158"/>
        <v>92.884083200000532</v>
      </c>
      <c r="H389" s="33">
        <f t="shared" si="159"/>
        <v>5898.139283200001</v>
      </c>
      <c r="I389" s="169">
        <f t="shared" si="164"/>
        <v>0</v>
      </c>
      <c r="J389" s="274">
        <f t="shared" si="155"/>
        <v>5898.139283200001</v>
      </c>
      <c r="K389" s="169">
        <f t="shared" si="165"/>
        <v>0.47</v>
      </c>
      <c r="L389" s="128">
        <f t="shared" si="156"/>
        <v>2772.1254631040001</v>
      </c>
    </row>
    <row r="390" spans="1:12" ht="15" customHeight="1" x14ac:dyDescent="0.35">
      <c r="C390" s="26" t="s">
        <v>447</v>
      </c>
      <c r="F390" s="33">
        <f t="shared" si="157"/>
        <v>6643.7938000000004</v>
      </c>
      <c r="G390" s="33">
        <f t="shared" si="158"/>
        <v>106.30070080000041</v>
      </c>
      <c r="H390" s="33">
        <f t="shared" si="159"/>
        <v>6750.0945008000008</v>
      </c>
      <c r="I390" s="169">
        <f t="shared" si="164"/>
        <v>0</v>
      </c>
      <c r="J390" s="274">
        <f t="shared" si="155"/>
        <v>6750.0945008000008</v>
      </c>
      <c r="K390" s="169">
        <f t="shared" si="165"/>
        <v>0</v>
      </c>
      <c r="L390" s="128">
        <f t="shared" si="156"/>
        <v>0</v>
      </c>
    </row>
    <row r="391" spans="1:12" ht="15" customHeight="1" x14ac:dyDescent="0.35">
      <c r="C391" s="26" t="s">
        <v>451</v>
      </c>
      <c r="F391" s="33">
        <f t="shared" si="157"/>
        <v>11544.509599999999</v>
      </c>
      <c r="G391" s="33">
        <f t="shared" si="158"/>
        <v>184.71215359999951</v>
      </c>
      <c r="H391" s="33">
        <f t="shared" si="159"/>
        <v>11729.221753599999</v>
      </c>
      <c r="I391" s="169">
        <f t="shared" si="164"/>
        <v>0</v>
      </c>
      <c r="J391" s="274">
        <f t="shared" si="155"/>
        <v>11729.221753599999</v>
      </c>
      <c r="K391" s="169">
        <f t="shared" si="165"/>
        <v>1.4999999999999999E-2</v>
      </c>
      <c r="L391" s="128">
        <f t="shared" si="156"/>
        <v>175.93832630399999</v>
      </c>
    </row>
    <row r="392" spans="1:12" ht="15" customHeight="1" x14ac:dyDescent="0.35">
      <c r="C392" s="26" t="s">
        <v>452</v>
      </c>
      <c r="F392" s="33">
        <f t="shared" si="157"/>
        <v>967.92050000000006</v>
      </c>
      <c r="G392" s="33">
        <f t="shared" si="158"/>
        <v>15.486727999999971</v>
      </c>
      <c r="H392" s="33">
        <f t="shared" si="159"/>
        <v>983.40722800000003</v>
      </c>
      <c r="I392" s="169">
        <f t="shared" si="164"/>
        <v>0</v>
      </c>
      <c r="J392" s="274">
        <f t="shared" si="155"/>
        <v>983.40722800000003</v>
      </c>
      <c r="K392" s="169">
        <f t="shared" si="165"/>
        <v>0</v>
      </c>
      <c r="L392" s="128">
        <f t="shared" si="156"/>
        <v>0</v>
      </c>
    </row>
    <row r="393" spans="1:12" ht="15" customHeight="1" x14ac:dyDescent="0.35">
      <c r="I393" s="33"/>
      <c r="J393" s="33"/>
    </row>
    <row r="394" spans="1:12" s="25" customFormat="1" ht="15" customHeight="1" x14ac:dyDescent="0.3">
      <c r="A394" s="25" t="s">
        <v>467</v>
      </c>
      <c r="F394" s="36">
        <f>SUM(F275:F393)</f>
        <v>631638.89759999991</v>
      </c>
      <c r="G394" s="36">
        <f t="shared" ref="G394:L394" si="166">SUM(G275:G393)</f>
        <v>15144.777758400005</v>
      </c>
      <c r="H394" s="36">
        <f t="shared" si="166"/>
        <v>646783.67535839998</v>
      </c>
      <c r="I394" s="36"/>
      <c r="J394" s="36">
        <f t="shared" si="166"/>
        <v>623500.12872232008</v>
      </c>
      <c r="L394" s="36">
        <f t="shared" si="166"/>
        <v>129472.90631297402</v>
      </c>
    </row>
    <row r="395" spans="1:12" ht="15" customHeight="1" x14ac:dyDescent="0.35">
      <c r="G395" s="174">
        <f>G394*L395</f>
        <v>3144.8885116708757</v>
      </c>
      <c r="H395" s="33"/>
      <c r="I395" s="33"/>
      <c r="J395" s="33"/>
      <c r="L395" s="168">
        <f>L394/J394</f>
        <v>0.20765497928330925</v>
      </c>
    </row>
    <row r="396" spans="1:12" ht="15" customHeight="1" x14ac:dyDescent="0.35">
      <c r="G396" s="284" t="s">
        <v>476</v>
      </c>
      <c r="I396" s="33"/>
      <c r="J396" s="33"/>
    </row>
    <row r="397" spans="1:12" ht="15" customHeight="1" x14ac:dyDescent="0.35">
      <c r="G397" s="284"/>
      <c r="I397" s="33"/>
      <c r="J397" s="33"/>
    </row>
    <row r="398" spans="1:12" s="122" customFormat="1" ht="4.9000000000000004" customHeight="1" x14ac:dyDescent="0.35">
      <c r="I398" s="277"/>
      <c r="J398" s="277"/>
    </row>
    <row r="399" spans="1:12" ht="15" customHeight="1" x14ac:dyDescent="0.35">
      <c r="A399" s="25" t="s">
        <v>4</v>
      </c>
      <c r="B399" s="25"/>
    </row>
    <row r="400" spans="1:12" ht="15" customHeight="1" x14ac:dyDescent="0.35">
      <c r="A400" s="25" t="s">
        <v>109</v>
      </c>
      <c r="B400" s="25"/>
    </row>
    <row r="401" spans="1:12" ht="15" customHeight="1" x14ac:dyDescent="0.35">
      <c r="A401" s="25" t="s">
        <v>468</v>
      </c>
      <c r="B401" s="25"/>
      <c r="H401" s="50"/>
      <c r="I401" s="50"/>
      <c r="J401" s="50"/>
      <c r="L401" s="50" t="s">
        <v>1661</v>
      </c>
    </row>
    <row r="402" spans="1:12" ht="15" customHeight="1" x14ac:dyDescent="0.35"/>
    <row r="403" spans="1:12" ht="41.65" customHeight="1" x14ac:dyDescent="0.35">
      <c r="F403" s="46">
        <v>2012</v>
      </c>
      <c r="G403" s="27"/>
      <c r="H403" s="27"/>
      <c r="I403" s="27"/>
      <c r="J403" s="27"/>
      <c r="K403" s="269" t="s">
        <v>453</v>
      </c>
      <c r="L403" s="270"/>
    </row>
    <row r="404" spans="1:12" ht="38.65" customHeight="1" x14ac:dyDescent="0.35">
      <c r="B404" s="273"/>
      <c r="C404" s="268"/>
      <c r="D404" s="267" t="s">
        <v>440</v>
      </c>
      <c r="E404" s="266" t="s">
        <v>441</v>
      </c>
      <c r="F404" s="245" t="s">
        <v>112</v>
      </c>
      <c r="G404" s="245" t="s">
        <v>36</v>
      </c>
      <c r="H404" s="271" t="s">
        <v>37</v>
      </c>
      <c r="I404" s="271" t="s">
        <v>460</v>
      </c>
      <c r="J404" s="271" t="s">
        <v>461</v>
      </c>
      <c r="K404" s="272" t="s">
        <v>454</v>
      </c>
      <c r="L404" s="272" t="s">
        <v>455</v>
      </c>
    </row>
    <row r="405" spans="1:12" ht="15" customHeight="1" x14ac:dyDescent="0.35">
      <c r="B405" s="26" t="s">
        <v>340</v>
      </c>
      <c r="I405" s="33"/>
      <c r="J405" s="33"/>
    </row>
    <row r="406" spans="1:12" ht="15" customHeight="1" x14ac:dyDescent="0.35">
      <c r="C406" s="26" t="s">
        <v>475</v>
      </c>
      <c r="D406" s="117"/>
      <c r="E406" s="52"/>
      <c r="F406" s="352">
        <v>27512</v>
      </c>
      <c r="G406" s="33">
        <f>H406-F406</f>
        <v>77</v>
      </c>
      <c r="H406" s="352">
        <v>27589</v>
      </c>
      <c r="I406" s="258">
        <v>0</v>
      </c>
      <c r="J406" s="274">
        <f>H406*(1-I406)</f>
        <v>27589</v>
      </c>
      <c r="K406" s="258">
        <v>0.30199999999999999</v>
      </c>
      <c r="L406" s="128">
        <f>J406*K406</f>
        <v>8331.8780000000006</v>
      </c>
    </row>
    <row r="407" spans="1:12" ht="15" customHeight="1" x14ac:dyDescent="0.35">
      <c r="I407" s="33"/>
      <c r="J407" s="33"/>
    </row>
    <row r="408" spans="1:12" x14ac:dyDescent="0.35">
      <c r="I408" s="33"/>
      <c r="J408" s="33"/>
    </row>
    <row r="409" spans="1:12" s="25" customFormat="1" ht="15" x14ac:dyDescent="0.3">
      <c r="A409" s="25" t="s">
        <v>469</v>
      </c>
      <c r="F409" s="36">
        <f>SUM(F406:F408)</f>
        <v>27512</v>
      </c>
      <c r="G409" s="36">
        <f>SUM(G406:G408)</f>
        <v>77</v>
      </c>
      <c r="H409" s="36">
        <f>SUM(H406:H408)</f>
        <v>27589</v>
      </c>
      <c r="I409" s="36"/>
      <c r="J409" s="36">
        <f>SUM(J406:J408)</f>
        <v>27589</v>
      </c>
      <c r="L409" s="36">
        <f>SUM(L406:L408)</f>
        <v>8331.8780000000006</v>
      </c>
    </row>
    <row r="410" spans="1:12" x14ac:dyDescent="0.35">
      <c r="G410" s="174">
        <f>G409*L410</f>
        <v>23.254000000000005</v>
      </c>
      <c r="H410" s="33"/>
      <c r="I410" s="33"/>
      <c r="J410" s="33"/>
      <c r="L410" s="168">
        <f>L409/J409</f>
        <v>0.30200000000000005</v>
      </c>
    </row>
    <row r="411" spans="1:12" x14ac:dyDescent="0.35">
      <c r="G411" s="284" t="s">
        <v>476</v>
      </c>
      <c r="I411" s="33"/>
      <c r="J411" s="33"/>
    </row>
    <row r="412" spans="1:12" x14ac:dyDescent="0.35">
      <c r="G412" s="284"/>
      <c r="I412" s="33"/>
      <c r="J412" s="33"/>
    </row>
    <row r="413" spans="1:12" s="122" customFormat="1" ht="6" customHeight="1" x14ac:dyDescent="0.35">
      <c r="I413" s="277"/>
      <c r="J413" s="277"/>
    </row>
    <row r="414" spans="1:12" ht="15" customHeight="1" x14ac:dyDescent="0.35">
      <c r="A414" s="25" t="s">
        <v>4</v>
      </c>
      <c r="B414" s="25"/>
    </row>
    <row r="415" spans="1:12" ht="15" customHeight="1" x14ac:dyDescent="0.35">
      <c r="A415" s="25" t="s">
        <v>109</v>
      </c>
      <c r="B415" s="25"/>
    </row>
    <row r="416" spans="1:12" ht="15" customHeight="1" x14ac:dyDescent="0.35">
      <c r="A416" s="25" t="s">
        <v>1038</v>
      </c>
      <c r="B416" s="25"/>
      <c r="H416" s="50"/>
      <c r="I416" s="50"/>
      <c r="J416" s="50"/>
      <c r="L416" s="50" t="s">
        <v>1662</v>
      </c>
    </row>
    <row r="417" spans="2:12" ht="15" customHeight="1" x14ac:dyDescent="0.35"/>
    <row r="418" spans="2:12" ht="41.65" customHeight="1" x14ac:dyDescent="0.35">
      <c r="F418" s="46">
        <v>2012</v>
      </c>
      <c r="G418" s="27"/>
      <c r="H418" s="27"/>
      <c r="I418" s="27"/>
      <c r="J418" s="27"/>
      <c r="K418" s="269" t="s">
        <v>453</v>
      </c>
      <c r="L418" s="270"/>
    </row>
    <row r="419" spans="2:12" ht="38.65" customHeight="1" x14ac:dyDescent="0.35">
      <c r="B419" s="273"/>
      <c r="C419" s="268"/>
      <c r="D419" s="267" t="s">
        <v>440</v>
      </c>
      <c r="E419" s="266" t="s">
        <v>441</v>
      </c>
      <c r="F419" s="245" t="s">
        <v>112</v>
      </c>
      <c r="G419" s="245" t="s">
        <v>36</v>
      </c>
      <c r="H419" s="271" t="s">
        <v>37</v>
      </c>
      <c r="I419" s="271" t="s">
        <v>460</v>
      </c>
      <c r="J419" s="271" t="s">
        <v>461</v>
      </c>
      <c r="K419" s="272" t="s">
        <v>454</v>
      </c>
      <c r="L419" s="272" t="s">
        <v>455</v>
      </c>
    </row>
    <row r="420" spans="2:12" x14ac:dyDescent="0.35">
      <c r="B420" s="26" t="s">
        <v>340</v>
      </c>
      <c r="I420" s="33"/>
      <c r="J420" s="33"/>
    </row>
    <row r="421" spans="2:12" x14ac:dyDescent="0.35">
      <c r="C421" s="26" t="s">
        <v>470</v>
      </c>
      <c r="D421" s="117">
        <v>26.17</v>
      </c>
      <c r="E421" s="52">
        <v>40</v>
      </c>
      <c r="F421" s="33">
        <f>D421*E421*52</f>
        <v>54433.600000000006</v>
      </c>
      <c r="G421" s="265">
        <f>F421*O3</f>
        <v>1633.008</v>
      </c>
      <c r="H421" s="33">
        <f>F421+G421</f>
        <v>56066.608000000007</v>
      </c>
      <c r="I421" s="258">
        <v>0</v>
      </c>
      <c r="J421" s="274">
        <f>H421*(1-I421)</f>
        <v>56066.608000000007</v>
      </c>
      <c r="K421" s="258">
        <v>0</v>
      </c>
      <c r="L421" s="128">
        <f>J421*K421</f>
        <v>0</v>
      </c>
    </row>
    <row r="422" spans="2:12" x14ac:dyDescent="0.35">
      <c r="D422" s="117"/>
      <c r="E422" s="52"/>
      <c r="F422" s="33"/>
      <c r="G422" s="265"/>
      <c r="H422" s="33"/>
      <c r="I422" s="283"/>
      <c r="J422" s="274"/>
      <c r="K422" s="283"/>
      <c r="L422" s="128"/>
    </row>
    <row r="423" spans="2:12" x14ac:dyDescent="0.35">
      <c r="B423" s="26" t="s">
        <v>472</v>
      </c>
      <c r="D423" s="117"/>
      <c r="E423" s="52"/>
      <c r="F423" s="33"/>
      <c r="G423" s="265"/>
      <c r="H423" s="33"/>
      <c r="I423" s="33"/>
      <c r="J423" s="33"/>
    </row>
    <row r="424" spans="2:12" x14ac:dyDescent="0.35">
      <c r="C424" s="26" t="s">
        <v>470</v>
      </c>
      <c r="D424" s="117"/>
      <c r="E424" s="52"/>
      <c r="F424" s="33">
        <v>2994</v>
      </c>
      <c r="G424" s="265">
        <f>F424*O3</f>
        <v>89.82</v>
      </c>
      <c r="H424" s="33">
        <f>F424+G424</f>
        <v>3083.82</v>
      </c>
      <c r="I424" s="258">
        <v>0</v>
      </c>
      <c r="J424" s="274">
        <f>H424*(1-I424)</f>
        <v>3083.82</v>
      </c>
      <c r="K424" s="169">
        <f>K421</f>
        <v>0</v>
      </c>
      <c r="L424" s="128">
        <f>J424*K424</f>
        <v>0</v>
      </c>
    </row>
    <row r="425" spans="2:12" x14ac:dyDescent="0.35">
      <c r="D425" s="117"/>
      <c r="E425" s="52"/>
      <c r="F425" s="33"/>
      <c r="G425" s="265"/>
      <c r="H425" s="33"/>
      <c r="I425" s="33"/>
      <c r="J425" s="33"/>
    </row>
    <row r="426" spans="2:12" x14ac:dyDescent="0.35">
      <c r="B426" s="26" t="s">
        <v>473</v>
      </c>
      <c r="D426" s="117"/>
      <c r="E426" s="52"/>
      <c r="F426" s="33"/>
      <c r="G426" s="265"/>
      <c r="H426" s="33"/>
      <c r="I426" s="33"/>
      <c r="J426" s="33"/>
    </row>
    <row r="427" spans="2:12" x14ac:dyDescent="0.35">
      <c r="C427" s="26" t="s">
        <v>470</v>
      </c>
      <c r="D427" s="117"/>
      <c r="E427" s="52"/>
      <c r="F427" s="33">
        <v>6535</v>
      </c>
      <c r="G427" s="265">
        <f>H427-F427</f>
        <v>0</v>
      </c>
      <c r="H427" s="33">
        <f>F427*(1+O33)</f>
        <v>6535</v>
      </c>
      <c r="I427" s="258">
        <v>0</v>
      </c>
      <c r="J427" s="274">
        <f>H427*(1-I427)</f>
        <v>6535</v>
      </c>
      <c r="K427" s="169">
        <f>K424</f>
        <v>0</v>
      </c>
      <c r="L427" s="128">
        <f>J427*K427</f>
        <v>0</v>
      </c>
    </row>
    <row r="428" spans="2:12" x14ac:dyDescent="0.35">
      <c r="D428" s="117"/>
      <c r="E428" s="52"/>
      <c r="F428" s="33"/>
      <c r="G428" s="265"/>
      <c r="H428" s="33"/>
      <c r="I428" s="33"/>
      <c r="J428" s="33"/>
    </row>
    <row r="429" spans="2:12" x14ac:dyDescent="0.35">
      <c r="B429" s="26" t="s">
        <v>474</v>
      </c>
      <c r="D429" s="117"/>
      <c r="E429" s="52"/>
      <c r="F429" s="33"/>
      <c r="G429" s="265"/>
      <c r="H429" s="33"/>
      <c r="I429" s="33"/>
      <c r="J429" s="33"/>
    </row>
    <row r="430" spans="2:12" x14ac:dyDescent="0.35">
      <c r="C430" s="26" t="s">
        <v>470</v>
      </c>
      <c r="D430" s="117"/>
      <c r="E430" s="52"/>
      <c r="F430" s="33">
        <v>1007</v>
      </c>
      <c r="G430" s="264">
        <v>0</v>
      </c>
      <c r="H430" s="33">
        <f>F430+G430</f>
        <v>1007</v>
      </c>
      <c r="I430" s="258">
        <v>0</v>
      </c>
      <c r="J430" s="274">
        <f>H430*(1-I430)</f>
        <v>1007</v>
      </c>
      <c r="K430" s="169">
        <f>K427</f>
        <v>0</v>
      </c>
      <c r="L430" s="128">
        <f>J430*K430</f>
        <v>0</v>
      </c>
    </row>
    <row r="431" spans="2:12" x14ac:dyDescent="0.35">
      <c r="D431" s="117"/>
      <c r="E431" s="52"/>
      <c r="F431" s="33"/>
      <c r="G431" s="265"/>
      <c r="H431" s="33"/>
      <c r="I431" s="33"/>
      <c r="J431" s="33"/>
    </row>
    <row r="432" spans="2:12" x14ac:dyDescent="0.35">
      <c r="B432" s="26" t="s">
        <v>457</v>
      </c>
      <c r="D432" s="117"/>
      <c r="E432" s="52"/>
      <c r="F432" s="33"/>
      <c r="G432" s="265"/>
      <c r="H432" s="33"/>
      <c r="I432" s="33"/>
      <c r="J432" s="33"/>
    </row>
    <row r="433" spans="1:12" x14ac:dyDescent="0.35">
      <c r="C433" s="26" t="s">
        <v>470</v>
      </c>
      <c r="D433" s="117"/>
      <c r="E433" s="52"/>
      <c r="F433" s="33">
        <v>372</v>
      </c>
      <c r="G433" s="265">
        <f>H433-F433</f>
        <v>0</v>
      </c>
      <c r="H433" s="33">
        <f>F433*(1+$O$60)</f>
        <v>372</v>
      </c>
      <c r="I433" s="258">
        <v>0</v>
      </c>
      <c r="J433" s="274">
        <f>H433*(1-I433)</f>
        <v>372</v>
      </c>
      <c r="K433" s="169">
        <f>K424</f>
        <v>0</v>
      </c>
      <c r="L433" s="128">
        <f>J433*K433</f>
        <v>0</v>
      </c>
    </row>
    <row r="434" spans="1:12" x14ac:dyDescent="0.35">
      <c r="D434" s="117"/>
      <c r="E434" s="52"/>
      <c r="F434" s="33"/>
      <c r="G434" s="265"/>
      <c r="H434" s="33"/>
      <c r="I434" s="33"/>
      <c r="J434" s="33"/>
    </row>
    <row r="435" spans="1:12" x14ac:dyDescent="0.35">
      <c r="B435" s="26" t="s">
        <v>458</v>
      </c>
    </row>
    <row r="436" spans="1:12" x14ac:dyDescent="0.35">
      <c r="C436" s="26" t="s">
        <v>470</v>
      </c>
      <c r="F436" s="33">
        <v>616</v>
      </c>
      <c r="G436" s="264">
        <v>0</v>
      </c>
      <c r="H436" s="33">
        <f>F436+G436</f>
        <v>616</v>
      </c>
      <c r="I436" s="258">
        <v>0</v>
      </c>
      <c r="J436" s="274">
        <f>H436*(1-I436)</f>
        <v>616</v>
      </c>
      <c r="K436" s="169">
        <f>K433</f>
        <v>0</v>
      </c>
      <c r="L436" s="128">
        <f>J436*K436</f>
        <v>0</v>
      </c>
    </row>
    <row r="437" spans="1:12" x14ac:dyDescent="0.35">
      <c r="F437" s="33"/>
    </row>
    <row r="438" spans="1:12" x14ac:dyDescent="0.35">
      <c r="B438" s="26" t="s">
        <v>982</v>
      </c>
      <c r="F438" s="33"/>
    </row>
    <row r="439" spans="1:12" x14ac:dyDescent="0.35">
      <c r="C439" s="26" t="s">
        <v>470</v>
      </c>
      <c r="F439" s="33">
        <f>(F421+F424)*0.0765</f>
        <v>4393.2114000000001</v>
      </c>
      <c r="G439" s="265">
        <f>H439-F439</f>
        <v>131.79634200000055</v>
      </c>
      <c r="H439" s="33">
        <f>F439*(1+O86)</f>
        <v>4525.0077420000007</v>
      </c>
      <c r="I439" s="258">
        <v>0</v>
      </c>
      <c r="J439" s="274">
        <f>H439*(1-I439)</f>
        <v>4525.0077420000007</v>
      </c>
      <c r="K439" s="169">
        <f>K436</f>
        <v>0</v>
      </c>
      <c r="L439" s="128">
        <f>J439*K439</f>
        <v>0</v>
      </c>
    </row>
    <row r="440" spans="1:12" x14ac:dyDescent="0.35">
      <c r="F440" s="33"/>
    </row>
    <row r="441" spans="1:12" x14ac:dyDescent="0.35">
      <c r="B441" s="26" t="s">
        <v>459</v>
      </c>
      <c r="F441" s="33"/>
    </row>
    <row r="442" spans="1:12" x14ac:dyDescent="0.35">
      <c r="C442" s="26" t="s">
        <v>470</v>
      </c>
      <c r="F442" s="33">
        <f>(F421+F424)*0.1955</f>
        <v>11227.095800000001</v>
      </c>
      <c r="G442" s="265">
        <f>H442-F442</f>
        <v>179.63353280000047</v>
      </c>
      <c r="H442" s="33">
        <f>F442*(1+O99)</f>
        <v>11406.729332800001</v>
      </c>
      <c r="I442" s="258">
        <v>0</v>
      </c>
      <c r="J442" s="274">
        <f>H442*(1-I442)</f>
        <v>11406.729332800001</v>
      </c>
      <c r="K442" s="169">
        <f>K439</f>
        <v>0</v>
      </c>
      <c r="L442" s="128">
        <f>J442*K442</f>
        <v>0</v>
      </c>
    </row>
    <row r="444" spans="1:12" x14ac:dyDescent="0.35">
      <c r="A444" s="25" t="s">
        <v>471</v>
      </c>
      <c r="B444" s="25"/>
      <c r="C444" s="25"/>
      <c r="F444" s="36">
        <f>SUM(F421:F443)</f>
        <v>81577.907200000001</v>
      </c>
      <c r="G444" s="36">
        <f>SUM(G421:G443)</f>
        <v>2034.257874800001</v>
      </c>
      <c r="H444" s="36">
        <f>SUM(H421:H443)</f>
        <v>83612.165074800025</v>
      </c>
      <c r="J444" s="36">
        <f>SUM(J421:J443)</f>
        <v>83612.165074800025</v>
      </c>
      <c r="L444" s="36">
        <f>SUM(L421:L443)</f>
        <v>0</v>
      </c>
    </row>
    <row r="445" spans="1:12" x14ac:dyDescent="0.35">
      <c r="G445" s="174">
        <f>G444*L445</f>
        <v>0</v>
      </c>
      <c r="H445" s="33"/>
      <c r="I445" s="33"/>
      <c r="J445" s="33"/>
      <c r="L445" s="168">
        <f>L444/J444</f>
        <v>0</v>
      </c>
    </row>
    <row r="446" spans="1:12" x14ac:dyDescent="0.35">
      <c r="G446" s="284" t="s">
        <v>476</v>
      </c>
      <c r="H446" s="33"/>
      <c r="I446" s="33"/>
      <c r="J446" s="33"/>
      <c r="L446" s="168"/>
    </row>
  </sheetData>
  <phoneticPr fontId="7" type="noConversion"/>
  <pageMargins left="0.75" right="0.75" top="1" bottom="1" header="0.5" footer="0.5"/>
  <pageSetup scale="48" orientation="portrait" blackAndWhite="1" r:id="rId1"/>
  <headerFooter alignWithMargins="0"/>
  <rowBreaks count="1" manualBreakCount="1">
    <brk id="83" max="11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indexed="22"/>
  </sheetPr>
  <dimension ref="A1:H26"/>
  <sheetViews>
    <sheetView view="pageBreakPreview" zoomScale="60" zoomScaleNormal="75" workbookViewId="0">
      <selection activeCell="P27" sqref="P27"/>
    </sheetView>
  </sheetViews>
  <sheetFormatPr defaultColWidth="8.7265625" defaultRowHeight="15.5" x14ac:dyDescent="0.35"/>
  <cols>
    <col min="1" max="1" width="4" style="26" customWidth="1"/>
    <col min="2" max="2" width="28.7265625" style="26" customWidth="1"/>
    <col min="3" max="3" width="6.26953125" style="26" customWidth="1"/>
    <col min="4" max="4" width="7.453125" style="26" customWidth="1"/>
    <col min="5" max="5" width="12.7265625" style="26" bestFit="1" customWidth="1"/>
    <col min="6" max="6" width="14.26953125" style="26" customWidth="1"/>
    <col min="7" max="8" width="12.453125" style="26" customWidth="1"/>
    <col min="9" max="16384" width="8.7265625" style="26"/>
  </cols>
  <sheetData>
    <row r="1" spans="1:8" x14ac:dyDescent="0.35">
      <c r="A1" s="25" t="s">
        <v>4</v>
      </c>
      <c r="B1" s="25"/>
    </row>
    <row r="2" spans="1:8" x14ac:dyDescent="0.35">
      <c r="A2" s="25" t="s">
        <v>109</v>
      </c>
      <c r="B2" s="25"/>
    </row>
    <row r="3" spans="1:8" x14ac:dyDescent="0.35">
      <c r="A3" s="25" t="s">
        <v>665</v>
      </c>
      <c r="B3" s="25"/>
      <c r="C3" s="25"/>
      <c r="H3" s="50" t="s">
        <v>1663</v>
      </c>
    </row>
    <row r="4" spans="1:8" x14ac:dyDescent="0.35">
      <c r="A4" s="25"/>
      <c r="B4" s="25"/>
      <c r="C4" s="25"/>
    </row>
    <row r="5" spans="1:8" x14ac:dyDescent="0.35">
      <c r="E5" s="27"/>
      <c r="F5" s="46">
        <v>2012</v>
      </c>
      <c r="G5" s="27"/>
      <c r="H5" s="27"/>
    </row>
    <row r="6" spans="1:8" x14ac:dyDescent="0.35">
      <c r="A6" s="81"/>
      <c r="B6" s="81"/>
      <c r="C6" s="81"/>
      <c r="D6" s="81"/>
      <c r="E6" s="104"/>
      <c r="F6" s="30" t="s">
        <v>112</v>
      </c>
      <c r="G6" s="30" t="s">
        <v>36</v>
      </c>
      <c r="H6" s="30" t="s">
        <v>37</v>
      </c>
    </row>
    <row r="7" spans="1:8" ht="9" customHeight="1" x14ac:dyDescent="0.35"/>
    <row r="8" spans="1:8" x14ac:dyDescent="0.35">
      <c r="A8" s="26" t="s">
        <v>186</v>
      </c>
      <c r="F8" s="33">
        <f>'Test Year Detail'!F30</f>
        <v>29230.95</v>
      </c>
      <c r="G8" s="33">
        <f>H8-F8</f>
        <v>-3617.0699999999997</v>
      </c>
      <c r="H8" s="352">
        <v>25613.88</v>
      </c>
    </row>
    <row r="11" spans="1:8" x14ac:dyDescent="0.35">
      <c r="A11" s="84">
        <v>-1</v>
      </c>
      <c r="B11" s="26" t="s">
        <v>1113</v>
      </c>
    </row>
    <row r="12" spans="1:8" x14ac:dyDescent="0.35">
      <c r="B12" s="26" t="s">
        <v>1487</v>
      </c>
    </row>
    <row r="16" spans="1:8" s="122" customFormat="1" ht="7.9" customHeight="1" x14ac:dyDescent="0.35"/>
    <row r="17" spans="1:8" x14ac:dyDescent="0.35">
      <c r="A17" s="134"/>
    </row>
    <row r="20" spans="1:8" x14ac:dyDescent="0.35">
      <c r="F20" s="33"/>
    </row>
    <row r="21" spans="1:8" ht="6.65" customHeight="1" x14ac:dyDescent="0.35"/>
    <row r="22" spans="1:8" x14ac:dyDescent="0.35">
      <c r="F22" s="33"/>
    </row>
    <row r="25" spans="1:8" x14ac:dyDescent="0.35">
      <c r="E25" s="128"/>
      <c r="F25" s="117"/>
      <c r="H25" s="179"/>
    </row>
    <row r="26" spans="1:8" x14ac:dyDescent="0.35">
      <c r="F26" s="128"/>
    </row>
  </sheetData>
  <phoneticPr fontId="7" type="noConversion"/>
  <pageMargins left="0.75" right="0.75" top="1" bottom="1" header="0.5" footer="0.5"/>
  <pageSetup scale="91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indexed="22"/>
  </sheetPr>
  <dimension ref="A1:J56"/>
  <sheetViews>
    <sheetView topLeftCell="A6" zoomScaleNormal="100" workbookViewId="0">
      <selection activeCell="C35" sqref="C35"/>
    </sheetView>
  </sheetViews>
  <sheetFormatPr defaultColWidth="8.7265625" defaultRowHeight="15.5" x14ac:dyDescent="0.35"/>
  <cols>
    <col min="1" max="1" width="8.7265625" style="26"/>
    <col min="2" max="2" width="64.54296875" style="26" customWidth="1"/>
    <col min="3" max="3" width="13.26953125" style="26" customWidth="1"/>
    <col min="4" max="4" width="12.26953125" style="26" customWidth="1"/>
    <col min="5" max="5" width="10.26953125" style="26" customWidth="1"/>
    <col min="6" max="7" width="13.26953125" style="26" customWidth="1"/>
    <col min="8" max="8" width="13.453125" style="26" customWidth="1"/>
    <col min="9" max="9" width="8.7265625" style="26"/>
    <col min="10" max="10" width="12.7265625" style="26" bestFit="1" customWidth="1"/>
    <col min="11" max="16384" width="8.7265625" style="26"/>
  </cols>
  <sheetData>
    <row r="1" spans="1:10" x14ac:dyDescent="0.35">
      <c r="A1" s="25" t="s">
        <v>4</v>
      </c>
      <c r="B1" s="25"/>
    </row>
    <row r="2" spans="1:10" x14ac:dyDescent="0.35">
      <c r="A2" s="25" t="s">
        <v>109</v>
      </c>
      <c r="B2" s="25"/>
    </row>
    <row r="3" spans="1:10" x14ac:dyDescent="0.35">
      <c r="A3" s="25" t="s">
        <v>106</v>
      </c>
      <c r="B3" s="25"/>
      <c r="H3" s="50" t="s">
        <v>1664</v>
      </c>
      <c r="J3" s="589"/>
    </row>
    <row r="6" spans="1:10" ht="46.5" x14ac:dyDescent="0.35">
      <c r="B6" s="132" t="s">
        <v>169</v>
      </c>
      <c r="C6" s="114" t="s">
        <v>170</v>
      </c>
      <c r="D6" s="114" t="s">
        <v>836</v>
      </c>
      <c r="E6" s="114" t="s">
        <v>171</v>
      </c>
      <c r="F6" s="114" t="s">
        <v>240</v>
      </c>
      <c r="G6" s="114" t="s">
        <v>697</v>
      </c>
      <c r="H6" s="114" t="s">
        <v>241</v>
      </c>
    </row>
    <row r="7" spans="1:10" x14ac:dyDescent="0.35">
      <c r="B7" s="26" t="str">
        <f>CIP!B9</f>
        <v>Lincoln Trail I/I Reduction Project</v>
      </c>
      <c r="C7" s="33">
        <f>CIP!M9</f>
        <v>386425.22</v>
      </c>
      <c r="D7" s="356">
        <v>2013</v>
      </c>
      <c r="E7" s="163">
        <v>50</v>
      </c>
      <c r="F7" s="164">
        <f>C7/(E7*12)</f>
        <v>644.04203333333328</v>
      </c>
      <c r="G7" s="163">
        <v>12</v>
      </c>
      <c r="H7" s="33">
        <f>F7*G7</f>
        <v>7728.5043999999998</v>
      </c>
      <c r="J7" s="117"/>
    </row>
    <row r="8" spans="1:10" x14ac:dyDescent="0.35">
      <c r="B8" s="26" t="str">
        <f>CIP!B10</f>
        <v>Quiggins Gravity System Project</v>
      </c>
      <c r="C8" s="33">
        <f>CIP!M10</f>
        <v>465904.41</v>
      </c>
      <c r="D8" s="356">
        <v>2014</v>
      </c>
      <c r="E8" s="163">
        <v>50</v>
      </c>
      <c r="F8" s="164">
        <f t="shared" ref="F8:F19" si="0">C8/(E8*12)</f>
        <v>776.50734999999997</v>
      </c>
      <c r="G8" s="163">
        <v>12</v>
      </c>
      <c r="H8" s="33">
        <f t="shared" ref="H8:H10" si="1">F8*G8</f>
        <v>9318.0882000000001</v>
      </c>
      <c r="J8" s="117"/>
    </row>
    <row r="9" spans="1:10" x14ac:dyDescent="0.35">
      <c r="B9" s="26" t="str">
        <f>CIP!B11</f>
        <v>Boone Trace and Lincoln Trail Lift Station Improvements</v>
      </c>
      <c r="C9" s="33">
        <f>CIP!M11</f>
        <v>342936.58999999997</v>
      </c>
      <c r="D9" s="356">
        <v>2014</v>
      </c>
      <c r="E9" s="163">
        <v>40</v>
      </c>
      <c r="F9" s="164">
        <f t="shared" si="0"/>
        <v>714.45122916666662</v>
      </c>
      <c r="G9" s="163">
        <v>12</v>
      </c>
      <c r="H9" s="33">
        <f t="shared" si="1"/>
        <v>8573.4147499999999</v>
      </c>
      <c r="J9" s="117"/>
    </row>
    <row r="10" spans="1:10" x14ac:dyDescent="0.35">
      <c r="B10" s="26" t="str">
        <f>CIP!B12</f>
        <v>WWTP Primary Treatment Building</v>
      </c>
      <c r="C10" s="33">
        <f>CIP!M12</f>
        <v>380343.5</v>
      </c>
      <c r="D10" s="356">
        <v>2013</v>
      </c>
      <c r="E10" s="590">
        <v>25</v>
      </c>
      <c r="F10" s="164">
        <f t="shared" si="0"/>
        <v>1267.8116666666667</v>
      </c>
      <c r="G10" s="590">
        <v>12</v>
      </c>
      <c r="H10" s="33">
        <f t="shared" si="1"/>
        <v>15213.740000000002</v>
      </c>
      <c r="J10" s="117"/>
    </row>
    <row r="11" spans="1:10" x14ac:dyDescent="0.35">
      <c r="B11" s="26" t="str">
        <f>CIP!B13</f>
        <v>Watkins LS Project</v>
      </c>
      <c r="C11" s="33">
        <f>CIP!M13</f>
        <v>48017.57</v>
      </c>
      <c r="D11" s="356">
        <v>2014</v>
      </c>
      <c r="E11" s="590">
        <v>40</v>
      </c>
      <c r="F11" s="164">
        <f t="shared" si="0"/>
        <v>100.03660416666666</v>
      </c>
      <c r="G11" s="590">
        <v>12</v>
      </c>
      <c r="H11" s="33">
        <f>F11*G11</f>
        <v>1200.4392499999999</v>
      </c>
      <c r="J11" s="117"/>
    </row>
    <row r="12" spans="1:10" x14ac:dyDescent="0.35">
      <c r="B12" s="26" t="str">
        <f>CIP!B14</f>
        <v>Drug Store Lift Station Replacement</v>
      </c>
      <c r="C12" s="33">
        <f>CIP!M14</f>
        <v>360996.11</v>
      </c>
      <c r="D12" s="356">
        <v>2014</v>
      </c>
      <c r="E12" s="590">
        <v>40</v>
      </c>
      <c r="F12" s="164">
        <f t="shared" si="0"/>
        <v>752.07522916666665</v>
      </c>
      <c r="G12" s="590">
        <v>12</v>
      </c>
      <c r="H12" s="33">
        <f>F12*G12</f>
        <v>9024.9027499999993</v>
      </c>
      <c r="J12" s="117"/>
    </row>
    <row r="13" spans="1:10" x14ac:dyDescent="0.35">
      <c r="B13" s="26" t="str">
        <f>CIP!B15</f>
        <v>WWTP Plant Clarifier, Oxidaton Ditch, and Lower Half of WWTP</v>
      </c>
      <c r="C13" s="33">
        <f>CIP!M15</f>
        <v>115000</v>
      </c>
      <c r="D13" s="356">
        <v>2013</v>
      </c>
      <c r="E13" s="590">
        <v>25</v>
      </c>
      <c r="F13" s="164">
        <f t="shared" si="0"/>
        <v>383.33333333333331</v>
      </c>
      <c r="G13" s="590">
        <v>12</v>
      </c>
      <c r="H13" s="33">
        <f t="shared" ref="H13:H18" si="2">F13*G13</f>
        <v>4600</v>
      </c>
      <c r="J13" s="117"/>
    </row>
    <row r="14" spans="1:10" x14ac:dyDescent="0.35">
      <c r="B14" s="26" t="str">
        <f>CIP!B16</f>
        <v>Greenview and Cement LS Improvements</v>
      </c>
      <c r="C14" s="33">
        <f>CIP!M16</f>
        <v>43822.64</v>
      </c>
      <c r="D14" s="356">
        <v>2014</v>
      </c>
      <c r="E14" s="590">
        <v>40</v>
      </c>
      <c r="F14" s="164">
        <f t="shared" si="0"/>
        <v>91.297166666666669</v>
      </c>
      <c r="G14" s="590">
        <v>12</v>
      </c>
      <c r="H14" s="33">
        <f t="shared" si="2"/>
        <v>1095.566</v>
      </c>
      <c r="J14" s="117"/>
    </row>
    <row r="15" spans="1:10" x14ac:dyDescent="0.35">
      <c r="B15" s="26" t="str">
        <f>CIP!B17</f>
        <v>Greenview and Cement Gravity System Improvements</v>
      </c>
      <c r="C15" s="33">
        <f>CIP!M17</f>
        <v>93713.41</v>
      </c>
      <c r="D15" s="356">
        <v>2014</v>
      </c>
      <c r="E15" s="590">
        <v>50</v>
      </c>
      <c r="F15" s="164">
        <f t="shared" si="0"/>
        <v>156.18901666666667</v>
      </c>
      <c r="G15" s="590">
        <v>12</v>
      </c>
      <c r="H15" s="33">
        <f t="shared" si="2"/>
        <v>1874.2682</v>
      </c>
      <c r="J15" s="117"/>
    </row>
    <row r="16" spans="1:10" x14ac:dyDescent="0.35">
      <c r="B16" s="26" t="str">
        <f>CIP!B18</f>
        <v>North Logsdon Parkway Gravity System Improvements</v>
      </c>
      <c r="C16" s="33">
        <f>CIP!M18</f>
        <v>265182</v>
      </c>
      <c r="D16" s="356">
        <v>2013</v>
      </c>
      <c r="E16" s="590">
        <v>50</v>
      </c>
      <c r="F16" s="164">
        <f t="shared" si="0"/>
        <v>441.97</v>
      </c>
      <c r="G16" s="590">
        <v>12</v>
      </c>
      <c r="H16" s="33">
        <f t="shared" si="2"/>
        <v>5303.64</v>
      </c>
      <c r="J16" s="117"/>
    </row>
    <row r="17" spans="2:10" x14ac:dyDescent="0.35">
      <c r="B17" s="26" t="str">
        <f>CIP!B19</f>
        <v>Stovall LS/FM Improvements</v>
      </c>
      <c r="C17" s="33">
        <f>CIP!M19</f>
        <v>118571</v>
      </c>
      <c r="D17" s="356">
        <v>2013</v>
      </c>
      <c r="E17" s="590">
        <v>40</v>
      </c>
      <c r="F17" s="164">
        <f t="shared" si="0"/>
        <v>247.02291666666667</v>
      </c>
      <c r="G17" s="590">
        <v>12</v>
      </c>
      <c r="H17" s="33">
        <f t="shared" si="2"/>
        <v>2964.2750000000001</v>
      </c>
      <c r="J17" s="117"/>
    </row>
    <row r="18" spans="2:10" x14ac:dyDescent="0.35">
      <c r="B18" s="26" t="str">
        <f>CIP!B20</f>
        <v>North Woodland Gravity System Improvements</v>
      </c>
      <c r="C18" s="33">
        <f>CIP!M20</f>
        <v>136931.67000000001</v>
      </c>
      <c r="D18" s="356">
        <v>2013</v>
      </c>
      <c r="E18" s="590">
        <v>50</v>
      </c>
      <c r="F18" s="164">
        <f t="shared" si="0"/>
        <v>228.21945000000002</v>
      </c>
      <c r="G18" s="590">
        <v>12</v>
      </c>
      <c r="H18" s="33">
        <f t="shared" si="2"/>
        <v>2738.6334000000002</v>
      </c>
      <c r="J18" s="117"/>
    </row>
    <row r="19" spans="2:10" x14ac:dyDescent="0.35">
      <c r="B19" s="26" t="str">
        <f>CIP!B21</f>
        <v>John Hardin Force Main Improvements</v>
      </c>
      <c r="C19" s="33">
        <f>CIP!M21</f>
        <v>12053.28</v>
      </c>
      <c r="D19" s="356">
        <v>2013</v>
      </c>
      <c r="E19" s="163">
        <v>50</v>
      </c>
      <c r="F19" s="164">
        <f t="shared" si="0"/>
        <v>20.088800000000003</v>
      </c>
      <c r="G19" s="163">
        <v>12</v>
      </c>
      <c r="H19" s="33">
        <f>F19*G19</f>
        <v>241.06560000000002</v>
      </c>
      <c r="J19" s="117"/>
    </row>
    <row r="20" spans="2:10" x14ac:dyDescent="0.35">
      <c r="B20" s="26" t="str">
        <f>CIP!B22</f>
        <v>WWTP RAS/WAS Improvements</v>
      </c>
      <c r="C20" s="33">
        <f>CIP!M22</f>
        <v>74310.7</v>
      </c>
      <c r="D20" s="356">
        <v>2013</v>
      </c>
      <c r="E20" s="163">
        <v>25</v>
      </c>
      <c r="F20" s="164">
        <f t="shared" ref="F20:F25" si="3">C20/(E20*12)</f>
        <v>247.70233333333331</v>
      </c>
      <c r="G20" s="163">
        <v>12</v>
      </c>
      <c r="H20" s="33">
        <f t="shared" ref="H20:H25" si="4">F20*G20</f>
        <v>2972.4279999999999</v>
      </c>
      <c r="J20" s="117"/>
    </row>
    <row r="21" spans="2:10" x14ac:dyDescent="0.35">
      <c r="B21" s="26" t="str">
        <f>CIP!B23</f>
        <v>LS Bypass Improvements</v>
      </c>
      <c r="C21" s="33">
        <f>CIP!M23</f>
        <v>10753.2</v>
      </c>
      <c r="D21" s="356">
        <v>2013</v>
      </c>
      <c r="E21" s="163">
        <v>40</v>
      </c>
      <c r="F21" s="164">
        <f t="shared" si="3"/>
        <v>22.4025</v>
      </c>
      <c r="G21" s="163">
        <v>12</v>
      </c>
      <c r="H21" s="33">
        <f t="shared" si="4"/>
        <v>268.83</v>
      </c>
      <c r="J21" s="117"/>
    </row>
    <row r="22" spans="2:10" x14ac:dyDescent="0.35">
      <c r="B22" s="26" t="str">
        <f>CIP!B24</f>
        <v>North Logsdon LS Improvements Project</v>
      </c>
      <c r="C22" s="33">
        <f>CIP!M24</f>
        <v>625632.80000000005</v>
      </c>
      <c r="D22" s="356">
        <v>2014</v>
      </c>
      <c r="E22" s="163">
        <v>40</v>
      </c>
      <c r="F22" s="164">
        <f t="shared" si="3"/>
        <v>1303.4016666666669</v>
      </c>
      <c r="G22" s="163">
        <v>12</v>
      </c>
      <c r="H22" s="33">
        <f t="shared" si="4"/>
        <v>15640.820000000003</v>
      </c>
      <c r="J22" s="117"/>
    </row>
    <row r="23" spans="2:10" x14ac:dyDescent="0.35">
      <c r="B23" s="26" t="str">
        <f>CIP!B25</f>
        <v>Quiggins and Boone Trace I/I Reduction Project</v>
      </c>
      <c r="C23" s="33">
        <f>CIP!M25</f>
        <v>1000000</v>
      </c>
      <c r="D23" s="356">
        <v>2014</v>
      </c>
      <c r="E23" s="163">
        <v>50</v>
      </c>
      <c r="F23" s="164">
        <f t="shared" si="3"/>
        <v>1666.6666666666667</v>
      </c>
      <c r="G23" s="163">
        <v>12</v>
      </c>
      <c r="H23" s="33">
        <f t="shared" si="4"/>
        <v>20000</v>
      </c>
      <c r="J23" s="117"/>
    </row>
    <row r="24" spans="2:10" x14ac:dyDescent="0.35">
      <c r="B24" s="26" t="str">
        <f>CIP!B26</f>
        <v>Seminole I/I Reduction Project</v>
      </c>
      <c r="C24" s="33">
        <f>CIP!M26</f>
        <v>300000</v>
      </c>
      <c r="D24" s="356">
        <v>2014</v>
      </c>
      <c r="E24" s="590">
        <v>50</v>
      </c>
      <c r="F24" s="164">
        <f t="shared" si="3"/>
        <v>500</v>
      </c>
      <c r="G24" s="590">
        <v>12</v>
      </c>
      <c r="H24" s="33">
        <f t="shared" si="4"/>
        <v>6000</v>
      </c>
      <c r="J24" s="117"/>
    </row>
    <row r="25" spans="2:10" x14ac:dyDescent="0.35">
      <c r="B25" s="26" t="str">
        <f>CIP!B27</f>
        <v>WWTP Oxidation Ditch Improvements</v>
      </c>
      <c r="C25" s="33">
        <f>CIP!M27</f>
        <v>200000</v>
      </c>
      <c r="D25" s="356">
        <v>2014</v>
      </c>
      <c r="E25" s="163">
        <v>25</v>
      </c>
      <c r="F25" s="164">
        <f t="shared" si="3"/>
        <v>666.66666666666663</v>
      </c>
      <c r="G25" s="163">
        <v>12</v>
      </c>
      <c r="H25" s="33">
        <f t="shared" si="4"/>
        <v>8000</v>
      </c>
      <c r="J25" s="117"/>
    </row>
    <row r="26" spans="2:10" ht="9.75" customHeight="1" x14ac:dyDescent="0.35">
      <c r="C26" s="33"/>
      <c r="D26" s="218"/>
      <c r="E26" s="52"/>
      <c r="F26" s="164"/>
      <c r="G26" s="52"/>
      <c r="H26" s="33"/>
      <c r="J26" s="117"/>
    </row>
    <row r="27" spans="2:10" x14ac:dyDescent="0.35">
      <c r="B27" s="66" t="s">
        <v>1590</v>
      </c>
      <c r="C27" s="33"/>
      <c r="D27" s="218"/>
      <c r="E27" s="52"/>
      <c r="F27" s="164"/>
      <c r="G27" s="52"/>
      <c r="H27" s="33"/>
      <c r="J27" s="117"/>
    </row>
    <row r="28" spans="2:10" x14ac:dyDescent="0.35">
      <c r="B28" s="428" t="s">
        <v>1488</v>
      </c>
      <c r="C28" s="468">
        <v>8738.4</v>
      </c>
      <c r="D28" s="478">
        <v>2013</v>
      </c>
      <c r="E28" s="479">
        <v>5</v>
      </c>
      <c r="F28" s="480">
        <f t="shared" ref="F28:F46" si="5">C28/(E28*12)</f>
        <v>145.63999999999999</v>
      </c>
      <c r="G28" s="479">
        <v>12</v>
      </c>
      <c r="H28" s="468">
        <f>IF(D28=2013,F28*G28,0)</f>
        <v>1747.6799999999998</v>
      </c>
      <c r="J28" s="117"/>
    </row>
    <row r="29" spans="2:10" x14ac:dyDescent="0.35">
      <c r="B29" s="26" t="s">
        <v>1489</v>
      </c>
      <c r="C29" s="33">
        <v>17800</v>
      </c>
      <c r="D29" s="356">
        <v>2013</v>
      </c>
      <c r="E29" s="163">
        <v>10</v>
      </c>
      <c r="F29" s="164">
        <f t="shared" si="5"/>
        <v>148.33333333333334</v>
      </c>
      <c r="G29" s="163">
        <v>12</v>
      </c>
      <c r="H29" s="33">
        <f>IF(D29=2013,F29*G29,0)</f>
        <v>1780</v>
      </c>
      <c r="J29" s="117"/>
    </row>
    <row r="30" spans="2:10" x14ac:dyDescent="0.35">
      <c r="B30" s="26" t="s">
        <v>1490</v>
      </c>
      <c r="C30" s="33">
        <v>3525</v>
      </c>
      <c r="D30" s="356">
        <v>2013</v>
      </c>
      <c r="E30" s="163">
        <v>10</v>
      </c>
      <c r="F30" s="164">
        <f t="shared" si="5"/>
        <v>29.375</v>
      </c>
      <c r="G30" s="163">
        <v>12</v>
      </c>
      <c r="H30" s="33">
        <f t="shared" ref="H30:H47" si="6">IF(D30=2013,F30*G30,0)</f>
        <v>352.5</v>
      </c>
      <c r="J30" s="117"/>
    </row>
    <row r="31" spans="2:10" x14ac:dyDescent="0.35">
      <c r="B31" s="26" t="s">
        <v>1491</v>
      </c>
      <c r="C31" s="33">
        <v>3300</v>
      </c>
      <c r="D31" s="356">
        <v>2013</v>
      </c>
      <c r="E31" s="163">
        <v>10</v>
      </c>
      <c r="F31" s="164">
        <f t="shared" si="5"/>
        <v>27.5</v>
      </c>
      <c r="G31" s="163">
        <v>12</v>
      </c>
      <c r="H31" s="33">
        <f t="shared" si="6"/>
        <v>330</v>
      </c>
      <c r="J31" s="117"/>
    </row>
    <row r="32" spans="2:10" x14ac:dyDescent="0.35">
      <c r="B32" s="26" t="s">
        <v>1492</v>
      </c>
      <c r="C32" s="33">
        <v>6930</v>
      </c>
      <c r="D32" s="356">
        <v>2013</v>
      </c>
      <c r="E32" s="163">
        <v>35</v>
      </c>
      <c r="F32" s="164">
        <f t="shared" si="5"/>
        <v>16.5</v>
      </c>
      <c r="G32" s="163">
        <v>12</v>
      </c>
      <c r="H32" s="33">
        <f t="shared" si="6"/>
        <v>198</v>
      </c>
      <c r="J32" s="117"/>
    </row>
    <row r="33" spans="2:10" x14ac:dyDescent="0.35">
      <c r="B33" s="26" t="s">
        <v>1493</v>
      </c>
      <c r="C33" s="33">
        <v>8192.1</v>
      </c>
      <c r="D33" s="356">
        <v>2013</v>
      </c>
      <c r="E33" s="163">
        <v>10</v>
      </c>
      <c r="F33" s="164">
        <f t="shared" si="5"/>
        <v>68.267499999999998</v>
      </c>
      <c r="G33" s="163">
        <v>12</v>
      </c>
      <c r="H33" s="33">
        <f t="shared" si="6"/>
        <v>819.21</v>
      </c>
      <c r="J33" s="117"/>
    </row>
    <row r="34" spans="2:10" x14ac:dyDescent="0.35">
      <c r="B34" s="26" t="s">
        <v>1494</v>
      </c>
      <c r="C34" s="33">
        <v>11400</v>
      </c>
      <c r="D34" s="356">
        <v>2013</v>
      </c>
      <c r="E34" s="163">
        <v>10</v>
      </c>
      <c r="F34" s="164">
        <f t="shared" si="5"/>
        <v>95</v>
      </c>
      <c r="G34" s="163">
        <v>12</v>
      </c>
      <c r="H34" s="33">
        <f t="shared" si="6"/>
        <v>1140</v>
      </c>
      <c r="J34" s="117"/>
    </row>
    <row r="35" spans="2:10" x14ac:dyDescent="0.35">
      <c r="B35" s="26" t="s">
        <v>1495</v>
      </c>
      <c r="C35" s="33">
        <v>3031.5</v>
      </c>
      <c r="D35" s="356">
        <v>2013</v>
      </c>
      <c r="E35" s="163">
        <v>10</v>
      </c>
      <c r="F35" s="164">
        <f t="shared" si="5"/>
        <v>25.262499999999999</v>
      </c>
      <c r="G35" s="163">
        <v>12</v>
      </c>
      <c r="H35" s="33">
        <f t="shared" si="6"/>
        <v>303.14999999999998</v>
      </c>
      <c r="J35" s="117"/>
    </row>
    <row r="36" spans="2:10" x14ac:dyDescent="0.35">
      <c r="B36" s="26" t="s">
        <v>1496</v>
      </c>
      <c r="C36" s="33">
        <v>3500</v>
      </c>
      <c r="D36" s="356">
        <v>2013</v>
      </c>
      <c r="E36" s="163">
        <v>10</v>
      </c>
      <c r="F36" s="164">
        <f t="shared" si="5"/>
        <v>29.166666666666668</v>
      </c>
      <c r="G36" s="163">
        <v>12</v>
      </c>
      <c r="H36" s="33">
        <f t="shared" si="6"/>
        <v>350</v>
      </c>
      <c r="J36" s="117"/>
    </row>
    <row r="37" spans="2:10" x14ac:dyDescent="0.35">
      <c r="B37" s="26" t="s">
        <v>1497</v>
      </c>
      <c r="C37" s="33">
        <v>3700</v>
      </c>
      <c r="D37" s="356">
        <v>2013</v>
      </c>
      <c r="E37" s="163">
        <v>7</v>
      </c>
      <c r="F37" s="164">
        <f t="shared" si="5"/>
        <v>44.047619047619051</v>
      </c>
      <c r="G37" s="163">
        <v>12</v>
      </c>
      <c r="H37" s="33">
        <f t="shared" si="6"/>
        <v>528.57142857142867</v>
      </c>
      <c r="J37" s="117"/>
    </row>
    <row r="38" spans="2:10" x14ac:dyDescent="0.35">
      <c r="B38" s="26" t="s">
        <v>1498</v>
      </c>
      <c r="C38" s="33">
        <v>1800</v>
      </c>
      <c r="D38" s="356">
        <v>2013</v>
      </c>
      <c r="E38" s="163">
        <v>7</v>
      </c>
      <c r="F38" s="164">
        <f t="shared" si="5"/>
        <v>21.428571428571427</v>
      </c>
      <c r="G38" s="163">
        <v>12</v>
      </c>
      <c r="H38" s="33">
        <f t="shared" si="6"/>
        <v>257.14285714285711</v>
      </c>
      <c r="J38" s="117"/>
    </row>
    <row r="39" spans="2:10" x14ac:dyDescent="0.35">
      <c r="B39" s="26" t="s">
        <v>1499</v>
      </c>
      <c r="C39" s="33">
        <v>2203.5</v>
      </c>
      <c r="D39" s="356">
        <v>2013</v>
      </c>
      <c r="E39" s="163">
        <v>10</v>
      </c>
      <c r="F39" s="164">
        <f t="shared" si="5"/>
        <v>18.362500000000001</v>
      </c>
      <c r="G39" s="163">
        <v>12</v>
      </c>
      <c r="H39" s="33">
        <f t="shared" si="6"/>
        <v>220.35000000000002</v>
      </c>
      <c r="J39" s="117"/>
    </row>
    <row r="40" spans="2:10" x14ac:dyDescent="0.35">
      <c r="B40" s="26" t="s">
        <v>1500</v>
      </c>
      <c r="C40" s="33">
        <v>2400</v>
      </c>
      <c r="D40" s="356">
        <v>2013</v>
      </c>
      <c r="E40" s="163">
        <v>7</v>
      </c>
      <c r="F40" s="164">
        <f t="shared" si="5"/>
        <v>28.571428571428573</v>
      </c>
      <c r="G40" s="163">
        <v>12</v>
      </c>
      <c r="H40" s="33">
        <f t="shared" si="6"/>
        <v>342.85714285714289</v>
      </c>
      <c r="J40" s="117"/>
    </row>
    <row r="41" spans="2:10" x14ac:dyDescent="0.35">
      <c r="B41" s="26" t="s">
        <v>1501</v>
      </c>
      <c r="C41" s="33">
        <v>3550</v>
      </c>
      <c r="D41" s="356">
        <v>2013</v>
      </c>
      <c r="E41" s="163">
        <v>10</v>
      </c>
      <c r="F41" s="164">
        <f t="shared" si="5"/>
        <v>29.583333333333332</v>
      </c>
      <c r="G41" s="163">
        <v>12</v>
      </c>
      <c r="H41" s="33">
        <f t="shared" si="6"/>
        <v>355</v>
      </c>
      <c r="J41" s="117"/>
    </row>
    <row r="42" spans="2:10" x14ac:dyDescent="0.35">
      <c r="B42" s="26" t="s">
        <v>1502</v>
      </c>
      <c r="C42" s="33">
        <v>1560</v>
      </c>
      <c r="D42" s="356">
        <v>2013</v>
      </c>
      <c r="E42" s="163">
        <v>20</v>
      </c>
      <c r="F42" s="164">
        <f t="shared" si="5"/>
        <v>6.5</v>
      </c>
      <c r="G42" s="163">
        <v>12</v>
      </c>
      <c r="H42" s="33">
        <f t="shared" si="6"/>
        <v>78</v>
      </c>
      <c r="J42" s="117"/>
    </row>
    <row r="43" spans="2:10" x14ac:dyDescent="0.35">
      <c r="B43" s="26" t="s">
        <v>1503</v>
      </c>
      <c r="C43" s="33">
        <v>5200</v>
      </c>
      <c r="D43" s="356">
        <v>2013</v>
      </c>
      <c r="E43" s="163">
        <v>7</v>
      </c>
      <c r="F43" s="164">
        <f t="shared" si="5"/>
        <v>61.904761904761905</v>
      </c>
      <c r="G43" s="163">
        <v>12</v>
      </c>
      <c r="H43" s="33">
        <f t="shared" si="6"/>
        <v>742.85714285714289</v>
      </c>
      <c r="J43" s="117"/>
    </row>
    <row r="44" spans="2:10" x14ac:dyDescent="0.35">
      <c r="B44" s="26" t="s">
        <v>1504</v>
      </c>
      <c r="C44" s="33">
        <v>1320</v>
      </c>
      <c r="D44" s="356">
        <v>2013</v>
      </c>
      <c r="E44" s="163">
        <v>10</v>
      </c>
      <c r="F44" s="164">
        <f t="shared" si="5"/>
        <v>11</v>
      </c>
      <c r="G44" s="163">
        <v>12</v>
      </c>
      <c r="H44" s="33">
        <f t="shared" si="6"/>
        <v>132</v>
      </c>
      <c r="J44" s="117"/>
    </row>
    <row r="45" spans="2:10" x14ac:dyDescent="0.35">
      <c r="B45" s="26" t="s">
        <v>1505</v>
      </c>
      <c r="C45" s="33">
        <v>630</v>
      </c>
      <c r="D45" s="356">
        <v>2013</v>
      </c>
      <c r="E45" s="163">
        <v>35</v>
      </c>
      <c r="F45" s="164">
        <f t="shared" si="5"/>
        <v>1.5</v>
      </c>
      <c r="G45" s="163">
        <v>12</v>
      </c>
      <c r="H45" s="33">
        <f t="shared" si="6"/>
        <v>18</v>
      </c>
      <c r="J45" s="117"/>
    </row>
    <row r="46" spans="2:10" x14ac:dyDescent="0.35">
      <c r="B46" s="26" t="s">
        <v>1506</v>
      </c>
      <c r="C46" s="33">
        <v>3008</v>
      </c>
      <c r="D46" s="356">
        <v>2013</v>
      </c>
      <c r="E46" s="163">
        <v>35</v>
      </c>
      <c r="F46" s="164">
        <f t="shared" si="5"/>
        <v>7.1619047619047622</v>
      </c>
      <c r="G46" s="163">
        <v>12</v>
      </c>
      <c r="H46" s="33">
        <f t="shared" si="6"/>
        <v>85.94285714285715</v>
      </c>
      <c r="J46" s="117"/>
    </row>
    <row r="47" spans="2:10" x14ac:dyDescent="0.35">
      <c r="B47" s="26" t="s">
        <v>1507</v>
      </c>
      <c r="C47" s="33">
        <v>3565.89</v>
      </c>
      <c r="D47" s="356">
        <v>2013</v>
      </c>
      <c r="E47" s="163">
        <v>20</v>
      </c>
      <c r="F47" s="164">
        <f>C47/(E47*12)</f>
        <v>14.857875</v>
      </c>
      <c r="G47" s="163">
        <v>12</v>
      </c>
      <c r="H47" s="33">
        <f t="shared" si="6"/>
        <v>178.2945</v>
      </c>
      <c r="J47" s="117"/>
    </row>
    <row r="49" spans="2:10" x14ac:dyDescent="0.35">
      <c r="B49" s="25" t="s">
        <v>172</v>
      </c>
      <c r="C49" s="36">
        <f>SUM(C7:C47)</f>
        <v>5075948.49</v>
      </c>
      <c r="D49" s="36"/>
      <c r="E49" s="27"/>
      <c r="F49" s="27"/>
      <c r="G49" s="27"/>
      <c r="H49" s="133">
        <f>SUM(H7:H47)</f>
        <v>132718.17147857143</v>
      </c>
      <c r="J49" s="117"/>
    </row>
    <row r="50" spans="2:10" x14ac:dyDescent="0.35">
      <c r="C50" s="33"/>
      <c r="D50" s="33"/>
      <c r="E50" s="52"/>
      <c r="F50" s="52"/>
      <c r="G50" s="52"/>
    </row>
    <row r="51" spans="2:10" x14ac:dyDescent="0.35">
      <c r="C51" s="33"/>
      <c r="D51" s="33"/>
      <c r="E51" s="52"/>
      <c r="F51" s="52"/>
      <c r="G51" s="52"/>
    </row>
    <row r="52" spans="2:10" ht="47.65" customHeight="1" x14ac:dyDescent="0.35">
      <c r="B52" s="132" t="s">
        <v>173</v>
      </c>
      <c r="C52" s="114" t="s">
        <v>170</v>
      </c>
      <c r="D52" s="114" t="s">
        <v>239</v>
      </c>
      <c r="E52" s="114" t="s">
        <v>171</v>
      </c>
      <c r="F52" s="114" t="s">
        <v>240</v>
      </c>
      <c r="G52" s="114" t="s">
        <v>697</v>
      </c>
      <c r="H52" s="114" t="s">
        <v>241</v>
      </c>
    </row>
    <row r="53" spans="2:10" x14ac:dyDescent="0.35">
      <c r="C53" s="33"/>
      <c r="D53" s="263"/>
      <c r="E53" s="52"/>
      <c r="F53" s="164"/>
      <c r="G53" s="52"/>
      <c r="H53" s="33"/>
    </row>
    <row r="54" spans="2:10" x14ac:dyDescent="0.35">
      <c r="B54" s="26" t="s">
        <v>174</v>
      </c>
      <c r="C54" s="352">
        <v>100000</v>
      </c>
      <c r="D54" s="356">
        <v>2011</v>
      </c>
      <c r="E54" s="163">
        <v>5</v>
      </c>
      <c r="F54" s="164">
        <f>C54/(E54*12)</f>
        <v>1666.6666666666667</v>
      </c>
      <c r="G54" s="163">
        <v>12</v>
      </c>
      <c r="H54" s="33">
        <f>IF(D54=2011,F54*G54,0)</f>
        <v>20000</v>
      </c>
    </row>
    <row r="56" spans="2:10" x14ac:dyDescent="0.35">
      <c r="B56" s="25" t="s">
        <v>44</v>
      </c>
      <c r="C56" s="36">
        <f>SUM(C53:C55)</f>
        <v>100000</v>
      </c>
      <c r="D56" s="36"/>
      <c r="E56" s="25"/>
      <c r="F56" s="25"/>
      <c r="G56" s="25"/>
      <c r="H56" s="36">
        <f>SUM(H53:H55)</f>
        <v>20000</v>
      </c>
    </row>
  </sheetData>
  <phoneticPr fontId="7" type="noConversion"/>
  <pageMargins left="0.75" right="0.75" top="1" bottom="1" header="0.5" footer="0.5"/>
  <pageSetup scale="61" orientation="portrait" blackAndWhite="1" r:id="rId1"/>
  <headerFooter alignWithMargins="0">
    <oddFooter>&amp;CDraft&amp;R&amp;D</oddFooter>
  </headerFooter>
  <colBreaks count="1" manualBreakCount="1">
    <brk id="8" max="1048575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indexed="22"/>
  </sheetPr>
  <dimension ref="A1:Q104"/>
  <sheetViews>
    <sheetView zoomScaleNormal="100" workbookViewId="0">
      <selection activeCell="H12" sqref="H12"/>
    </sheetView>
  </sheetViews>
  <sheetFormatPr defaultColWidth="8.7265625" defaultRowHeight="15.5" x14ac:dyDescent="0.35"/>
  <cols>
    <col min="1" max="1" width="3.54296875" style="26" customWidth="1"/>
    <col min="2" max="3" width="8.7265625" style="26"/>
    <col min="4" max="4" width="11.26953125" style="26" customWidth="1"/>
    <col min="5" max="5" width="8.7265625" style="26"/>
    <col min="6" max="6" width="17.26953125" style="26" customWidth="1"/>
    <col min="7" max="7" width="14.7265625" style="26" customWidth="1"/>
    <col min="8" max="8" width="14.26953125" style="26" customWidth="1"/>
    <col min="9" max="11" width="13.26953125" style="26" customWidth="1"/>
    <col min="12" max="13" width="8.7265625" style="26"/>
    <col min="14" max="14" width="9.26953125" style="26" bestFit="1" customWidth="1"/>
    <col min="15" max="15" width="8.7265625" style="26"/>
    <col min="16" max="16" width="16.54296875" style="26" customWidth="1"/>
    <col min="17" max="16384" width="8.7265625" style="26"/>
  </cols>
  <sheetData>
    <row r="1" spans="1:11" x14ac:dyDescent="0.35">
      <c r="A1" s="25" t="s">
        <v>4</v>
      </c>
    </row>
    <row r="2" spans="1:11" x14ac:dyDescent="0.35">
      <c r="A2" s="25" t="s">
        <v>109</v>
      </c>
    </row>
    <row r="3" spans="1:11" x14ac:dyDescent="0.35">
      <c r="A3" s="25" t="s">
        <v>786</v>
      </c>
      <c r="B3" s="25"/>
      <c r="C3" s="25"/>
      <c r="H3" s="50" t="s">
        <v>1665</v>
      </c>
    </row>
    <row r="4" spans="1:11" x14ac:dyDescent="0.35">
      <c r="A4" s="25"/>
      <c r="B4" s="25"/>
      <c r="C4" s="25"/>
    </row>
    <row r="5" spans="1:11" x14ac:dyDescent="0.35">
      <c r="E5" s="27"/>
      <c r="F5" s="46">
        <v>2012</v>
      </c>
      <c r="G5" s="27"/>
      <c r="H5" s="27"/>
    </row>
    <row r="6" spans="1:11" x14ac:dyDescent="0.35">
      <c r="A6" s="81"/>
      <c r="B6" s="81"/>
      <c r="C6" s="81"/>
      <c r="D6" s="81"/>
      <c r="E6" s="104"/>
      <c r="F6" s="30" t="s">
        <v>112</v>
      </c>
      <c r="G6" s="30" t="s">
        <v>36</v>
      </c>
      <c r="H6" s="30" t="s">
        <v>37</v>
      </c>
    </row>
    <row r="7" spans="1:11" ht="9" customHeight="1" x14ac:dyDescent="0.35"/>
    <row r="8" spans="1:11" x14ac:dyDescent="0.35">
      <c r="B8" s="75" t="s">
        <v>214</v>
      </c>
      <c r="F8" s="33">
        <f>'Test Year Detail'!F23</f>
        <v>2102540.0299999998</v>
      </c>
      <c r="G8" s="33">
        <f>H8-F8</f>
        <v>79390.870000000112</v>
      </c>
      <c r="H8" s="33">
        <f>F22+F27</f>
        <v>2181930.9</v>
      </c>
      <c r="K8" s="168"/>
    </row>
    <row r="11" spans="1:11" x14ac:dyDescent="0.35">
      <c r="A11" s="84">
        <v>-1</v>
      </c>
      <c r="B11" s="26" t="s">
        <v>215</v>
      </c>
    </row>
    <row r="14" spans="1:11" s="122" customFormat="1" ht="4.1500000000000004" customHeight="1" x14ac:dyDescent="0.35"/>
    <row r="15" spans="1:11" x14ac:dyDescent="0.35">
      <c r="A15" s="134" t="s">
        <v>208</v>
      </c>
    </row>
    <row r="17" spans="1:11" x14ac:dyDescent="0.35">
      <c r="A17" s="26" t="s">
        <v>209</v>
      </c>
      <c r="F17" s="33"/>
    </row>
    <row r="18" spans="1:11" x14ac:dyDescent="0.35">
      <c r="B18" s="26" t="s">
        <v>210</v>
      </c>
      <c r="F18" s="45">
        <v>190764</v>
      </c>
    </row>
    <row r="19" spans="1:11" x14ac:dyDescent="0.35">
      <c r="B19" s="26" t="s">
        <v>211</v>
      </c>
      <c r="F19" s="42">
        <v>15000</v>
      </c>
      <c r="H19" s="204"/>
    </row>
    <row r="20" spans="1:11" x14ac:dyDescent="0.35">
      <c r="B20" s="26" t="s">
        <v>212</v>
      </c>
      <c r="F20" s="42">
        <f>2056930.9-(F18+F19+F21)</f>
        <v>1657966.9</v>
      </c>
      <c r="H20" s="306"/>
    </row>
    <row r="21" spans="1:11" x14ac:dyDescent="0.35">
      <c r="B21" s="26" t="s">
        <v>213</v>
      </c>
      <c r="F21" s="43">
        <v>193200</v>
      </c>
    </row>
    <row r="22" spans="1:11" x14ac:dyDescent="0.35">
      <c r="A22" s="26" t="s">
        <v>44</v>
      </c>
      <c r="F22" s="33">
        <f>SUM(F18:F21)</f>
        <v>2056930.9</v>
      </c>
    </row>
    <row r="24" spans="1:11" x14ac:dyDescent="0.35">
      <c r="A24" s="26" t="s">
        <v>36</v>
      </c>
    </row>
    <row r="25" spans="1:11" x14ac:dyDescent="0.35">
      <c r="B25" s="26" t="s">
        <v>1176</v>
      </c>
      <c r="F25" s="352">
        <v>100000</v>
      </c>
      <c r="G25" s="40" t="s">
        <v>1508</v>
      </c>
    </row>
    <row r="26" spans="1:11" x14ac:dyDescent="0.35">
      <c r="B26" s="26" t="s">
        <v>1175</v>
      </c>
      <c r="F26" s="354">
        <v>25000</v>
      </c>
      <c r="G26" s="40" t="s">
        <v>1508</v>
      </c>
    </row>
    <row r="27" spans="1:11" x14ac:dyDescent="0.35">
      <c r="A27" s="26" t="s">
        <v>872</v>
      </c>
      <c r="F27" s="33">
        <f>SUM(F25:F26)</f>
        <v>125000</v>
      </c>
    </row>
    <row r="29" spans="1:11" x14ac:dyDescent="0.35">
      <c r="A29" s="26" t="s">
        <v>1509</v>
      </c>
      <c r="F29" s="33">
        <f>2016598.92+142323.97</f>
        <v>2158922.89</v>
      </c>
      <c r="G29" s="144"/>
    </row>
    <row r="30" spans="1:11" x14ac:dyDescent="0.35">
      <c r="K30" s="73"/>
    </row>
    <row r="31" spans="1:11" x14ac:dyDescent="0.35">
      <c r="K31" s="73"/>
    </row>
    <row r="32" spans="1:11" x14ac:dyDescent="0.35">
      <c r="F32" s="33"/>
      <c r="H32" s="476"/>
      <c r="I32" s="40"/>
      <c r="K32" s="475"/>
    </row>
    <row r="33" spans="1:11" x14ac:dyDescent="0.35">
      <c r="F33" s="34"/>
      <c r="K33" s="34"/>
    </row>
    <row r="34" spans="1:11" x14ac:dyDescent="0.35">
      <c r="F34" s="34"/>
      <c r="K34" s="34"/>
    </row>
    <row r="35" spans="1:11" x14ac:dyDescent="0.35">
      <c r="F35" s="34"/>
      <c r="K35" s="34"/>
    </row>
    <row r="36" spans="1:11" x14ac:dyDescent="0.35">
      <c r="F36" s="33"/>
      <c r="K36" s="128"/>
    </row>
    <row r="39" spans="1:11" x14ac:dyDescent="0.35">
      <c r="F39" s="33"/>
    </row>
    <row r="42" spans="1:11" s="360" customFormat="1" ht="4.1500000000000004" customHeight="1" x14ac:dyDescent="0.35"/>
    <row r="43" spans="1:11" x14ac:dyDescent="0.35">
      <c r="A43" s="316" t="s">
        <v>1510</v>
      </c>
    </row>
    <row r="45" spans="1:11" x14ac:dyDescent="0.35">
      <c r="A45" s="26" t="s">
        <v>844</v>
      </c>
    </row>
    <row r="47" spans="1:11" ht="31" x14ac:dyDescent="0.35">
      <c r="F47" s="361" t="s">
        <v>44</v>
      </c>
      <c r="G47" s="114" t="s">
        <v>851</v>
      </c>
      <c r="H47" s="114" t="s">
        <v>852</v>
      </c>
      <c r="I47" s="114" t="s">
        <v>853</v>
      </c>
      <c r="J47" s="114" t="s">
        <v>854</v>
      </c>
      <c r="K47" s="114" t="s">
        <v>855</v>
      </c>
    </row>
    <row r="48" spans="1:11" x14ac:dyDescent="0.35">
      <c r="A48" s="66" t="s">
        <v>856</v>
      </c>
    </row>
    <row r="49" spans="1:11" x14ac:dyDescent="0.35">
      <c r="B49" s="26" t="s">
        <v>830</v>
      </c>
      <c r="F49" s="33">
        <f>SUM(G49:K49)</f>
        <v>764323.11499999999</v>
      </c>
      <c r="G49" s="33">
        <v>304097.554</v>
      </c>
      <c r="H49" s="33">
        <v>266308.42799999996</v>
      </c>
      <c r="I49" s="33">
        <v>129013.439</v>
      </c>
      <c r="J49" s="33">
        <v>5298.0020000000004</v>
      </c>
      <c r="K49" s="33">
        <v>59605.69200000001</v>
      </c>
    </row>
    <row r="50" spans="1:11" x14ac:dyDescent="0.35">
      <c r="B50" s="26" t="s">
        <v>210</v>
      </c>
      <c r="F50" s="34">
        <f t="shared" ref="F50:F57" si="0">SUM(G50:K50)</f>
        <v>344069.25862068962</v>
      </c>
      <c r="G50" s="34">
        <v>0</v>
      </c>
      <c r="H50" s="34">
        <v>200217.24137931035</v>
      </c>
      <c r="I50" s="34">
        <v>143852.0172413793</v>
      </c>
      <c r="J50" s="34">
        <v>0</v>
      </c>
      <c r="K50" s="34">
        <v>0</v>
      </c>
    </row>
    <row r="51" spans="1:11" x14ac:dyDescent="0.35">
      <c r="B51" s="26" t="s">
        <v>845</v>
      </c>
      <c r="F51" s="34">
        <f t="shared" si="0"/>
        <v>110596.09999999998</v>
      </c>
      <c r="G51" s="34">
        <v>49645.621499999994</v>
      </c>
      <c r="H51" s="34">
        <v>15473.3835</v>
      </c>
      <c r="I51" s="34">
        <v>25155.754999999997</v>
      </c>
      <c r="J51" s="34">
        <v>0</v>
      </c>
      <c r="K51" s="34">
        <v>20321.339999999997</v>
      </c>
    </row>
    <row r="52" spans="1:11" x14ac:dyDescent="0.35">
      <c r="B52" s="26" t="s">
        <v>846</v>
      </c>
      <c r="F52" s="34">
        <f t="shared" si="0"/>
        <v>32668.656716417911</v>
      </c>
      <c r="G52" s="34">
        <v>0</v>
      </c>
      <c r="H52" s="34">
        <v>9237.313432835821</v>
      </c>
      <c r="I52" s="34">
        <v>23431.343283582089</v>
      </c>
      <c r="J52" s="34">
        <v>0</v>
      </c>
      <c r="K52" s="34">
        <v>0</v>
      </c>
    </row>
    <row r="53" spans="1:11" x14ac:dyDescent="0.35">
      <c r="B53" s="26" t="s">
        <v>847</v>
      </c>
      <c r="F53" s="34">
        <f t="shared" si="0"/>
        <v>9836</v>
      </c>
      <c r="G53" s="34"/>
      <c r="H53" s="34">
        <v>9836</v>
      </c>
      <c r="I53" s="34"/>
      <c r="J53" s="34"/>
      <c r="K53" s="34"/>
    </row>
    <row r="54" spans="1:11" x14ac:dyDescent="0.35">
      <c r="B54" s="26" t="s">
        <v>848</v>
      </c>
      <c r="F54" s="34">
        <f t="shared" si="0"/>
        <v>15338.980000000001</v>
      </c>
      <c r="G54" s="34"/>
      <c r="H54" s="34">
        <v>14167.62</v>
      </c>
      <c r="I54" s="34">
        <v>1171.3599999999999</v>
      </c>
      <c r="J54" s="34"/>
      <c r="K54" s="34"/>
    </row>
    <row r="55" spans="1:11" x14ac:dyDescent="0.35">
      <c r="B55" s="26" t="s">
        <v>849</v>
      </c>
      <c r="F55" s="34">
        <f t="shared" si="0"/>
        <v>2019</v>
      </c>
      <c r="G55" s="34">
        <v>2019</v>
      </c>
      <c r="H55" s="34"/>
      <c r="I55" s="34"/>
      <c r="J55" s="34"/>
      <c r="K55" s="34"/>
    </row>
    <row r="56" spans="1:11" x14ac:dyDescent="0.35">
      <c r="B56" s="26" t="s">
        <v>47</v>
      </c>
      <c r="F56" s="34">
        <f t="shared" si="0"/>
        <v>224166</v>
      </c>
      <c r="G56" s="34">
        <v>34382</v>
      </c>
      <c r="H56" s="34">
        <v>39514</v>
      </c>
      <c r="I56" s="34">
        <v>150270</v>
      </c>
      <c r="J56" s="34">
        <v>0</v>
      </c>
      <c r="K56" s="34">
        <v>0</v>
      </c>
    </row>
    <row r="57" spans="1:11" x14ac:dyDescent="0.35">
      <c r="B57" s="26" t="s">
        <v>850</v>
      </c>
      <c r="F57" s="35">
        <f t="shared" si="0"/>
        <v>177855.22388059698</v>
      </c>
      <c r="G57" s="35"/>
      <c r="H57" s="35">
        <v>177855.22388059698</v>
      </c>
      <c r="I57" s="35"/>
      <c r="J57" s="35"/>
      <c r="K57" s="35"/>
    </row>
    <row r="58" spans="1:11" ht="10.9" customHeight="1" x14ac:dyDescent="0.35"/>
    <row r="59" spans="1:11" x14ac:dyDescent="0.35">
      <c r="A59" s="26" t="s">
        <v>758</v>
      </c>
      <c r="F59" s="33">
        <f t="shared" ref="F59:K59" si="1">SUM(F49:F58)</f>
        <v>1680872.3342177044</v>
      </c>
      <c r="G59" s="33">
        <f t="shared" si="1"/>
        <v>390144.17550000001</v>
      </c>
      <c r="H59" s="33">
        <f t="shared" si="1"/>
        <v>732609.21019274299</v>
      </c>
      <c r="I59" s="33">
        <f t="shared" si="1"/>
        <v>472893.91452496138</v>
      </c>
      <c r="J59" s="33">
        <f t="shared" si="1"/>
        <v>5298.0020000000004</v>
      </c>
      <c r="K59" s="33">
        <f t="shared" si="1"/>
        <v>79927.032000000007</v>
      </c>
    </row>
    <row r="60" spans="1:11" x14ac:dyDescent="0.35">
      <c r="A60" s="40" t="s">
        <v>267</v>
      </c>
      <c r="G60" s="41">
        <f>G59/$F$59</f>
        <v>0.23210815453249589</v>
      </c>
      <c r="H60" s="41">
        <f>H59/$F$59</f>
        <v>0.43585059690669903</v>
      </c>
      <c r="I60" s="41">
        <f>I59/$F$59</f>
        <v>0.28133838894138929</v>
      </c>
      <c r="J60" s="41">
        <f>J59/$F$59</f>
        <v>3.1519359871347674E-3</v>
      </c>
      <c r="K60" s="41">
        <f>K59/$F$59</f>
        <v>4.7550923632281021E-2</v>
      </c>
    </row>
    <row r="62" spans="1:11" x14ac:dyDescent="0.35">
      <c r="A62" s="66" t="s">
        <v>860</v>
      </c>
    </row>
    <row r="63" spans="1:11" x14ac:dyDescent="0.35">
      <c r="B63" s="26" t="s">
        <v>47</v>
      </c>
      <c r="F63" s="33">
        <v>33093</v>
      </c>
      <c r="G63" s="33">
        <f>$F$63*G60</f>
        <v>7681.1551579438865</v>
      </c>
      <c r="H63" s="33">
        <f>$F$63*H60</f>
        <v>14423.603803433391</v>
      </c>
      <c r="I63" s="33">
        <f>$F$63*I60</f>
        <v>9310.331305237396</v>
      </c>
      <c r="J63" s="33">
        <f>$F$63*J60</f>
        <v>104.30701762225085</v>
      </c>
      <c r="K63" s="33">
        <f>$F$63*K60</f>
        <v>1573.6027157630758</v>
      </c>
    </row>
    <row r="64" spans="1:11" x14ac:dyDescent="0.35">
      <c r="B64" s="26" t="s">
        <v>857</v>
      </c>
      <c r="F64" s="34">
        <v>16953.73134328358</v>
      </c>
      <c r="G64" s="34">
        <f>$F$64*G60</f>
        <v>3935.0992945292842</v>
      </c>
      <c r="H64" s="34">
        <f>$F$64*H60</f>
        <v>7389.2939257659609</v>
      </c>
      <c r="I64" s="34">
        <f>$F$64*I60</f>
        <v>4769.7354626645383</v>
      </c>
      <c r="J64" s="34">
        <f>$F$64*J60</f>
        <v>53.43707593711018</v>
      </c>
      <c r="K64" s="34">
        <f>$F$64*K60</f>
        <v>806.16558438668665</v>
      </c>
    </row>
    <row r="65" spans="1:17" x14ac:dyDescent="0.35">
      <c r="B65" s="26" t="s">
        <v>858</v>
      </c>
      <c r="F65" s="35">
        <v>44920</v>
      </c>
      <c r="G65" s="35">
        <f>$F$65*G60</f>
        <v>10426.298301599716</v>
      </c>
      <c r="H65" s="35">
        <f>$F$65*H60</f>
        <v>19578.408813048922</v>
      </c>
      <c r="I65" s="35">
        <f>$F$65*I60</f>
        <v>12637.720431247208</v>
      </c>
      <c r="J65" s="35">
        <f>$F$65*J60</f>
        <v>141.58496454209376</v>
      </c>
      <c r="K65" s="35">
        <f>$F$65*K60</f>
        <v>2135.9874895620633</v>
      </c>
    </row>
    <row r="66" spans="1:17" ht="10.15" customHeight="1" x14ac:dyDescent="0.35"/>
    <row r="67" spans="1:17" x14ac:dyDescent="0.35">
      <c r="A67" s="26" t="s">
        <v>859</v>
      </c>
      <c r="F67" s="33">
        <f t="shared" ref="F67:K67" si="2">SUM(F63:F66)</f>
        <v>94966.73134328358</v>
      </c>
      <c r="G67" s="33">
        <f t="shared" si="2"/>
        <v>22042.552754072887</v>
      </c>
      <c r="H67" s="33">
        <f t="shared" si="2"/>
        <v>41391.306542248276</v>
      </c>
      <c r="I67" s="33">
        <f t="shared" si="2"/>
        <v>26717.787199149141</v>
      </c>
      <c r="J67" s="33">
        <f t="shared" si="2"/>
        <v>299.32905810145479</v>
      </c>
      <c r="K67" s="33">
        <f t="shared" si="2"/>
        <v>4515.7557897118259</v>
      </c>
    </row>
    <row r="69" spans="1:17" x14ac:dyDescent="0.35">
      <c r="A69" s="26" t="s">
        <v>880</v>
      </c>
      <c r="F69" s="33">
        <f t="shared" ref="F69:K69" si="3">F59+F67</f>
        <v>1775839.0655609879</v>
      </c>
      <c r="G69" s="33">
        <f t="shared" si="3"/>
        <v>412186.72825407289</v>
      </c>
      <c r="H69" s="33">
        <f t="shared" si="3"/>
        <v>774000.51673499122</v>
      </c>
      <c r="I69" s="33">
        <f t="shared" si="3"/>
        <v>499611.70172411052</v>
      </c>
      <c r="J69" s="33">
        <f t="shared" si="3"/>
        <v>5597.3310581014548</v>
      </c>
      <c r="K69" s="33">
        <f t="shared" si="3"/>
        <v>84442.787789711831</v>
      </c>
    </row>
    <row r="70" spans="1:17" x14ac:dyDescent="0.35">
      <c r="A70" s="364" t="s">
        <v>267</v>
      </c>
      <c r="B70" s="25"/>
      <c r="C70" s="25"/>
      <c r="D70" s="25"/>
      <c r="E70" s="25"/>
      <c r="F70" s="25"/>
      <c r="G70" s="365">
        <f>G69/$F$69</f>
        <v>0.23210815453249589</v>
      </c>
      <c r="H70" s="365">
        <f>H69/$F$69</f>
        <v>0.43585059690669903</v>
      </c>
      <c r="I70" s="365">
        <f>I69/$F$69</f>
        <v>0.28133838894138929</v>
      </c>
      <c r="J70" s="365">
        <f>J69/$F$69</f>
        <v>3.151935987134767E-3</v>
      </c>
      <c r="K70" s="365">
        <f>K69/$F$69</f>
        <v>4.7550923632281021E-2</v>
      </c>
      <c r="N70" s="26" t="s">
        <v>885</v>
      </c>
    </row>
    <row r="71" spans="1:17" x14ac:dyDescent="0.35">
      <c r="A71" s="25"/>
      <c r="N71" s="26" t="s">
        <v>888</v>
      </c>
      <c r="Q71" s="169">
        <f>H73</f>
        <v>0.43585059690669903</v>
      </c>
    </row>
    <row r="72" spans="1:17" x14ac:dyDescent="0.35">
      <c r="A72" s="25" t="s">
        <v>883</v>
      </c>
      <c r="F72" s="36">
        <f>F99+F104</f>
        <v>2073888</v>
      </c>
      <c r="G72" s="36">
        <f>$F$72*G70</f>
        <v>481366.31638708885</v>
      </c>
      <c r="H72" s="36">
        <f>$F$72*H70</f>
        <v>903905.3227176402</v>
      </c>
      <c r="I72" s="36">
        <f>$F$72*I70</f>
        <v>583464.30876487994</v>
      </c>
      <c r="J72" s="36">
        <f>$F$72*J70</f>
        <v>6536.7622204869476</v>
      </c>
      <c r="K72" s="36">
        <f>$F$72*K70</f>
        <v>98615.289909904022</v>
      </c>
      <c r="N72" s="26" t="s">
        <v>855</v>
      </c>
      <c r="Q72" s="169">
        <f>K73</f>
        <v>4.7550923632281021E-2</v>
      </c>
    </row>
    <row r="73" spans="1:17" x14ac:dyDescent="0.35">
      <c r="A73" s="25"/>
      <c r="G73" s="41">
        <f>G72/$F$72</f>
        <v>0.23210815453249589</v>
      </c>
      <c r="H73" s="41">
        <f>H72/$F$72</f>
        <v>0.43585059690669903</v>
      </c>
      <c r="I73" s="41">
        <f>I72/$F$72</f>
        <v>0.28133838894138929</v>
      </c>
      <c r="J73" s="41">
        <f>J72/$F$72</f>
        <v>3.151935987134767E-3</v>
      </c>
      <c r="K73" s="41">
        <f>K72/$F$72</f>
        <v>4.7550923632281021E-2</v>
      </c>
      <c r="N73" s="26" t="s">
        <v>887</v>
      </c>
      <c r="Q73" s="169">
        <f>J73</f>
        <v>3.151935987134767E-3</v>
      </c>
    </row>
    <row r="74" spans="1:17" x14ac:dyDescent="0.35">
      <c r="N74" s="26" t="s">
        <v>851</v>
      </c>
      <c r="Q74" s="168">
        <f>SUM(G73,I73)*'Inch_Ft Piping'!I28</f>
        <v>0.28018267465832697</v>
      </c>
    </row>
    <row r="75" spans="1:17" x14ac:dyDescent="0.35">
      <c r="A75" s="66" t="s">
        <v>861</v>
      </c>
      <c r="F75" s="29" t="s">
        <v>865</v>
      </c>
      <c r="G75" s="29" t="s">
        <v>865</v>
      </c>
      <c r="N75" s="26" t="s">
        <v>886</v>
      </c>
      <c r="Q75" s="168">
        <f>SUM(G73,I73)*'Inch_Ft Piping'!I29</f>
        <v>0.23326386881555822</v>
      </c>
    </row>
    <row r="76" spans="1:17" ht="19.149999999999999" customHeight="1" x14ac:dyDescent="0.35">
      <c r="F76" s="205" t="s">
        <v>862</v>
      </c>
      <c r="G76" s="205" t="s">
        <v>863</v>
      </c>
      <c r="H76" s="51" t="s">
        <v>864</v>
      </c>
      <c r="Q76" s="169">
        <f>SUM(Q71:Q75)</f>
        <v>1</v>
      </c>
    </row>
    <row r="77" spans="1:17" ht="16.149999999999999" customHeight="1" x14ac:dyDescent="0.35">
      <c r="F77" s="343"/>
      <c r="G77" s="343"/>
    </row>
    <row r="78" spans="1:17" x14ac:dyDescent="0.35">
      <c r="A78" s="26" t="s">
        <v>210</v>
      </c>
      <c r="F78" s="33">
        <v>252345.45</v>
      </c>
      <c r="G78" s="33">
        <v>138768</v>
      </c>
      <c r="H78" s="144">
        <f>F78-G78</f>
        <v>113577.45000000001</v>
      </c>
      <c r="I78" s="26" t="s">
        <v>869</v>
      </c>
    </row>
    <row r="79" spans="1:17" x14ac:dyDescent="0.35">
      <c r="A79" s="26" t="s">
        <v>211</v>
      </c>
      <c r="F79" s="34">
        <v>1553.4599999999991</v>
      </c>
      <c r="G79" s="34">
        <v>15000</v>
      </c>
      <c r="H79" s="362">
        <f>F79-G79</f>
        <v>-13446.54</v>
      </c>
      <c r="I79" s="26" t="s">
        <v>870</v>
      </c>
    </row>
    <row r="80" spans="1:17" x14ac:dyDescent="0.35">
      <c r="A80" s="26" t="s">
        <v>866</v>
      </c>
      <c r="F80" s="34">
        <v>1460058.27</v>
      </c>
      <c r="G80" s="34">
        <v>1460058</v>
      </c>
      <c r="H80" s="362">
        <f>F80-G80</f>
        <v>0.27000000001862645</v>
      </c>
      <c r="I80" s="26" t="s">
        <v>868</v>
      </c>
    </row>
    <row r="81" spans="1:9" x14ac:dyDescent="0.35">
      <c r="A81" s="26" t="s">
        <v>213</v>
      </c>
      <c r="F81" s="35">
        <v>263036.24</v>
      </c>
      <c r="G81" s="35">
        <f>F21</f>
        <v>193200</v>
      </c>
      <c r="H81" s="363">
        <f>F81-G81</f>
        <v>69836.239999999991</v>
      </c>
      <c r="I81" s="26" t="s">
        <v>867</v>
      </c>
    </row>
    <row r="83" spans="1:9" x14ac:dyDescent="0.35">
      <c r="A83" s="26" t="s">
        <v>44</v>
      </c>
      <c r="F83" s="33">
        <f>SUM(F78:F82)</f>
        <v>1976993.42</v>
      </c>
      <c r="G83" s="33">
        <f>SUM(G78:G82)</f>
        <v>1807026</v>
      </c>
      <c r="H83" s="144">
        <f>SUM(H78:H82)</f>
        <v>169967.42</v>
      </c>
    </row>
    <row r="85" spans="1:9" x14ac:dyDescent="0.35">
      <c r="A85" s="66" t="s">
        <v>871</v>
      </c>
    </row>
    <row r="86" spans="1:9" x14ac:dyDescent="0.35">
      <c r="A86" s="26" t="s">
        <v>210</v>
      </c>
      <c r="F86" s="33">
        <v>104400</v>
      </c>
      <c r="G86" s="26" t="s">
        <v>876</v>
      </c>
    </row>
    <row r="87" spans="1:9" x14ac:dyDescent="0.35">
      <c r="A87" s="26" t="s">
        <v>211</v>
      </c>
      <c r="F87" s="34">
        <v>-13400</v>
      </c>
      <c r="G87" s="26" t="s">
        <v>875</v>
      </c>
    </row>
    <row r="88" spans="1:9" x14ac:dyDescent="0.35">
      <c r="A88" s="26" t="s">
        <v>866</v>
      </c>
      <c r="F88" s="34">
        <v>90523</v>
      </c>
      <c r="G88" s="26" t="s">
        <v>873</v>
      </c>
    </row>
    <row r="89" spans="1:9" x14ac:dyDescent="0.35">
      <c r="A89" s="26" t="s">
        <v>213</v>
      </c>
      <c r="F89" s="35">
        <v>70000</v>
      </c>
      <c r="G89" s="26" t="s">
        <v>874</v>
      </c>
    </row>
    <row r="91" spans="1:9" x14ac:dyDescent="0.35">
      <c r="A91" s="26" t="s">
        <v>872</v>
      </c>
      <c r="F91" s="33">
        <f>SUM(F86:F90)</f>
        <v>251523</v>
      </c>
    </row>
    <row r="93" spans="1:9" x14ac:dyDescent="0.35">
      <c r="A93" s="66" t="s">
        <v>877</v>
      </c>
    </row>
    <row r="94" spans="1:9" x14ac:dyDescent="0.35">
      <c r="A94" s="26" t="s">
        <v>210</v>
      </c>
      <c r="F94" s="33">
        <f>G78+F86</f>
        <v>243168</v>
      </c>
    </row>
    <row r="95" spans="1:9" x14ac:dyDescent="0.35">
      <c r="A95" s="26" t="s">
        <v>211</v>
      </c>
      <c r="F95" s="34">
        <f>G79+F87</f>
        <v>1600</v>
      </c>
    </row>
    <row r="96" spans="1:9" x14ac:dyDescent="0.35">
      <c r="A96" s="26" t="s">
        <v>866</v>
      </c>
      <c r="F96" s="34">
        <f>G80+F88</f>
        <v>1550581</v>
      </c>
    </row>
    <row r="97" spans="1:7" x14ac:dyDescent="0.35">
      <c r="A97" s="26" t="s">
        <v>213</v>
      </c>
      <c r="F97" s="35">
        <f>G81+F89</f>
        <v>263200</v>
      </c>
    </row>
    <row r="99" spans="1:7" x14ac:dyDescent="0.35">
      <c r="A99" s="26" t="s">
        <v>879</v>
      </c>
      <c r="F99" s="33">
        <f>SUM(F94:F98)</f>
        <v>2058549</v>
      </c>
    </row>
    <row r="101" spans="1:7" x14ac:dyDescent="0.35">
      <c r="A101" s="26" t="s">
        <v>878</v>
      </c>
      <c r="F101" s="33">
        <f>F99-F83</f>
        <v>81555.580000000075</v>
      </c>
    </row>
    <row r="103" spans="1:7" x14ac:dyDescent="0.35">
      <c r="A103" s="26" t="s">
        <v>881</v>
      </c>
    </row>
    <row r="104" spans="1:7" x14ac:dyDescent="0.35">
      <c r="A104" s="26" t="s">
        <v>882</v>
      </c>
      <c r="F104" s="33">
        <v>15339</v>
      </c>
      <c r="G104" s="26" t="s">
        <v>884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22"/>
  </sheetPr>
  <dimension ref="A1:H17"/>
  <sheetViews>
    <sheetView workbookViewId="0">
      <selection activeCell="J39" sqref="J39"/>
    </sheetView>
  </sheetViews>
  <sheetFormatPr defaultRowHeight="12.5" x14ac:dyDescent="0.25"/>
  <cols>
    <col min="1" max="1" width="3.7265625" customWidth="1"/>
    <col min="5" max="5" width="10.7265625" customWidth="1"/>
    <col min="6" max="6" width="13" customWidth="1"/>
    <col min="7" max="7" width="14.26953125" customWidth="1"/>
    <col min="8" max="8" width="16.26953125" customWidth="1"/>
  </cols>
  <sheetData>
    <row r="1" spans="1:8" ht="15.5" x14ac:dyDescent="0.35">
      <c r="A1" s="25" t="s">
        <v>4</v>
      </c>
      <c r="B1" s="25"/>
      <c r="C1" s="26"/>
      <c r="D1" s="26"/>
      <c r="E1" s="26"/>
      <c r="F1" s="26"/>
      <c r="G1" s="26"/>
      <c r="H1" s="26"/>
    </row>
    <row r="2" spans="1:8" ht="15.5" x14ac:dyDescent="0.35">
      <c r="A2" s="25" t="s">
        <v>109</v>
      </c>
      <c r="B2" s="25"/>
      <c r="C2" s="26"/>
      <c r="D2" s="26"/>
      <c r="E2" s="26"/>
      <c r="F2" s="26"/>
      <c r="G2" s="26"/>
      <c r="H2" s="26"/>
    </row>
    <row r="3" spans="1:8" ht="15.5" x14ac:dyDescent="0.35">
      <c r="A3" s="25" t="s">
        <v>1117</v>
      </c>
      <c r="B3" s="25"/>
      <c r="C3" s="25"/>
      <c r="D3" s="26"/>
      <c r="E3" s="26"/>
      <c r="F3" s="26"/>
      <c r="G3" s="26"/>
      <c r="H3" s="50" t="s">
        <v>1666</v>
      </c>
    </row>
    <row r="4" spans="1:8" ht="15.5" x14ac:dyDescent="0.35">
      <c r="A4" s="25"/>
      <c r="B4" s="25"/>
      <c r="C4" s="25"/>
      <c r="D4" s="26"/>
      <c r="E4" s="26"/>
      <c r="F4" s="26"/>
      <c r="G4" s="26"/>
      <c r="H4" s="26"/>
    </row>
    <row r="5" spans="1:8" ht="15.5" x14ac:dyDescent="0.35">
      <c r="A5" s="26"/>
      <c r="B5" s="26"/>
      <c r="C5" s="26"/>
      <c r="D5" s="26"/>
      <c r="E5" s="27"/>
      <c r="F5" s="46">
        <v>2012</v>
      </c>
      <c r="G5" s="27"/>
      <c r="H5" s="27"/>
    </row>
    <row r="6" spans="1:8" ht="15.5" x14ac:dyDescent="0.35">
      <c r="A6" s="81"/>
      <c r="B6" s="81"/>
      <c r="C6" s="81"/>
      <c r="D6" s="81"/>
      <c r="E6" s="104"/>
      <c r="F6" s="30" t="s">
        <v>112</v>
      </c>
      <c r="G6" s="30" t="s">
        <v>36</v>
      </c>
      <c r="H6" s="30" t="s">
        <v>37</v>
      </c>
    </row>
    <row r="7" spans="1:8" ht="15.5" x14ac:dyDescent="0.35">
      <c r="A7" s="26"/>
      <c r="B7" s="26"/>
      <c r="C7" s="26"/>
      <c r="D7" s="26"/>
      <c r="E7" s="26"/>
      <c r="F7" s="26"/>
      <c r="G7" s="26"/>
      <c r="H7" s="26"/>
    </row>
    <row r="8" spans="1:8" ht="15.5" x14ac:dyDescent="0.35">
      <c r="A8" s="26" t="s">
        <v>1118</v>
      </c>
      <c r="B8" s="26"/>
      <c r="C8" s="26"/>
      <c r="D8" s="26"/>
      <c r="E8" s="26"/>
      <c r="F8" s="33">
        <f>'Test Year Detail'!F38</f>
        <v>-88328.9</v>
      </c>
      <c r="G8" s="33">
        <f>-(F8-H8)</f>
        <v>33662.899999999994</v>
      </c>
      <c r="H8" s="33">
        <v>-54666</v>
      </c>
    </row>
    <row r="9" spans="1:8" ht="15.5" x14ac:dyDescent="0.35">
      <c r="A9" s="26"/>
      <c r="B9" s="26"/>
      <c r="C9" s="26"/>
      <c r="D9" s="26"/>
      <c r="E9" s="26"/>
      <c r="F9" s="26"/>
      <c r="G9" s="26"/>
      <c r="H9" s="26"/>
    </row>
    <row r="10" spans="1:8" ht="15.5" x14ac:dyDescent="0.35">
      <c r="A10" s="26"/>
      <c r="B10" s="26"/>
      <c r="C10" s="26"/>
      <c r="D10" s="26"/>
      <c r="E10" s="26"/>
      <c r="F10" s="26"/>
      <c r="G10" s="26"/>
      <c r="H10" s="26"/>
    </row>
    <row r="11" spans="1:8" ht="15.5" x14ac:dyDescent="0.35">
      <c r="A11" s="84">
        <v>-1</v>
      </c>
      <c r="B11" s="26" t="s">
        <v>1119</v>
      </c>
      <c r="C11" s="26"/>
      <c r="D11" s="26"/>
      <c r="E11" s="26"/>
      <c r="F11" s="26"/>
      <c r="G11" s="26"/>
      <c r="H11" s="26"/>
    </row>
    <row r="12" spans="1:8" ht="15.5" x14ac:dyDescent="0.35">
      <c r="A12" s="26"/>
      <c r="B12" s="26" t="s">
        <v>1120</v>
      </c>
      <c r="C12" s="26"/>
      <c r="D12" s="26"/>
      <c r="E12" s="26"/>
      <c r="F12" s="26"/>
      <c r="G12" s="26"/>
      <c r="H12" s="26"/>
    </row>
    <row r="13" spans="1:8" ht="15.5" x14ac:dyDescent="0.35">
      <c r="A13" s="26"/>
      <c r="B13" s="26" t="s">
        <v>1511</v>
      </c>
      <c r="C13" s="26"/>
      <c r="D13" s="26"/>
      <c r="E13" s="26"/>
      <c r="F13" s="26"/>
      <c r="G13" s="26"/>
      <c r="H13" s="26"/>
    </row>
    <row r="14" spans="1:8" ht="15.5" x14ac:dyDescent="0.35">
      <c r="B14" s="26" t="s">
        <v>1512</v>
      </c>
    </row>
    <row r="15" spans="1:8" ht="15.5" x14ac:dyDescent="0.35">
      <c r="B15" s="26"/>
    </row>
    <row r="16" spans="1:8" ht="15.5" x14ac:dyDescent="0.35">
      <c r="B16" s="26"/>
    </row>
    <row r="17" spans="2:2" ht="15.5" x14ac:dyDescent="0.35">
      <c r="B17" s="2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14999847407452621"/>
  </sheetPr>
  <dimension ref="A1:G66"/>
  <sheetViews>
    <sheetView zoomScale="75" zoomScaleNormal="75" workbookViewId="0">
      <selection activeCell="J63" sqref="J63"/>
    </sheetView>
  </sheetViews>
  <sheetFormatPr defaultColWidth="8.7265625" defaultRowHeight="15.5" outlineLevelRow="1" x14ac:dyDescent="0.35"/>
  <cols>
    <col min="1" max="1" width="6.453125" style="26" customWidth="1"/>
    <col min="2" max="2" width="42.26953125" style="26" customWidth="1"/>
    <col min="3" max="3" width="13.26953125" style="26" bestFit="1" customWidth="1"/>
    <col min="4" max="4" width="3.7265625" style="26" customWidth="1"/>
    <col min="5" max="5" width="14.26953125" style="26" customWidth="1"/>
    <col min="6" max="6" width="29.7265625" style="26" customWidth="1"/>
    <col min="7" max="7" width="9.54296875" style="26" customWidth="1"/>
    <col min="8" max="16384" width="8.7265625" style="26"/>
  </cols>
  <sheetData>
    <row r="1" spans="1:7" x14ac:dyDescent="0.35">
      <c r="A1" s="25" t="s">
        <v>4</v>
      </c>
      <c r="C1" s="50"/>
    </row>
    <row r="2" spans="1:7" x14ac:dyDescent="0.35">
      <c r="A2" s="25" t="s">
        <v>109</v>
      </c>
    </row>
    <row r="3" spans="1:7" x14ac:dyDescent="0.35">
      <c r="A3" s="25" t="s">
        <v>719</v>
      </c>
      <c r="B3" s="25"/>
    </row>
    <row r="5" spans="1:7" x14ac:dyDescent="0.35">
      <c r="C5" s="51" t="s">
        <v>37</v>
      </c>
    </row>
    <row r="8" spans="1:7" x14ac:dyDescent="0.35">
      <c r="A8" s="66" t="s">
        <v>709</v>
      </c>
    </row>
    <row r="9" spans="1:7" x14ac:dyDescent="0.35">
      <c r="A9" s="26" t="s">
        <v>710</v>
      </c>
      <c r="C9" s="33">
        <v>0</v>
      </c>
    </row>
    <row r="10" spans="1:7" x14ac:dyDescent="0.35">
      <c r="A10" s="26" t="s">
        <v>711</v>
      </c>
      <c r="C10" s="447">
        <v>0</v>
      </c>
    </row>
    <row r="11" spans="1:7" ht="10.15" customHeight="1" thickBot="1" x14ac:dyDescent="0.4">
      <c r="C11" s="34"/>
    </row>
    <row r="12" spans="1:7" ht="16" thickBot="1" x14ac:dyDescent="0.4">
      <c r="A12" s="25" t="s">
        <v>712</v>
      </c>
      <c r="B12" s="25"/>
      <c r="C12" s="317">
        <f>SUM(C9:C11)</f>
        <v>0</v>
      </c>
    </row>
    <row r="14" spans="1:7" ht="7.9" customHeight="1" x14ac:dyDescent="0.35"/>
    <row r="15" spans="1:7" x14ac:dyDescent="0.35">
      <c r="C15" s="165"/>
      <c r="G15" s="165"/>
    </row>
    <row r="16" spans="1:7" hidden="1" outlineLevel="1" x14ac:dyDescent="0.35">
      <c r="A16" s="66" t="s">
        <v>1304</v>
      </c>
      <c r="C16" s="165"/>
      <c r="G16" s="165"/>
    </row>
    <row r="17" spans="1:7" hidden="1" outlineLevel="1" x14ac:dyDescent="0.35">
      <c r="A17" s="26" t="s">
        <v>1305</v>
      </c>
      <c r="C17" s="165">
        <f>144*0.9</f>
        <v>129.6</v>
      </c>
      <c r="E17" s="26" t="s">
        <v>1309</v>
      </c>
      <c r="G17" s="165"/>
    </row>
    <row r="18" spans="1:7" hidden="1" outlineLevel="1" x14ac:dyDescent="0.35">
      <c r="A18" s="26" t="s">
        <v>700</v>
      </c>
      <c r="C18" s="453">
        <f>(C17*3)-(2)</f>
        <v>386.79999999999995</v>
      </c>
      <c r="E18" s="26" t="s">
        <v>1310</v>
      </c>
    </row>
    <row r="19" spans="1:7" hidden="1" outlineLevel="1" x14ac:dyDescent="0.35">
      <c r="A19" s="26" t="s">
        <v>1306</v>
      </c>
      <c r="C19" s="165">
        <v>17.62</v>
      </c>
      <c r="E19" s="26" t="s">
        <v>1311</v>
      </c>
    </row>
    <row r="20" spans="1:7" hidden="1" outlineLevel="1" x14ac:dyDescent="0.35">
      <c r="A20" s="26" t="s">
        <v>701</v>
      </c>
      <c r="C20" s="165">
        <f>((C18-13)*4.6)+74.75</f>
        <v>1794.2299999999996</v>
      </c>
      <c r="E20" s="26" t="s">
        <v>1312</v>
      </c>
    </row>
    <row r="21" spans="1:7" hidden="1" outlineLevel="1" x14ac:dyDescent="0.35">
      <c r="A21" s="26" t="s">
        <v>713</v>
      </c>
      <c r="C21" s="130">
        <f>C20*12</f>
        <v>21530.759999999995</v>
      </c>
      <c r="E21" s="26" t="s">
        <v>1313</v>
      </c>
    </row>
    <row r="22" spans="1:7" hidden="1" outlineLevel="1" x14ac:dyDescent="0.35">
      <c r="A22" s="525" t="s">
        <v>1307</v>
      </c>
      <c r="C22" s="128">
        <f>+C21*0.5</f>
        <v>10765.379999999997</v>
      </c>
      <c r="E22" s="26" t="s">
        <v>1314</v>
      </c>
    </row>
    <row r="23" spans="1:7" hidden="1" outlineLevel="1" x14ac:dyDescent="0.35">
      <c r="A23" s="66" t="s">
        <v>1308</v>
      </c>
      <c r="C23" s="128">
        <f>(+C22+(C21*2))/3</f>
        <v>17942.299999999996</v>
      </c>
      <c r="E23" s="26" t="s">
        <v>1315</v>
      </c>
    </row>
    <row r="24" spans="1:7" hidden="1" outlineLevel="1" x14ac:dyDescent="0.35">
      <c r="C24" s="165"/>
    </row>
    <row r="25" spans="1:7" hidden="1" outlineLevel="1" x14ac:dyDescent="0.35">
      <c r="C25" s="165"/>
    </row>
    <row r="26" spans="1:7" hidden="1" outlineLevel="1" x14ac:dyDescent="0.35">
      <c r="C26" s="165"/>
    </row>
    <row r="27" spans="1:7" hidden="1" outlineLevel="1" x14ac:dyDescent="0.35">
      <c r="C27" s="117"/>
    </row>
    <row r="28" spans="1:7" hidden="1" outlineLevel="1" x14ac:dyDescent="0.35">
      <c r="C28" s="117"/>
    </row>
    <row r="29" spans="1:7" hidden="1" outlineLevel="1" x14ac:dyDescent="0.35">
      <c r="C29" s="315">
        <v>0</v>
      </c>
    </row>
    <row r="30" spans="1:7" hidden="1" outlineLevel="1" x14ac:dyDescent="0.35">
      <c r="A30" s="26" t="s">
        <v>702</v>
      </c>
      <c r="C30" s="530">
        <f>+C23</f>
        <v>17942.299999999996</v>
      </c>
    </row>
    <row r="31" spans="1:7" collapsed="1" x14ac:dyDescent="0.35"/>
    <row r="32" spans="1:7" x14ac:dyDescent="0.35">
      <c r="A32" s="84">
        <v>-1</v>
      </c>
      <c r="B32" s="26" t="s">
        <v>1041</v>
      </c>
    </row>
    <row r="33" spans="1:5" x14ac:dyDescent="0.35">
      <c r="A33" s="84"/>
    </row>
    <row r="35" spans="1:5" s="342" customFormat="1" ht="6.65" customHeight="1" x14ac:dyDescent="0.35"/>
    <row r="36" spans="1:5" x14ac:dyDescent="0.35">
      <c r="A36" s="26" t="s">
        <v>1564</v>
      </c>
    </row>
    <row r="38" spans="1:5" x14ac:dyDescent="0.35">
      <c r="C38" s="51" t="s">
        <v>480</v>
      </c>
      <c r="E38" s="51" t="s">
        <v>269</v>
      </c>
    </row>
    <row r="39" spans="1:5" ht="7.5" customHeight="1" x14ac:dyDescent="0.35">
      <c r="C39" s="52"/>
      <c r="E39" s="52"/>
    </row>
    <row r="40" spans="1:5" ht="15.75" customHeight="1" x14ac:dyDescent="0.35">
      <c r="B40" s="204">
        <v>2010</v>
      </c>
      <c r="C40" s="182">
        <v>9061.0833333333339</v>
      </c>
      <c r="E40" s="182">
        <v>493353300</v>
      </c>
    </row>
    <row r="41" spans="1:5" ht="14.25" customHeight="1" x14ac:dyDescent="0.35">
      <c r="B41" s="204">
        <v>2011</v>
      </c>
      <c r="C41" s="182">
        <v>8973.5833333333339</v>
      </c>
      <c r="E41" s="182">
        <v>473427400</v>
      </c>
    </row>
    <row r="42" spans="1:5" x14ac:dyDescent="0.35">
      <c r="B42" s="204">
        <v>2012</v>
      </c>
      <c r="C42" s="182">
        <v>8977.1666666666661</v>
      </c>
      <c r="E42" s="182">
        <v>489914500</v>
      </c>
    </row>
    <row r="44" spans="1:5" x14ac:dyDescent="0.35">
      <c r="B44" s="204" t="s">
        <v>1115</v>
      </c>
      <c r="C44" s="182">
        <f>AVERAGE(C40:C42)</f>
        <v>9003.9444444444453</v>
      </c>
      <c r="E44" s="182">
        <f>AVERAGE(E40:E42)</f>
        <v>485565066.66666669</v>
      </c>
    </row>
    <row r="47" spans="1:5" x14ac:dyDescent="0.35">
      <c r="A47" s="66"/>
    </row>
    <row r="48" spans="1:5" x14ac:dyDescent="0.35">
      <c r="C48" s="165"/>
    </row>
    <row r="50" spans="1:6" x14ac:dyDescent="0.35">
      <c r="A50" s="316" t="s">
        <v>208</v>
      </c>
    </row>
    <row r="52" spans="1:6" x14ac:dyDescent="0.35">
      <c r="A52" s="26" t="s">
        <v>703</v>
      </c>
      <c r="C52" s="165"/>
      <c r="E52" s="449">
        <v>2</v>
      </c>
      <c r="F52" s="26" t="s">
        <v>1082</v>
      </c>
    </row>
    <row r="53" spans="1:6" x14ac:dyDescent="0.35">
      <c r="A53" s="26" t="s">
        <v>704</v>
      </c>
      <c r="C53" s="203">
        <f>(C29*C26*12)</f>
        <v>0</v>
      </c>
    </row>
    <row r="55" spans="1:6" x14ac:dyDescent="0.35">
      <c r="A55" s="26" t="s">
        <v>705</v>
      </c>
      <c r="C55" s="165">
        <f>+C18*12</f>
        <v>4641.5999999999995</v>
      </c>
    </row>
    <row r="57" spans="1:6" x14ac:dyDescent="0.35">
      <c r="A57" s="26" t="s">
        <v>706</v>
      </c>
    </row>
    <row r="58" spans="1:6" x14ac:dyDescent="0.35">
      <c r="B58" s="26" t="s">
        <v>708</v>
      </c>
      <c r="C58" s="165">
        <v>0</v>
      </c>
    </row>
    <row r="59" spans="1:6" x14ac:dyDescent="0.35">
      <c r="B59" s="26" t="s">
        <v>274</v>
      </c>
      <c r="C59" s="165">
        <v>0</v>
      </c>
    </row>
    <row r="60" spans="1:6" x14ac:dyDescent="0.35">
      <c r="B60" s="26" t="s">
        <v>275</v>
      </c>
      <c r="C60" s="203">
        <v>0</v>
      </c>
    </row>
    <row r="61" spans="1:6" x14ac:dyDescent="0.35">
      <c r="C61" s="165">
        <f>C17*3*12</f>
        <v>4665.5999999999995</v>
      </c>
    </row>
    <row r="63" spans="1:6" x14ac:dyDescent="0.35">
      <c r="A63" s="26" t="s">
        <v>707</v>
      </c>
    </row>
    <row r="64" spans="1:6" x14ac:dyDescent="0.35">
      <c r="B64" s="26" t="s">
        <v>708</v>
      </c>
      <c r="C64" s="165"/>
    </row>
    <row r="65" spans="2:3" x14ac:dyDescent="0.35">
      <c r="B65" s="26" t="s">
        <v>274</v>
      </c>
      <c r="C65" s="165"/>
    </row>
    <row r="66" spans="2:3" x14ac:dyDescent="0.35">
      <c r="B66" s="26" t="s">
        <v>275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249977111117893"/>
  </sheetPr>
  <dimension ref="A1:M46"/>
  <sheetViews>
    <sheetView workbookViewId="0">
      <selection activeCell="B17" sqref="B17"/>
    </sheetView>
  </sheetViews>
  <sheetFormatPr defaultRowHeight="12.5" x14ac:dyDescent="0.25"/>
  <cols>
    <col min="1" max="6" width="12.26953125" customWidth="1"/>
    <col min="8" max="8" width="9.7265625" bestFit="1" customWidth="1"/>
  </cols>
  <sheetData>
    <row r="1" spans="1:13" ht="15.5" x14ac:dyDescent="0.35">
      <c r="A1" s="25" t="s">
        <v>4</v>
      </c>
      <c r="B1" s="26"/>
      <c r="C1" s="26"/>
      <c r="D1" s="26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5.5" x14ac:dyDescent="0.35">
      <c r="A2" s="25" t="s">
        <v>109</v>
      </c>
      <c r="B2" s="26"/>
      <c r="C2" s="26"/>
      <c r="D2" s="26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.5" x14ac:dyDescent="0.35">
      <c r="A3" s="25" t="s">
        <v>1089</v>
      </c>
      <c r="B3" s="26"/>
      <c r="C3" s="26"/>
      <c r="D3" s="26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3" x14ac:dyDescent="0.3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</row>
    <row r="5" spans="1:13" ht="13" x14ac:dyDescent="0.3">
      <c r="A5" s="455" t="s">
        <v>1090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</row>
    <row r="6" spans="1:13" ht="13" x14ac:dyDescent="0.3">
      <c r="A6" s="455" t="s">
        <v>1091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</row>
    <row r="7" spans="1:13" ht="13" x14ac:dyDescent="0.3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13" ht="13" x14ac:dyDescent="0.3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</row>
    <row r="9" spans="1:13" ht="14" x14ac:dyDescent="0.3">
      <c r="A9" s="456" t="s">
        <v>1092</v>
      </c>
      <c r="B9" s="456" t="s">
        <v>1093</v>
      </c>
      <c r="C9" s="456" t="s">
        <v>947</v>
      </c>
      <c r="D9" s="456" t="s">
        <v>1094</v>
      </c>
      <c r="E9" s="456" t="s">
        <v>1095</v>
      </c>
      <c r="F9" s="456" t="s">
        <v>1096</v>
      </c>
      <c r="G9" s="455"/>
      <c r="H9" s="455"/>
      <c r="I9" s="455"/>
      <c r="J9" s="455"/>
      <c r="K9" s="455"/>
      <c r="L9" s="455"/>
      <c r="M9" s="455"/>
    </row>
    <row r="10" spans="1:13" ht="13" x14ac:dyDescent="0.3">
      <c r="A10" s="466">
        <v>2005</v>
      </c>
      <c r="B10" s="467">
        <v>437536300</v>
      </c>
      <c r="C10" s="457">
        <v>736719000</v>
      </c>
      <c r="D10" s="457">
        <f t="shared" ref="D10:D17" si="0">+C10-B10</f>
        <v>299182700</v>
      </c>
      <c r="E10" s="458">
        <f t="shared" ref="E10:E17" si="1">+D10/C10</f>
        <v>0.40610151224551017</v>
      </c>
      <c r="F10" s="459">
        <f t="shared" ref="F10:F17" si="2">+C10/B10</f>
        <v>1.6837894364421877</v>
      </c>
      <c r="G10" s="455"/>
      <c r="H10" s="455"/>
      <c r="I10" s="455"/>
      <c r="J10" s="455"/>
      <c r="K10" s="455"/>
      <c r="L10" s="455"/>
      <c r="M10" s="455"/>
    </row>
    <row r="11" spans="1:13" ht="13" x14ac:dyDescent="0.3">
      <c r="A11" s="466">
        <f>+A10+1</f>
        <v>2006</v>
      </c>
      <c r="B11" s="467">
        <v>468801900</v>
      </c>
      <c r="C11" s="457">
        <v>871034000</v>
      </c>
      <c r="D11" s="457">
        <f t="shared" si="0"/>
        <v>402232100</v>
      </c>
      <c r="E11" s="458">
        <f t="shared" si="1"/>
        <v>0.46178691072908751</v>
      </c>
      <c r="F11" s="459">
        <f t="shared" si="2"/>
        <v>1.8580001488901816</v>
      </c>
      <c r="G11" s="455"/>
      <c r="H11" s="455"/>
      <c r="I11" s="455"/>
      <c r="J11" s="455"/>
      <c r="K11" s="455"/>
      <c r="L11" s="455"/>
      <c r="M11" s="455"/>
    </row>
    <row r="12" spans="1:13" ht="13" x14ac:dyDescent="0.3">
      <c r="A12" s="466">
        <f>+A11+1</f>
        <v>2007</v>
      </c>
      <c r="B12" s="467">
        <v>483071500</v>
      </c>
      <c r="C12" s="457">
        <v>781947000</v>
      </c>
      <c r="D12" s="457">
        <f t="shared" si="0"/>
        <v>298875500</v>
      </c>
      <c r="E12" s="458">
        <f t="shared" si="1"/>
        <v>0.38221963892693495</v>
      </c>
      <c r="F12" s="459">
        <f t="shared" si="2"/>
        <v>1.6186982672337324</v>
      </c>
      <c r="G12" s="455"/>
      <c r="H12" s="455"/>
      <c r="I12" s="455"/>
      <c r="J12" s="455"/>
      <c r="K12" s="455"/>
      <c r="L12" s="455"/>
      <c r="M12" s="455"/>
    </row>
    <row r="13" spans="1:13" ht="13" x14ac:dyDescent="0.3">
      <c r="A13" s="466">
        <f>+A12+1</f>
        <v>2008</v>
      </c>
      <c r="B13" s="467">
        <v>472449300</v>
      </c>
      <c r="C13" s="457">
        <v>831439000</v>
      </c>
      <c r="D13" s="457">
        <f t="shared" si="0"/>
        <v>358989700</v>
      </c>
      <c r="E13" s="458">
        <f t="shared" si="1"/>
        <v>0.43176913760360053</v>
      </c>
      <c r="F13" s="459">
        <f t="shared" si="2"/>
        <v>1.7598480937531287</v>
      </c>
      <c r="G13" s="455"/>
      <c r="H13" s="455"/>
      <c r="I13" s="455"/>
      <c r="J13" s="455"/>
      <c r="K13" s="455"/>
      <c r="L13" s="455"/>
      <c r="M13" s="455"/>
    </row>
    <row r="14" spans="1:13" ht="13" x14ac:dyDescent="0.3">
      <c r="A14" s="466">
        <f>+A13+1</f>
        <v>2009</v>
      </c>
      <c r="B14" s="467">
        <v>466589000</v>
      </c>
      <c r="C14" s="457">
        <v>886285000</v>
      </c>
      <c r="D14" s="457">
        <f t="shared" si="0"/>
        <v>419696000</v>
      </c>
      <c r="E14" s="458">
        <f t="shared" si="1"/>
        <v>0.47354519144518975</v>
      </c>
      <c r="F14" s="459">
        <f t="shared" si="2"/>
        <v>1.899498273641256</v>
      </c>
      <c r="G14" s="455"/>
      <c r="H14" s="455"/>
      <c r="I14" s="455"/>
      <c r="J14" s="455"/>
      <c r="K14" s="455"/>
      <c r="L14" s="455"/>
      <c r="M14" s="455"/>
    </row>
    <row r="15" spans="1:13" ht="13" x14ac:dyDescent="0.3">
      <c r="A15" s="466">
        <f>+A14+1</f>
        <v>2010</v>
      </c>
      <c r="B15" s="467">
        <v>493353300</v>
      </c>
      <c r="C15" s="457">
        <v>739550000</v>
      </c>
      <c r="D15" s="457">
        <f t="shared" si="0"/>
        <v>246196700</v>
      </c>
      <c r="E15" s="458">
        <f t="shared" si="1"/>
        <v>0.33290068284767765</v>
      </c>
      <c r="F15" s="459">
        <f t="shared" si="2"/>
        <v>1.4990271677517917</v>
      </c>
      <c r="G15" s="455"/>
      <c r="H15" s="587">
        <f>B15/1000</f>
        <v>493353.3</v>
      </c>
      <c r="I15" s="455"/>
      <c r="J15" s="455"/>
      <c r="K15" s="455"/>
      <c r="L15" s="455"/>
      <c r="M15" s="455"/>
    </row>
    <row r="16" spans="1:13" ht="13" x14ac:dyDescent="0.3">
      <c r="A16" s="466">
        <v>2011</v>
      </c>
      <c r="B16" s="472">
        <v>473427400</v>
      </c>
      <c r="C16" s="457">
        <v>980512000</v>
      </c>
      <c r="D16" s="457">
        <f t="shared" si="0"/>
        <v>507084600</v>
      </c>
      <c r="E16" s="473">
        <f t="shared" si="1"/>
        <v>0.51716307398583594</v>
      </c>
      <c r="F16" s="459">
        <f t="shared" si="2"/>
        <v>2.0710926321543703</v>
      </c>
      <c r="G16" s="455"/>
      <c r="H16" s="587">
        <f t="shared" ref="H16:H17" si="3">B16/1000</f>
        <v>473427.4</v>
      </c>
      <c r="I16" s="455"/>
      <c r="J16" s="455"/>
      <c r="K16" s="455"/>
      <c r="L16" s="455"/>
      <c r="M16" s="455"/>
    </row>
    <row r="17" spans="1:13" ht="13.5" customHeight="1" x14ac:dyDescent="0.3">
      <c r="A17" s="466">
        <v>2012</v>
      </c>
      <c r="B17" s="472">
        <v>489914500</v>
      </c>
      <c r="C17" s="586">
        <v>775353000</v>
      </c>
      <c r="D17" s="457">
        <f t="shared" si="0"/>
        <v>285438500</v>
      </c>
      <c r="E17" s="458">
        <f t="shared" si="1"/>
        <v>0.3681400600758622</v>
      </c>
      <c r="F17" s="459">
        <f t="shared" si="2"/>
        <v>1.5826292138730329</v>
      </c>
      <c r="G17" s="455"/>
      <c r="H17" s="587">
        <f t="shared" si="3"/>
        <v>489914.5</v>
      </c>
      <c r="I17" s="455"/>
      <c r="J17" s="455"/>
      <c r="K17" s="455"/>
      <c r="L17" s="455"/>
      <c r="M17" s="455"/>
    </row>
    <row r="18" spans="1:13" ht="13.5" customHeight="1" x14ac:dyDescent="0.3">
      <c r="A18" s="455"/>
      <c r="B18" s="455"/>
      <c r="C18" s="457"/>
      <c r="D18" s="457"/>
      <c r="E18" s="455"/>
      <c r="F18" s="455"/>
      <c r="G18" s="455"/>
      <c r="H18" s="455"/>
      <c r="I18" s="455"/>
      <c r="J18" s="455"/>
      <c r="K18" s="455"/>
      <c r="L18" s="455"/>
      <c r="M18" s="455"/>
    </row>
    <row r="19" spans="1:13" ht="13" x14ac:dyDescent="0.3">
      <c r="A19" s="455" t="s">
        <v>1125</v>
      </c>
      <c r="B19" s="457">
        <f>AVERAGE(B10:B17)</f>
        <v>473142900</v>
      </c>
      <c r="C19" s="457">
        <f>AVERAGE(C10:C17)</f>
        <v>825354875</v>
      </c>
      <c r="D19" s="457">
        <f>AVERAGE(D10:D17)</f>
        <v>352211975</v>
      </c>
      <c r="E19" s="458">
        <f>+D19/C19</f>
        <v>0.42674004318445447</v>
      </c>
      <c r="F19" s="459">
        <f>+C19/B19</f>
        <v>1.7444093000233123</v>
      </c>
      <c r="G19" s="455" t="s">
        <v>1097</v>
      </c>
      <c r="H19" s="455"/>
      <c r="I19" s="455"/>
      <c r="J19" s="455"/>
      <c r="K19" s="455"/>
      <c r="L19" s="455"/>
      <c r="M19" s="455"/>
    </row>
    <row r="20" spans="1:13" ht="13" x14ac:dyDescent="0.3">
      <c r="A20" s="455" t="s">
        <v>1098</v>
      </c>
      <c r="B20" s="460">
        <f>MEDIAN(B10:B17)</f>
        <v>472938350</v>
      </c>
      <c r="C20" s="457">
        <f>MEDIAN(C10:C16)</f>
        <v>831439000</v>
      </c>
      <c r="D20" s="457">
        <f>MEDIAN(D10:D17)</f>
        <v>329086200</v>
      </c>
      <c r="E20" s="458">
        <f>+D20/C20</f>
        <v>0.39580317978829477</v>
      </c>
      <c r="F20" s="459">
        <f>+C20/B20</f>
        <v>1.7580282926939632</v>
      </c>
      <c r="G20" s="455" t="s">
        <v>1098</v>
      </c>
      <c r="H20" s="455"/>
      <c r="I20" s="455"/>
      <c r="J20" s="455"/>
      <c r="K20" s="455"/>
      <c r="L20" s="455"/>
      <c r="M20" s="455"/>
    </row>
    <row r="21" spans="1:13" ht="13" x14ac:dyDescent="0.3">
      <c r="A21" s="455"/>
      <c r="B21" s="455"/>
      <c r="C21" s="457"/>
      <c r="D21" s="457"/>
      <c r="E21" s="455"/>
      <c r="F21" s="455"/>
      <c r="G21" s="455"/>
      <c r="H21" s="455"/>
      <c r="I21" s="455"/>
      <c r="J21" s="455"/>
      <c r="K21" s="455"/>
      <c r="L21" s="455"/>
      <c r="M21" s="455"/>
    </row>
    <row r="22" spans="1:13" ht="13" x14ac:dyDescent="0.3">
      <c r="A22" s="455"/>
      <c r="B22" s="457">
        <f>LINEST(B10:B17)</f>
        <v>4937619.0476190485</v>
      </c>
      <c r="C22" s="457">
        <f>LINEST(C10:C16)</f>
        <v>20455321.428571425</v>
      </c>
      <c r="D22" s="457">
        <f>LINEST(D10:D17)</f>
        <v>3937178.5714285742</v>
      </c>
      <c r="E22" s="458">
        <f>+D22/C22</f>
        <v>0.19247698380966199</v>
      </c>
      <c r="F22" s="459">
        <f>+C22/B22</f>
        <v>4.1427500241103274</v>
      </c>
      <c r="G22" s="455" t="s">
        <v>1099</v>
      </c>
      <c r="H22" s="455"/>
      <c r="I22" s="455"/>
      <c r="J22" s="455"/>
      <c r="K22" s="455"/>
      <c r="L22" s="455"/>
      <c r="M22" s="455"/>
    </row>
    <row r="23" spans="1:13" ht="13" x14ac:dyDescent="0.3">
      <c r="A23" s="455"/>
      <c r="B23" s="461">
        <f>+B20+B22</f>
        <v>477875969.04761904</v>
      </c>
      <c r="C23" s="461">
        <f>+C20+C22</f>
        <v>851894321.42857146</v>
      </c>
      <c r="D23" s="461">
        <f>+D20+D22</f>
        <v>333023378.5714286</v>
      </c>
      <c r="E23" s="462">
        <f>+D23/C23</f>
        <v>0.39092099829116128</v>
      </c>
      <c r="F23" s="463">
        <f>+C23/B23</f>
        <v>1.7826682583063358</v>
      </c>
      <c r="G23" s="455" t="s">
        <v>1126</v>
      </c>
      <c r="H23" s="455"/>
      <c r="I23" s="455"/>
      <c r="J23" s="455"/>
      <c r="K23" s="455"/>
      <c r="L23" s="455"/>
      <c r="M23" s="455"/>
    </row>
    <row r="24" spans="1:13" ht="13" x14ac:dyDescent="0.3">
      <c r="A24" s="455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</row>
    <row r="25" spans="1:13" ht="13" x14ac:dyDescent="0.3">
      <c r="A25" s="455"/>
      <c r="B25" s="464">
        <f>AVERAGE(B23,B17)</f>
        <v>483895234.52380955</v>
      </c>
      <c r="C25" s="464">
        <f>AVERAGE(C23,C16)</f>
        <v>916203160.71428573</v>
      </c>
      <c r="D25" s="464">
        <f>AVERAGE(D23,D17)</f>
        <v>309230939.28571427</v>
      </c>
      <c r="E25" s="462">
        <f>+D25/C25</f>
        <v>0.33751350414970538</v>
      </c>
      <c r="F25" s="463">
        <f>+C25/B25</f>
        <v>1.8933915760007447</v>
      </c>
      <c r="G25" s="455" t="s">
        <v>1565</v>
      </c>
      <c r="H25" s="455"/>
      <c r="I25" s="455"/>
      <c r="J25" s="455"/>
      <c r="K25" s="455"/>
      <c r="L25" s="455"/>
      <c r="M25" s="455"/>
    </row>
    <row r="26" spans="1:13" ht="13" x14ac:dyDescent="0.3">
      <c r="A26" s="455"/>
      <c r="B26" s="465">
        <f>+(B25/B17)-1</f>
        <v>-1.2286359101823741E-2</v>
      </c>
      <c r="C26" s="465">
        <f>+(C25/C16)-1</f>
        <v>-6.5586998716705369E-2</v>
      </c>
      <c r="D26" s="465">
        <f>+(D25/D17)-1</f>
        <v>8.3353994943619281E-2</v>
      </c>
      <c r="E26" s="455"/>
      <c r="F26" s="455"/>
      <c r="G26" s="455" t="s">
        <v>1127</v>
      </c>
      <c r="H26" s="455"/>
      <c r="I26" s="455"/>
      <c r="J26" s="455"/>
      <c r="K26" s="455"/>
      <c r="L26" s="455"/>
      <c r="M26" s="455"/>
    </row>
    <row r="27" spans="1:13" ht="13" x14ac:dyDescent="0.3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</row>
    <row r="28" spans="1:13" ht="13" x14ac:dyDescent="0.3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</row>
    <row r="29" spans="1:13" ht="13" x14ac:dyDescent="0.3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</row>
    <row r="30" spans="1:13" ht="13" x14ac:dyDescent="0.3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</row>
    <row r="31" spans="1:13" ht="13" x14ac:dyDescent="0.3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</row>
    <row r="32" spans="1:13" ht="13" x14ac:dyDescent="0.3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</row>
    <row r="33" spans="1:13" ht="13" x14ac:dyDescent="0.3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34" spans="1:13" ht="13" x14ac:dyDescent="0.3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</row>
    <row r="35" spans="1:13" ht="13" x14ac:dyDescent="0.3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</row>
    <row r="36" spans="1:13" ht="13" x14ac:dyDescent="0.3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</row>
    <row r="37" spans="1:13" ht="13" x14ac:dyDescent="0.3">
      <c r="A37" s="455"/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</row>
    <row r="38" spans="1:13" ht="13" x14ac:dyDescent="0.3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</row>
    <row r="39" spans="1:13" ht="13" x14ac:dyDescent="0.3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</row>
    <row r="40" spans="1:13" ht="13" x14ac:dyDescent="0.3">
      <c r="A40" s="455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</row>
    <row r="41" spans="1:13" ht="13" x14ac:dyDescent="0.3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</row>
    <row r="42" spans="1:13" ht="13" x14ac:dyDescent="0.3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</row>
    <row r="43" spans="1:13" ht="13" x14ac:dyDescent="0.3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</row>
    <row r="44" spans="1:13" ht="13" x14ac:dyDescent="0.3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</row>
    <row r="45" spans="1:13" ht="13" x14ac:dyDescent="0.3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</row>
    <row r="46" spans="1:13" ht="13" x14ac:dyDescent="0.3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9">
    <tabColor theme="0" tint="-0.14999847407452621"/>
  </sheetPr>
  <dimension ref="A1:M78"/>
  <sheetViews>
    <sheetView topLeftCell="A38" zoomScale="75" zoomScaleNormal="75" workbookViewId="0">
      <selection activeCell="R44" sqref="R44"/>
    </sheetView>
  </sheetViews>
  <sheetFormatPr defaultColWidth="8.7265625" defaultRowHeight="15.5" x14ac:dyDescent="0.35"/>
  <cols>
    <col min="1" max="5" width="8.7265625" style="26"/>
    <col min="6" max="6" width="20.26953125" style="26" customWidth="1"/>
    <col min="7" max="7" width="16.453125" style="26" customWidth="1"/>
    <col min="8" max="8" width="20.7265625" style="26" customWidth="1"/>
    <col min="9" max="12" width="8.7265625" style="26"/>
    <col min="13" max="13" width="13.7265625" style="26" customWidth="1"/>
    <col min="14" max="16384" width="8.7265625" style="26"/>
  </cols>
  <sheetData>
    <row r="1" spans="1:13" x14ac:dyDescent="0.35">
      <c r="A1" s="25" t="s">
        <v>4</v>
      </c>
    </row>
    <row r="2" spans="1:13" x14ac:dyDescent="0.35">
      <c r="A2" s="25" t="s">
        <v>109</v>
      </c>
    </row>
    <row r="3" spans="1:13" x14ac:dyDescent="0.35">
      <c r="A3" s="25" t="s">
        <v>889</v>
      </c>
      <c r="H3" s="50"/>
    </row>
    <row r="4" spans="1:13" x14ac:dyDescent="0.35">
      <c r="A4" s="25"/>
    </row>
    <row r="5" spans="1:13" x14ac:dyDescent="0.35">
      <c r="E5" s="27"/>
      <c r="F5" s="46">
        <v>2010</v>
      </c>
      <c r="G5" s="27"/>
      <c r="H5" s="27"/>
    </row>
    <row r="6" spans="1:13" x14ac:dyDescent="0.35">
      <c r="A6" s="81"/>
      <c r="B6" s="81"/>
      <c r="C6" s="81"/>
      <c r="D6" s="81"/>
      <c r="E6" s="104"/>
      <c r="F6" s="30" t="s">
        <v>112</v>
      </c>
      <c r="G6" s="30" t="s">
        <v>36</v>
      </c>
      <c r="H6" s="30" t="s">
        <v>37</v>
      </c>
    </row>
    <row r="7" spans="1:13" ht="8.65" customHeight="1" x14ac:dyDescent="0.35">
      <c r="E7" s="29"/>
      <c r="F7" s="29"/>
      <c r="G7" s="29"/>
      <c r="H7" s="29"/>
    </row>
    <row r="8" spans="1:13" x14ac:dyDescent="0.35">
      <c r="A8" s="26" t="s">
        <v>907</v>
      </c>
      <c r="F8" s="33">
        <f>'Test Year Detail'!F58</f>
        <v>3000</v>
      </c>
      <c r="G8" s="33">
        <f>IF(M15=1,F30,0)+F22</f>
        <v>0</v>
      </c>
      <c r="H8" s="33">
        <f t="shared" ref="H8:H12" si="0">F8+G8</f>
        <v>3000</v>
      </c>
    </row>
    <row r="9" spans="1:13" x14ac:dyDescent="0.35">
      <c r="A9" s="26" t="s">
        <v>891</v>
      </c>
      <c r="F9" s="33">
        <v>0</v>
      </c>
      <c r="G9" s="128">
        <f>IF(M15=1,F53,0)</f>
        <v>0</v>
      </c>
      <c r="H9" s="33">
        <f t="shared" si="0"/>
        <v>0</v>
      </c>
    </row>
    <row r="10" spans="1:13" x14ac:dyDescent="0.35">
      <c r="A10" s="26" t="s">
        <v>892</v>
      </c>
      <c r="F10" s="33">
        <v>0</v>
      </c>
      <c r="G10" s="128">
        <f>IF(M15=1,F54,0)</f>
        <v>0</v>
      </c>
      <c r="H10" s="33">
        <f t="shared" si="0"/>
        <v>0</v>
      </c>
    </row>
    <row r="11" spans="1:13" x14ac:dyDescent="0.35">
      <c r="A11" s="26" t="s">
        <v>893</v>
      </c>
      <c r="F11" s="33">
        <v>0</v>
      </c>
      <c r="G11" s="128">
        <f>IF(M15=1,F76,0)</f>
        <v>0</v>
      </c>
      <c r="H11" s="33">
        <f t="shared" si="0"/>
        <v>0</v>
      </c>
    </row>
    <row r="12" spans="1:13" x14ac:dyDescent="0.35">
      <c r="A12" s="26" t="s">
        <v>894</v>
      </c>
      <c r="F12" s="33">
        <v>0</v>
      </c>
      <c r="G12" s="128">
        <f>IF(M15=1,F77,0)</f>
        <v>0</v>
      </c>
      <c r="H12" s="33">
        <f t="shared" si="0"/>
        <v>0</v>
      </c>
    </row>
    <row r="14" spans="1:13" x14ac:dyDescent="0.35">
      <c r="H14" s="33">
        <f>SUM(H8:H13)</f>
        <v>3000</v>
      </c>
    </row>
    <row r="15" spans="1:13" x14ac:dyDescent="0.35">
      <c r="I15" s="26" t="s">
        <v>1178</v>
      </c>
      <c r="M15" s="487">
        <v>2</v>
      </c>
    </row>
    <row r="18" spans="1:7" s="360" customFormat="1" ht="3.65" customHeight="1" x14ac:dyDescent="0.35"/>
    <row r="19" spans="1:7" x14ac:dyDescent="0.35">
      <c r="A19" s="25"/>
    </row>
    <row r="20" spans="1:7" x14ac:dyDescent="0.35">
      <c r="A20" s="25" t="s">
        <v>899</v>
      </c>
    </row>
    <row r="22" spans="1:7" x14ac:dyDescent="0.35">
      <c r="A22" s="26" t="s">
        <v>1317</v>
      </c>
      <c r="F22" s="352">
        <v>0</v>
      </c>
    </row>
    <row r="24" spans="1:7" x14ac:dyDescent="0.35">
      <c r="A24" s="26" t="s">
        <v>896</v>
      </c>
      <c r="F24" s="224">
        <v>226.21351208086784</v>
      </c>
    </row>
    <row r="25" spans="1:7" x14ac:dyDescent="0.35">
      <c r="A25" s="26" t="s">
        <v>897</v>
      </c>
      <c r="F25" s="224">
        <v>326.08599759615385</v>
      </c>
    </row>
    <row r="26" spans="1:7" x14ac:dyDescent="0.35">
      <c r="A26" s="26" t="s">
        <v>898</v>
      </c>
      <c r="F26" s="226">
        <v>552.58000000000004</v>
      </c>
    </row>
    <row r="27" spans="1:7" x14ac:dyDescent="0.35">
      <c r="F27" s="224"/>
    </row>
    <row r="28" spans="1:7" x14ac:dyDescent="0.35">
      <c r="F28" s="280">
        <f>ROUNDUP(SUM(F24:F27),0)</f>
        <v>1105</v>
      </c>
      <c r="G28" s="26" t="s">
        <v>925</v>
      </c>
    </row>
    <row r="29" spans="1:7" x14ac:dyDescent="0.35">
      <c r="F29" s="26">
        <v>10</v>
      </c>
      <c r="G29" s="26" t="s">
        <v>900</v>
      </c>
    </row>
    <row r="30" spans="1:7" x14ac:dyDescent="0.35">
      <c r="F30" s="33">
        <f>F28*F29</f>
        <v>11050</v>
      </c>
      <c r="G30" s="26" t="s">
        <v>901</v>
      </c>
    </row>
    <row r="32" spans="1:7" x14ac:dyDescent="0.35">
      <c r="E32" s="26" t="s">
        <v>902</v>
      </c>
      <c r="F32" s="26" t="s">
        <v>903</v>
      </c>
    </row>
    <row r="33" spans="1:7" x14ac:dyDescent="0.35">
      <c r="F33" s="26" t="s">
        <v>904</v>
      </c>
    </row>
    <row r="34" spans="1:7" x14ac:dyDescent="0.35">
      <c r="F34" s="26" t="s">
        <v>905</v>
      </c>
    </row>
    <row r="35" spans="1:7" x14ac:dyDescent="0.35">
      <c r="F35" s="26" t="s">
        <v>906</v>
      </c>
    </row>
    <row r="38" spans="1:7" x14ac:dyDescent="0.35">
      <c r="A38" s="25" t="s">
        <v>908</v>
      </c>
    </row>
    <row r="40" spans="1:7" x14ac:dyDescent="0.35">
      <c r="A40" s="26" t="s">
        <v>896</v>
      </c>
      <c r="F40" s="117">
        <v>102.24642934951758</v>
      </c>
    </row>
    <row r="41" spans="1:7" x14ac:dyDescent="0.35">
      <c r="A41" s="26" t="s">
        <v>897</v>
      </c>
      <c r="F41" s="366">
        <v>83.643516292735029</v>
      </c>
    </row>
    <row r="43" spans="1:7" x14ac:dyDescent="0.35">
      <c r="F43" s="275">
        <f>ROUNDUP(SUM(F40:F42),0)</f>
        <v>186</v>
      </c>
      <c r="G43" s="26" t="s">
        <v>909</v>
      </c>
    </row>
    <row r="44" spans="1:7" x14ac:dyDescent="0.35">
      <c r="F44" s="117">
        <v>-14</v>
      </c>
      <c r="G44" s="26" t="s">
        <v>910</v>
      </c>
    </row>
    <row r="45" spans="1:7" x14ac:dyDescent="0.35">
      <c r="F45" s="117">
        <f>F43+F44</f>
        <v>172</v>
      </c>
      <c r="G45" s="26" t="s">
        <v>911</v>
      </c>
    </row>
    <row r="47" spans="1:7" x14ac:dyDescent="0.35">
      <c r="F47" s="117">
        <v>119.03973858173076</v>
      </c>
      <c r="G47" s="26" t="s">
        <v>912</v>
      </c>
    </row>
    <row r="48" spans="1:7" x14ac:dyDescent="0.35">
      <c r="F48" s="275">
        <f>ROUNDUP(F45+F47,0)</f>
        <v>292</v>
      </c>
      <c r="G48" s="26" t="s">
        <v>926</v>
      </c>
    </row>
    <row r="50" spans="1:7" x14ac:dyDescent="0.35">
      <c r="F50" s="26">
        <v>106.2</v>
      </c>
      <c r="G50" s="26" t="s">
        <v>913</v>
      </c>
    </row>
    <row r="51" spans="1:7" x14ac:dyDescent="0.35">
      <c r="F51" s="26">
        <v>43.199999999999996</v>
      </c>
      <c r="G51" s="26" t="s">
        <v>914</v>
      </c>
    </row>
    <row r="53" spans="1:7" x14ac:dyDescent="0.35">
      <c r="F53" s="117">
        <f>F43*F50</f>
        <v>19753.2</v>
      </c>
      <c r="G53" s="26" t="s">
        <v>915</v>
      </c>
    </row>
    <row r="54" spans="1:7" x14ac:dyDescent="0.35">
      <c r="F54" s="366">
        <f>F48*F51</f>
        <v>12614.4</v>
      </c>
      <c r="G54" s="26" t="s">
        <v>916</v>
      </c>
    </row>
    <row r="56" spans="1:7" x14ac:dyDescent="0.35">
      <c r="F56" s="117">
        <f>SUM(F53:F55)</f>
        <v>32367.599999999999</v>
      </c>
      <c r="G56" s="26" t="s">
        <v>917</v>
      </c>
    </row>
    <row r="58" spans="1:7" x14ac:dyDescent="0.35">
      <c r="E58" s="26" t="s">
        <v>902</v>
      </c>
      <c r="F58" s="26" t="s">
        <v>918</v>
      </c>
    </row>
    <row r="59" spans="1:7" x14ac:dyDescent="0.35">
      <c r="F59" s="26" t="s">
        <v>919</v>
      </c>
    </row>
    <row r="60" spans="1:7" x14ac:dyDescent="0.35">
      <c r="F60" s="26" t="s">
        <v>920</v>
      </c>
    </row>
    <row r="61" spans="1:7" x14ac:dyDescent="0.35">
      <c r="F61" s="26" t="s">
        <v>921</v>
      </c>
    </row>
    <row r="63" spans="1:7" x14ac:dyDescent="0.35">
      <c r="A63" s="25" t="s">
        <v>922</v>
      </c>
    </row>
    <row r="65" spans="1:7" x14ac:dyDescent="0.35">
      <c r="A65" s="26" t="s">
        <v>896</v>
      </c>
      <c r="F65" s="117">
        <v>14.074166666666668</v>
      </c>
    </row>
    <row r="66" spans="1:7" x14ac:dyDescent="0.35">
      <c r="A66" s="26" t="s">
        <v>897</v>
      </c>
      <c r="F66" s="366">
        <v>34.521634615384613</v>
      </c>
    </row>
    <row r="68" spans="1:7" x14ac:dyDescent="0.35">
      <c r="F68" s="275">
        <f>ROUNDUP(SUM(F65:F67),0)</f>
        <v>49</v>
      </c>
      <c r="G68" s="26" t="s">
        <v>924</v>
      </c>
    </row>
    <row r="70" spans="1:7" x14ac:dyDescent="0.35">
      <c r="F70" s="117">
        <v>106.05964543269231</v>
      </c>
      <c r="G70" s="26" t="s">
        <v>912</v>
      </c>
    </row>
    <row r="71" spans="1:7" x14ac:dyDescent="0.35">
      <c r="F71" s="275">
        <f>ROUNDUP(F68+F70,0)</f>
        <v>156</v>
      </c>
      <c r="G71" s="26" t="s">
        <v>923</v>
      </c>
    </row>
    <row r="73" spans="1:7" x14ac:dyDescent="0.35">
      <c r="F73" s="26">
        <v>106.2</v>
      </c>
      <c r="G73" s="26" t="s">
        <v>913</v>
      </c>
    </row>
    <row r="74" spans="1:7" x14ac:dyDescent="0.35">
      <c r="F74" s="26">
        <v>43.199999999999996</v>
      </c>
      <c r="G74" s="26" t="s">
        <v>914</v>
      </c>
    </row>
    <row r="76" spans="1:7" x14ac:dyDescent="0.35">
      <c r="F76" s="117">
        <f>F68*F73</f>
        <v>5203.8</v>
      </c>
      <c r="G76" s="26" t="s">
        <v>915</v>
      </c>
    </row>
    <row r="77" spans="1:7" x14ac:dyDescent="0.35">
      <c r="F77" s="366">
        <f>F71*F74</f>
        <v>6739.1999999999989</v>
      </c>
      <c r="G77" s="26" t="s">
        <v>916</v>
      </c>
    </row>
    <row r="78" spans="1:7" x14ac:dyDescent="0.35">
      <c r="F78" s="117">
        <f>SUM(F76:F77)</f>
        <v>11943</v>
      </c>
    </row>
  </sheetData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/>
    <pageSetUpPr fitToPage="1"/>
  </sheetPr>
  <dimension ref="A1:M98"/>
  <sheetViews>
    <sheetView zoomScale="135" zoomScaleNormal="135" workbookViewId="0">
      <selection activeCell="I30" sqref="I30"/>
    </sheetView>
  </sheetViews>
  <sheetFormatPr defaultRowHeight="12.5" x14ac:dyDescent="0.25"/>
  <cols>
    <col min="1" max="1" width="15.54296875" customWidth="1"/>
    <col min="2" max="2" width="17" customWidth="1"/>
    <col min="3" max="3" width="16" customWidth="1"/>
    <col min="4" max="4" width="15.453125" customWidth="1"/>
    <col min="5" max="5" width="16.54296875" customWidth="1"/>
    <col min="6" max="6" width="15" bestFit="1" customWidth="1"/>
    <col min="7" max="7" width="14" bestFit="1" customWidth="1"/>
    <col min="8" max="13" width="11.26953125" bestFit="1" customWidth="1"/>
  </cols>
  <sheetData>
    <row r="1" spans="1:2" ht="15.5" x14ac:dyDescent="0.35">
      <c r="A1" s="415" t="s">
        <v>1196</v>
      </c>
    </row>
    <row r="2" spans="1:2" x14ac:dyDescent="0.25">
      <c r="A2" s="484" t="s">
        <v>1189</v>
      </c>
    </row>
    <row r="4" spans="1:2" x14ac:dyDescent="0.25">
      <c r="A4" s="416" t="s">
        <v>993</v>
      </c>
    </row>
    <row r="6" spans="1:2" x14ac:dyDescent="0.25">
      <c r="A6" s="417">
        <f>+E72</f>
        <v>2109082.5699999998</v>
      </c>
      <c r="B6" s="484" t="s">
        <v>1222</v>
      </c>
    </row>
    <row r="7" spans="1:2" x14ac:dyDescent="0.25">
      <c r="A7" s="418"/>
    </row>
    <row r="8" spans="1:2" x14ac:dyDescent="0.25">
      <c r="A8" s="419" t="s">
        <v>994</v>
      </c>
    </row>
    <row r="9" spans="1:2" x14ac:dyDescent="0.25">
      <c r="A9" s="418"/>
    </row>
    <row r="10" spans="1:2" x14ac:dyDescent="0.25">
      <c r="A10" s="417">
        <f>SUM(C74:D86)</f>
        <v>287067.13999999996</v>
      </c>
      <c r="B10" t="s">
        <v>995</v>
      </c>
    </row>
    <row r="11" spans="1:2" x14ac:dyDescent="0.25">
      <c r="A11" s="437">
        <f>+A6</f>
        <v>2109082.5699999998</v>
      </c>
      <c r="B11" t="s">
        <v>42</v>
      </c>
    </row>
    <row r="12" spans="1:2" x14ac:dyDescent="0.25">
      <c r="A12" s="417">
        <f>SUM(A10:A11)</f>
        <v>2396149.71</v>
      </c>
      <c r="B12" t="s">
        <v>44</v>
      </c>
    </row>
    <row r="13" spans="1:2" x14ac:dyDescent="0.25">
      <c r="A13" s="418"/>
    </row>
    <row r="14" spans="1:2" x14ac:dyDescent="0.25">
      <c r="A14" s="419" t="s">
        <v>996</v>
      </c>
    </row>
    <row r="15" spans="1:2" x14ac:dyDescent="0.25">
      <c r="A15" s="418"/>
    </row>
    <row r="16" spans="1:2" x14ac:dyDescent="0.25">
      <c r="A16" s="438">
        <f>+A94</f>
        <v>337000</v>
      </c>
      <c r="B16" s="420" t="s">
        <v>997</v>
      </c>
    </row>
    <row r="17" spans="1:5" x14ac:dyDescent="0.25">
      <c r="A17" s="418">
        <f>+A6-A16</f>
        <v>1772082.5699999998</v>
      </c>
      <c r="B17" s="484" t="s">
        <v>1193</v>
      </c>
    </row>
    <row r="19" spans="1:5" x14ac:dyDescent="0.25">
      <c r="A19" s="416" t="s">
        <v>998</v>
      </c>
    </row>
    <row r="21" spans="1:5" x14ac:dyDescent="0.25">
      <c r="A21" s="497" t="s">
        <v>999</v>
      </c>
      <c r="B21" s="497" t="s">
        <v>1000</v>
      </c>
      <c r="C21" s="497" t="s">
        <v>1001</v>
      </c>
      <c r="D21" s="421" t="s">
        <v>1002</v>
      </c>
    </row>
    <row r="22" spans="1:5" x14ac:dyDescent="0.25">
      <c r="A22" s="498" t="s">
        <v>1003</v>
      </c>
      <c r="B22" s="498" t="s">
        <v>1004</v>
      </c>
      <c r="C22" s="498" t="s">
        <v>1005</v>
      </c>
      <c r="D22" s="499" t="s">
        <v>1006</v>
      </c>
    </row>
    <row r="23" spans="1:5" x14ac:dyDescent="0.25">
      <c r="A23" s="500">
        <v>20</v>
      </c>
      <c r="B23" s="500">
        <v>20</v>
      </c>
      <c r="C23" s="500">
        <v>20</v>
      </c>
      <c r="D23">
        <v>6</v>
      </c>
      <c r="E23" s="420" t="s">
        <v>1007</v>
      </c>
    </row>
    <row r="24" spans="1:5" x14ac:dyDescent="0.25">
      <c r="A24" s="501">
        <v>1989590</v>
      </c>
      <c r="B24" s="501">
        <v>1989590</v>
      </c>
      <c r="C24" s="501">
        <v>1989590</v>
      </c>
      <c r="D24" s="418">
        <v>0</v>
      </c>
      <c r="E24" s="420" t="s">
        <v>42</v>
      </c>
    </row>
    <row r="25" spans="1:5" x14ac:dyDescent="0.25">
      <c r="A25" s="502">
        <v>3.5000000000000003E-2</v>
      </c>
      <c r="B25" s="502">
        <v>2.8500000000000001E-2</v>
      </c>
      <c r="C25" s="502">
        <v>0.02</v>
      </c>
      <c r="D25" s="503">
        <v>1.2999999999999999E-2</v>
      </c>
      <c r="E25" s="420" t="s">
        <v>1008</v>
      </c>
    </row>
    <row r="26" spans="1:5" x14ac:dyDescent="0.25">
      <c r="A26" s="504">
        <v>17807.170000000002</v>
      </c>
      <c r="B26" s="504">
        <v>8903.5850000000009</v>
      </c>
      <c r="C26" s="504">
        <v>0</v>
      </c>
      <c r="D26" s="438">
        <v>0</v>
      </c>
      <c r="E26" s="420" t="s">
        <v>1009</v>
      </c>
    </row>
    <row r="27" spans="1:5" x14ac:dyDescent="0.25">
      <c r="A27" s="504">
        <v>125168.5884502774</v>
      </c>
      <c r="B27" s="504">
        <v>117496.19352246753</v>
      </c>
      <c r="C27" s="504">
        <v>56456.580191033179</v>
      </c>
      <c r="D27" s="438">
        <v>0</v>
      </c>
      <c r="E27" s="420" t="s">
        <v>1010</v>
      </c>
    </row>
    <row r="28" spans="1:5" x14ac:dyDescent="0.25">
      <c r="A28" s="501">
        <v>722654.76900554821</v>
      </c>
      <c r="B28" s="501">
        <v>569206.87044935068</v>
      </c>
      <c r="C28" s="501">
        <v>199131.60382066364</v>
      </c>
      <c r="D28" s="438">
        <v>0</v>
      </c>
      <c r="E28" s="420" t="s">
        <v>1011</v>
      </c>
    </row>
    <row r="29" spans="1:5" x14ac:dyDescent="0.25">
      <c r="A29" s="501">
        <v>0</v>
      </c>
      <c r="B29" s="501">
        <v>0</v>
      </c>
      <c r="C29" s="505">
        <v>162109.85522883059</v>
      </c>
      <c r="D29" s="506">
        <f>+F88-D30</f>
        <v>79766.327339231924</v>
      </c>
      <c r="E29" s="484" t="s">
        <v>1195</v>
      </c>
    </row>
    <row r="30" spans="1:5" x14ac:dyDescent="0.25">
      <c r="A30" s="505">
        <v>51205.154187389475</v>
      </c>
      <c r="B30" s="504">
        <v>51205.154187389475</v>
      </c>
      <c r="C30" s="504">
        <v>51205.154187389475</v>
      </c>
      <c r="D30" s="438">
        <f>+F88*A97</f>
        <v>15169.300103956873</v>
      </c>
      <c r="E30" s="484" t="s">
        <v>1188</v>
      </c>
    </row>
    <row r="31" spans="1:5" x14ac:dyDescent="0.25">
      <c r="A31" s="501">
        <v>2572384.0931929378</v>
      </c>
      <c r="B31" s="501">
        <v>2410032.6096367398</v>
      </c>
      <c r="C31" s="501">
        <v>1180336.7580080531</v>
      </c>
      <c r="D31" s="418">
        <f>+D29+D30</f>
        <v>94935.627443188801</v>
      </c>
      <c r="E31" s="420" t="s">
        <v>1012</v>
      </c>
    </row>
    <row r="33" spans="1:13" x14ac:dyDescent="0.25">
      <c r="A33" s="416" t="s">
        <v>1013</v>
      </c>
    </row>
    <row r="34" spans="1:13" x14ac:dyDescent="0.25">
      <c r="A34" s="485" t="s">
        <v>1190</v>
      </c>
      <c r="G34" s="439"/>
      <c r="H34" s="439"/>
      <c r="I34" s="439"/>
      <c r="J34" s="439"/>
      <c r="K34" s="439"/>
      <c r="L34" s="439"/>
      <c r="M34" s="439"/>
    </row>
    <row r="35" spans="1:13" x14ac:dyDescent="0.25">
      <c r="A35" s="422"/>
      <c r="F35" s="421"/>
      <c r="G35" s="418"/>
      <c r="H35" s="418"/>
      <c r="I35" s="418"/>
      <c r="J35" s="418"/>
      <c r="K35" s="418"/>
      <c r="L35" s="418"/>
      <c r="M35" s="418"/>
    </row>
    <row r="36" spans="1:13" x14ac:dyDescent="0.25">
      <c r="A36" s="416" t="s">
        <v>1014</v>
      </c>
      <c r="F36" s="421"/>
      <c r="G36" s="508"/>
      <c r="H36" s="508"/>
      <c r="I36" s="508"/>
      <c r="J36" s="508"/>
      <c r="K36" s="508"/>
      <c r="L36" s="508"/>
      <c r="M36" s="508"/>
    </row>
    <row r="37" spans="1:13" x14ac:dyDescent="0.25">
      <c r="A37" s="418">
        <f>+D30</f>
        <v>15169.300103956873</v>
      </c>
      <c r="B37" s="420" t="s">
        <v>1015</v>
      </c>
    </row>
    <row r="38" spans="1:13" x14ac:dyDescent="0.25">
      <c r="A38" s="418">
        <f>+D29</f>
        <v>79766.327339231924</v>
      </c>
      <c r="B38" s="420" t="s">
        <v>1016</v>
      </c>
      <c r="F38" s="421"/>
      <c r="G38" s="418"/>
      <c r="H38" s="418"/>
      <c r="I38" s="418"/>
      <c r="J38" s="418"/>
      <c r="K38" s="418"/>
      <c r="L38" s="418"/>
      <c r="M38" s="418"/>
    </row>
    <row r="39" spans="1:13" x14ac:dyDescent="0.25">
      <c r="A39" s="418">
        <f>+A6</f>
        <v>2109082.5699999998</v>
      </c>
      <c r="B39" s="420" t="s">
        <v>1017</v>
      </c>
    </row>
    <row r="40" spans="1:13" x14ac:dyDescent="0.25">
      <c r="A40" s="418">
        <f>+A39+A38+A37</f>
        <v>2204018.1974431886</v>
      </c>
      <c r="B40" s="420" t="s">
        <v>1018</v>
      </c>
      <c r="F40" s="421"/>
      <c r="G40" s="423"/>
      <c r="H40" s="423"/>
      <c r="I40" s="423"/>
      <c r="J40" s="423"/>
      <c r="K40" s="423"/>
      <c r="L40" s="423"/>
      <c r="M40" s="423"/>
    </row>
    <row r="41" spans="1:13" x14ac:dyDescent="0.25">
      <c r="F41" s="421"/>
      <c r="G41" s="423"/>
      <c r="H41" s="423"/>
      <c r="I41" s="423"/>
      <c r="J41" s="423"/>
      <c r="K41" s="423"/>
      <c r="L41" s="423"/>
      <c r="M41" s="423"/>
    </row>
    <row r="42" spans="1:13" x14ac:dyDescent="0.25">
      <c r="A42" s="416" t="s">
        <v>1019</v>
      </c>
    </row>
    <row r="43" spans="1:13" x14ac:dyDescent="0.25">
      <c r="A43" s="418">
        <f>-A11</f>
        <v>-2109082.5699999998</v>
      </c>
      <c r="B43" s="420" t="s">
        <v>1020</v>
      </c>
      <c r="F43" s="421"/>
      <c r="G43" s="423"/>
    </row>
    <row r="44" spans="1:13" x14ac:dyDescent="0.25">
      <c r="A44" s="418">
        <f>-A10</f>
        <v>-287067.13999999996</v>
      </c>
      <c r="B44" s="420" t="s">
        <v>1021</v>
      </c>
    </row>
    <row r="45" spans="1:13" x14ac:dyDescent="0.25">
      <c r="A45" s="418">
        <f>-A91</f>
        <v>-119213.88925638469</v>
      </c>
      <c r="B45" s="484" t="s">
        <v>1191</v>
      </c>
    </row>
    <row r="46" spans="1:13" x14ac:dyDescent="0.25">
      <c r="A46" s="418">
        <f>+A43+A44+A45</f>
        <v>-2515363.5992563847</v>
      </c>
      <c r="B46" s="420" t="s">
        <v>1022</v>
      </c>
    </row>
    <row r="48" spans="1:13" x14ac:dyDescent="0.25">
      <c r="A48" s="418">
        <f>+A40-ABS(A46)</f>
        <v>-311345.40181319602</v>
      </c>
      <c r="B48" s="420" t="s">
        <v>1023</v>
      </c>
    </row>
    <row r="50" spans="1:2" x14ac:dyDescent="0.25">
      <c r="A50" s="509">
        <f>RATE(6,0,A40,A46)</f>
        <v>2.2266822281966372E-2</v>
      </c>
      <c r="B50" s="420" t="s">
        <v>1024</v>
      </c>
    </row>
    <row r="52" spans="1:2" x14ac:dyDescent="0.25">
      <c r="A52" s="510" t="s">
        <v>1025</v>
      </c>
    </row>
    <row r="54" spans="1:2" x14ac:dyDescent="0.25">
      <c r="A54" s="423">
        <f>('Debt Service'!E52)</f>
        <v>348954.96666666667</v>
      </c>
      <c r="B54" s="420" t="s">
        <v>1026</v>
      </c>
    </row>
    <row r="55" spans="1:2" x14ac:dyDescent="0.25">
      <c r="A55" s="438">
        <f>A40/6</f>
        <v>367336.36624053144</v>
      </c>
      <c r="B55" s="420" t="s">
        <v>1027</v>
      </c>
    </row>
    <row r="56" spans="1:2" x14ac:dyDescent="0.25">
      <c r="A56" s="418">
        <v>-36774.357980654058</v>
      </c>
      <c r="B56" s="420" t="s">
        <v>1028</v>
      </c>
    </row>
    <row r="58" spans="1:2" x14ac:dyDescent="0.25">
      <c r="A58" s="420" t="s">
        <v>1029</v>
      </c>
    </row>
    <row r="60" spans="1:2" x14ac:dyDescent="0.25">
      <c r="A60" s="422" t="s">
        <v>1030</v>
      </c>
    </row>
    <row r="61" spans="1:2" x14ac:dyDescent="0.25">
      <c r="A61" s="422" t="s">
        <v>1031</v>
      </c>
    </row>
    <row r="62" spans="1:2" x14ac:dyDescent="0.25">
      <c r="A62" s="485" t="s">
        <v>1198</v>
      </c>
    </row>
    <row r="63" spans="1:2" x14ac:dyDescent="0.25">
      <c r="A63" s="485" t="s">
        <v>1197</v>
      </c>
    </row>
    <row r="64" spans="1:2" x14ac:dyDescent="0.25">
      <c r="A64" s="485" t="s">
        <v>1199</v>
      </c>
    </row>
    <row r="66" spans="1:6" x14ac:dyDescent="0.25">
      <c r="A66" t="s">
        <v>41</v>
      </c>
    </row>
    <row r="67" spans="1:6" x14ac:dyDescent="0.25">
      <c r="A67" t="s">
        <v>1179</v>
      </c>
    </row>
    <row r="68" spans="1:6" x14ac:dyDescent="0.25">
      <c r="A68" t="s">
        <v>1180</v>
      </c>
    </row>
    <row r="69" spans="1:6" x14ac:dyDescent="0.25">
      <c r="A69" t="s">
        <v>800</v>
      </c>
    </row>
    <row r="71" spans="1:6" x14ac:dyDescent="0.25">
      <c r="A71" s="511" t="s">
        <v>1181</v>
      </c>
      <c r="B71" s="512" t="s">
        <v>42</v>
      </c>
      <c r="C71" s="512" t="s">
        <v>43</v>
      </c>
      <c r="D71" s="511" t="s">
        <v>1182</v>
      </c>
      <c r="E71" s="511" t="s">
        <v>198</v>
      </c>
      <c r="F71" s="511" t="s">
        <v>1187</v>
      </c>
    </row>
    <row r="72" spans="1:6" x14ac:dyDescent="0.25">
      <c r="A72" s="489">
        <v>40878</v>
      </c>
      <c r="B72" s="490"/>
      <c r="C72" s="490"/>
      <c r="D72" s="490"/>
      <c r="E72" s="490">
        <v>2109082.5699999998</v>
      </c>
    </row>
    <row r="73" spans="1:6" x14ac:dyDescent="0.25">
      <c r="A73" s="489">
        <v>41061</v>
      </c>
      <c r="B73" s="490">
        <v>132918.07</v>
      </c>
      <c r="C73" s="490">
        <v>40072.57</v>
      </c>
      <c r="D73" s="490">
        <v>2109.08</v>
      </c>
      <c r="E73" s="490">
        <f>E72-B73</f>
        <v>1976164.4999999998</v>
      </c>
      <c r="F73" s="516">
        <f>FV($D$25/12,(A73-$A72)/30,0,-$E73)-$E73</f>
        <v>13095.283106956398</v>
      </c>
    </row>
    <row r="74" spans="1:6" x14ac:dyDescent="0.25">
      <c r="A74" s="489">
        <v>41244</v>
      </c>
      <c r="B74" s="490">
        <v>135443.51</v>
      </c>
      <c r="C74" s="490">
        <v>37547.129999999997</v>
      </c>
      <c r="D74" s="490">
        <v>1976.16</v>
      </c>
      <c r="E74" s="490">
        <f t="shared" ref="E74:E86" si="0">E73-B74</f>
        <v>1840720.9899999998</v>
      </c>
      <c r="F74" s="516">
        <f>FV($D$25/12,(A74-$A73)/30,0,-$E74)-$E74</f>
        <v>12197.750989336753</v>
      </c>
    </row>
    <row r="75" spans="1:6" x14ac:dyDescent="0.25">
      <c r="A75" s="489">
        <v>41426</v>
      </c>
      <c r="B75" s="490">
        <v>138016.94</v>
      </c>
      <c r="C75" s="490">
        <v>34973.699999999997</v>
      </c>
      <c r="D75" s="490">
        <v>1840.72</v>
      </c>
      <c r="E75" s="490">
        <f t="shared" si="0"/>
        <v>1702704.0499999998</v>
      </c>
      <c r="F75" s="516">
        <f t="shared" ref="F75:F86" si="1">FV($D$25/12,(A75-$A74)/30,0,-$E75)-$E75</f>
        <v>11221.306374778971</v>
      </c>
    </row>
    <row r="76" spans="1:6" x14ac:dyDescent="0.25">
      <c r="A76" s="489">
        <v>41609</v>
      </c>
      <c r="B76" s="490">
        <v>140639.26</v>
      </c>
      <c r="C76" s="490">
        <v>32351.38</v>
      </c>
      <c r="D76" s="490">
        <v>1702.7</v>
      </c>
      <c r="E76" s="490">
        <f t="shared" si="0"/>
        <v>1562064.7899999998</v>
      </c>
      <c r="F76" s="516">
        <f t="shared" si="1"/>
        <v>10351.203382339096</v>
      </c>
    </row>
    <row r="77" spans="1:6" x14ac:dyDescent="0.25">
      <c r="A77" s="489">
        <v>41791</v>
      </c>
      <c r="B77" s="490">
        <v>143311.41</v>
      </c>
      <c r="C77" s="490">
        <v>29679.23</v>
      </c>
      <c r="D77" s="490">
        <v>1562.06</v>
      </c>
      <c r="E77" s="490">
        <f t="shared" si="0"/>
        <v>1418753.38</v>
      </c>
      <c r="F77" s="516">
        <f t="shared" si="1"/>
        <v>9349.9902976287995</v>
      </c>
    </row>
    <row r="78" spans="1:6" x14ac:dyDescent="0.25">
      <c r="A78" s="489">
        <v>41974</v>
      </c>
      <c r="B78" s="490">
        <v>146034.32999999999</v>
      </c>
      <c r="C78" s="490">
        <v>26956.31</v>
      </c>
      <c r="D78" s="490">
        <v>1418.75</v>
      </c>
      <c r="E78" s="490">
        <f t="shared" si="0"/>
        <v>1272719.0499999998</v>
      </c>
      <c r="F78" s="516">
        <f t="shared" si="1"/>
        <v>8433.8202995583415</v>
      </c>
    </row>
    <row r="79" spans="1:6" x14ac:dyDescent="0.25">
      <c r="A79" s="489">
        <v>42156</v>
      </c>
      <c r="B79" s="490">
        <v>148808.98000000001</v>
      </c>
      <c r="C79" s="490">
        <v>24181.66</v>
      </c>
      <c r="D79" s="490">
        <v>1272.72</v>
      </c>
      <c r="E79" s="490">
        <f t="shared" si="0"/>
        <v>1123910.0699999998</v>
      </c>
      <c r="F79" s="516">
        <f t="shared" si="1"/>
        <v>7406.8886094263289</v>
      </c>
    </row>
    <row r="80" spans="1:6" x14ac:dyDescent="0.25">
      <c r="A80" s="489">
        <v>42339</v>
      </c>
      <c r="B80" s="490">
        <v>151636.35</v>
      </c>
      <c r="C80" s="490">
        <v>21354.29</v>
      </c>
      <c r="D80" s="490">
        <v>1123.9100000000001</v>
      </c>
      <c r="E80" s="490">
        <f t="shared" si="0"/>
        <v>972273.71999999986</v>
      </c>
      <c r="F80" s="516">
        <f t="shared" si="1"/>
        <v>6442.8844971426297</v>
      </c>
    </row>
    <row r="81" spans="1:6" x14ac:dyDescent="0.25">
      <c r="A81" s="489">
        <v>42522</v>
      </c>
      <c r="B81" s="490">
        <v>154517.44</v>
      </c>
      <c r="C81" s="490">
        <v>18473.2</v>
      </c>
      <c r="D81" s="490">
        <v>972.27</v>
      </c>
      <c r="E81" s="490">
        <f t="shared" si="0"/>
        <v>817756.2799999998</v>
      </c>
      <c r="F81" s="516">
        <f t="shared" si="1"/>
        <v>5418.956771610654</v>
      </c>
    </row>
    <row r="82" spans="1:6" x14ac:dyDescent="0.25">
      <c r="A82" s="489">
        <v>42705</v>
      </c>
      <c r="B82" s="490">
        <v>157453.26999999999</v>
      </c>
      <c r="C82" s="490">
        <v>15537.37</v>
      </c>
      <c r="D82" s="490">
        <v>817.76</v>
      </c>
      <c r="E82" s="490">
        <f t="shared" si="0"/>
        <v>660303.00999999978</v>
      </c>
      <c r="F82" s="516">
        <f t="shared" si="1"/>
        <v>4375.5744283057284</v>
      </c>
    </row>
    <row r="83" spans="1:6" x14ac:dyDescent="0.25">
      <c r="A83" s="489">
        <v>42887</v>
      </c>
      <c r="B83" s="490">
        <v>160444.88</v>
      </c>
      <c r="C83" s="490">
        <v>12545.76</v>
      </c>
      <c r="D83" s="490">
        <v>660.3</v>
      </c>
      <c r="E83" s="490">
        <f t="shared" si="0"/>
        <v>499858.12999999977</v>
      </c>
      <c r="F83" s="516">
        <f t="shared" si="1"/>
        <v>3294.2079515545047</v>
      </c>
    </row>
    <row r="84" spans="1:6" x14ac:dyDescent="0.25">
      <c r="A84" s="489">
        <v>43070</v>
      </c>
      <c r="B84" s="490">
        <v>163493.32999999999</v>
      </c>
      <c r="C84" s="490">
        <v>9497.2999999999993</v>
      </c>
      <c r="D84" s="490">
        <v>499.86</v>
      </c>
      <c r="E84" s="490">
        <f t="shared" si="0"/>
        <v>336364.79999999981</v>
      </c>
      <c r="F84" s="516">
        <f t="shared" si="1"/>
        <v>2228.9603336234577</v>
      </c>
    </row>
    <row r="85" spans="1:6" x14ac:dyDescent="0.25">
      <c r="A85" s="489">
        <v>43252</v>
      </c>
      <c r="B85" s="490">
        <v>166599.71</v>
      </c>
      <c r="C85" s="490">
        <v>6390.93</v>
      </c>
      <c r="D85" s="490">
        <v>336.36</v>
      </c>
      <c r="E85" s="490">
        <f t="shared" si="0"/>
        <v>169765.08999999982</v>
      </c>
      <c r="F85" s="516">
        <f t="shared" si="1"/>
        <v>1118.8004671933013</v>
      </c>
    </row>
    <row r="86" spans="1:6" x14ac:dyDescent="0.25">
      <c r="A86" s="489">
        <v>43435</v>
      </c>
      <c r="B86" s="491">
        <v>169765.1</v>
      </c>
      <c r="C86" s="491">
        <v>3225.54</v>
      </c>
      <c r="D86" s="491">
        <v>169.77</v>
      </c>
      <c r="E86" s="490">
        <f t="shared" si="0"/>
        <v>-1.0000000183936208E-2</v>
      </c>
      <c r="F86" s="516">
        <f t="shared" si="1"/>
        <v>-6.6266160270696609E-5</v>
      </c>
    </row>
    <row r="87" spans="1:6" x14ac:dyDescent="0.25">
      <c r="B87" s="490"/>
      <c r="C87" s="490"/>
      <c r="D87" s="490"/>
      <c r="E87" s="490"/>
      <c r="F87" s="418"/>
    </row>
    <row r="88" spans="1:6" x14ac:dyDescent="0.25">
      <c r="B88" s="490">
        <f>SUM(B73:B87)</f>
        <v>2109082.58</v>
      </c>
      <c r="C88" s="490">
        <f>SUM(C73:C87)</f>
        <v>312786.37</v>
      </c>
      <c r="D88" s="490">
        <f>SUM(D73:D87)</f>
        <v>16462.419999999998</v>
      </c>
      <c r="E88" s="490"/>
      <c r="F88" s="418">
        <f>SUM(F73:F87)</f>
        <v>94935.627443188801</v>
      </c>
    </row>
    <row r="89" spans="1:6" x14ac:dyDescent="0.25">
      <c r="A89" s="507">
        <f>(A86-A74)/365</f>
        <v>6.0027397260273974</v>
      </c>
      <c r="D89" s="492">
        <f>+D88+C88+B88</f>
        <v>2438331.37</v>
      </c>
    </row>
    <row r="90" spans="1:6" x14ac:dyDescent="0.25">
      <c r="A90" s="417">
        <f>SUM(B88:D88)/(A89*12)</f>
        <v>33850.256733987524</v>
      </c>
      <c r="B90" s="484" t="s">
        <v>1192</v>
      </c>
      <c r="D90" s="495">
        <f>RATE(6,0,-B88,D89)</f>
        <v>2.4471442750751731E-2</v>
      </c>
    </row>
    <row r="91" spans="1:6" x14ac:dyDescent="0.25">
      <c r="A91" s="417">
        <f>FV(D25/12,80,-A90,0)-(A90*80)</f>
        <v>119213.88925638469</v>
      </c>
      <c r="B91" s="484"/>
    </row>
    <row r="93" spans="1:6" x14ac:dyDescent="0.25">
      <c r="A93" t="s">
        <v>1183</v>
      </c>
    </row>
    <row r="94" spans="1:6" x14ac:dyDescent="0.25">
      <c r="A94" s="493">
        <v>337000</v>
      </c>
      <c r="B94" t="s">
        <v>1184</v>
      </c>
    </row>
    <row r="95" spans="1:6" x14ac:dyDescent="0.25">
      <c r="B95" t="s">
        <v>1185</v>
      </c>
    </row>
    <row r="97" spans="1:2" x14ac:dyDescent="0.25">
      <c r="A97" s="496">
        <f>(A94/A6)</f>
        <v>0.15978511452967914</v>
      </c>
      <c r="B97" s="484" t="s">
        <v>1186</v>
      </c>
    </row>
    <row r="98" spans="1:2" x14ac:dyDescent="0.25">
      <c r="A98" s="496">
        <f>1-A97</f>
        <v>0.84021488547032086</v>
      </c>
      <c r="B98" s="484" t="s">
        <v>1194</v>
      </c>
    </row>
  </sheetData>
  <pageMargins left="0.7" right="0.7" top="0.75" bottom="0.75" header="0.3" footer="0.3"/>
  <pageSetup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9"/>
  </sheetPr>
  <dimension ref="A1:X61"/>
  <sheetViews>
    <sheetView topLeftCell="A13" zoomScaleNormal="100" workbookViewId="0"/>
  </sheetViews>
  <sheetFormatPr defaultColWidth="8.7265625" defaultRowHeight="15.5" outlineLevelCol="1" x14ac:dyDescent="0.35"/>
  <cols>
    <col min="1" max="1" width="4.453125" style="26" customWidth="1"/>
    <col min="2" max="2" width="2.54296875" style="26" customWidth="1"/>
    <col min="3" max="3" width="10.26953125" style="26" customWidth="1"/>
    <col min="4" max="4" width="7.26953125" style="26" customWidth="1"/>
    <col min="5" max="5" width="23.26953125" style="26" customWidth="1"/>
    <col min="6" max="6" width="14.7265625" style="26" customWidth="1"/>
    <col min="7" max="7" width="15.26953125" style="26" customWidth="1"/>
    <col min="8" max="8" width="16.453125" style="26" customWidth="1"/>
    <col min="9" max="9" width="2" style="122" customWidth="1"/>
    <col min="10" max="10" width="3" style="26" customWidth="1"/>
    <col min="11" max="12" width="8.7265625" style="26"/>
    <col min="13" max="13" width="35.7265625" style="26" customWidth="1"/>
    <col min="14" max="14" width="15.54296875" style="26" customWidth="1"/>
    <col min="15" max="16" width="8.7265625" style="26"/>
    <col min="17" max="17" width="4.54296875" style="26" customWidth="1" outlineLevel="1"/>
    <col min="18" max="24" width="8.7265625" style="26" customWidth="1" outlineLevel="1"/>
    <col min="25" max="16384" width="8.7265625" style="26"/>
  </cols>
  <sheetData>
    <row r="1" spans="1:24" x14ac:dyDescent="0.35">
      <c r="A1" s="25" t="s">
        <v>4</v>
      </c>
      <c r="B1" s="25"/>
      <c r="C1" s="25"/>
    </row>
    <row r="2" spans="1:24" x14ac:dyDescent="0.35">
      <c r="A2" s="25" t="s">
        <v>109</v>
      </c>
      <c r="B2" s="25"/>
      <c r="C2" s="25"/>
    </row>
    <row r="3" spans="1:24" x14ac:dyDescent="0.35">
      <c r="A3" s="25" t="s">
        <v>336</v>
      </c>
      <c r="B3" s="25"/>
      <c r="C3" s="25"/>
      <c r="N3" s="50" t="s">
        <v>1591</v>
      </c>
      <c r="O3" s="50"/>
    </row>
    <row r="5" spans="1:24" x14ac:dyDescent="0.35">
      <c r="A5" s="26" t="s">
        <v>1570</v>
      </c>
      <c r="F5" s="46">
        <v>2012</v>
      </c>
      <c r="G5" s="27"/>
      <c r="H5" s="27"/>
    </row>
    <row r="6" spans="1:24" x14ac:dyDescent="0.35">
      <c r="F6" s="30" t="s">
        <v>139</v>
      </c>
      <c r="G6" s="30" t="s">
        <v>36</v>
      </c>
      <c r="H6" s="30" t="s">
        <v>37</v>
      </c>
      <c r="J6" s="25" t="s">
        <v>1589</v>
      </c>
      <c r="Q6" s="25" t="s">
        <v>338</v>
      </c>
    </row>
    <row r="7" spans="1:24" x14ac:dyDescent="0.35">
      <c r="F7" s="29"/>
      <c r="G7" s="29"/>
      <c r="H7" s="29"/>
      <c r="Q7" s="26" t="s">
        <v>337</v>
      </c>
      <c r="U7" s="33">
        <f>'New Customers'!C12</f>
        <v>0</v>
      </c>
    </row>
    <row r="8" spans="1:24" x14ac:dyDescent="0.35">
      <c r="A8" s="26" t="s">
        <v>698</v>
      </c>
      <c r="F8" s="33">
        <f>'Debt Service'!E52</f>
        <v>348954.96666666667</v>
      </c>
      <c r="G8" s="34">
        <f>IF('Debt Service'!P52=1,22855.79,0)</f>
        <v>0</v>
      </c>
      <c r="H8" s="33">
        <f>F8+G8</f>
        <v>348954.96666666667</v>
      </c>
      <c r="J8" s="26" t="s">
        <v>6</v>
      </c>
      <c r="W8" s="411"/>
    </row>
    <row r="9" spans="1:24" x14ac:dyDescent="0.35">
      <c r="A9" s="26" t="s">
        <v>348</v>
      </c>
      <c r="K9" s="26" t="s">
        <v>22</v>
      </c>
      <c r="N9" s="33">
        <f>COS!F69</f>
        <v>-3617.0699999999997</v>
      </c>
      <c r="Q9" s="26" t="s">
        <v>1128</v>
      </c>
      <c r="U9" s="34">
        <f>F28*X9</f>
        <v>0</v>
      </c>
      <c r="X9" s="474">
        <v>0</v>
      </c>
    </row>
    <row r="10" spans="1:24" x14ac:dyDescent="0.35">
      <c r="B10" s="26" t="s">
        <v>6</v>
      </c>
      <c r="F10" s="33">
        <f>'Test Year Detail'!F40</f>
        <v>2601031.5100000007</v>
      </c>
      <c r="G10" s="33">
        <f>'Test Year Detail'!G40</f>
        <v>128823.2976825863</v>
      </c>
      <c r="H10" s="33">
        <f>F10+G10</f>
        <v>2729854.8076825868</v>
      </c>
      <c r="K10" s="26" t="s">
        <v>339</v>
      </c>
      <c r="N10" s="34">
        <f>COS!F78</f>
        <v>79390.870000000112</v>
      </c>
      <c r="Q10" s="26" t="s">
        <v>659</v>
      </c>
      <c r="U10" s="34">
        <f>-COS!F77</f>
        <v>0</v>
      </c>
    </row>
    <row r="11" spans="1:24" x14ac:dyDescent="0.35">
      <c r="B11" s="26" t="s">
        <v>1581</v>
      </c>
      <c r="F11" s="35">
        <f>'Test Year Detail'!F46</f>
        <v>981121.38</v>
      </c>
      <c r="G11" s="35">
        <f>'Test Year Detail'!G46</f>
        <v>144533.62147857141</v>
      </c>
      <c r="H11" s="35">
        <f>F11+G11</f>
        <v>1125655.0014785714</v>
      </c>
      <c r="K11" s="26" t="s">
        <v>477</v>
      </c>
      <c r="N11" s="34">
        <f>COS!F70+COS!F71+COS!F72</f>
        <v>19386.597682586191</v>
      </c>
      <c r="Q11" s="26" t="s">
        <v>1320</v>
      </c>
      <c r="U11" s="34">
        <f>'Revenue Offsets'!G11</f>
        <v>0</v>
      </c>
    </row>
    <row r="12" spans="1:24" x14ac:dyDescent="0.35">
      <c r="K12" s="26" t="s">
        <v>1513</v>
      </c>
      <c r="N12" s="35">
        <f>COS!F84</f>
        <v>33662.899999999994</v>
      </c>
    </row>
    <row r="13" spans="1:24" x14ac:dyDescent="0.35">
      <c r="A13" s="26" t="s">
        <v>344</v>
      </c>
      <c r="F13" s="33">
        <f>SUM(F8:F12)</f>
        <v>3931107.8566666674</v>
      </c>
      <c r="G13" s="33">
        <f>SUM(G8:G12)</f>
        <v>273356.91916115768</v>
      </c>
      <c r="H13" s="33">
        <f>SUM(H8:H12)</f>
        <v>4204464.7758278251</v>
      </c>
      <c r="K13" s="40" t="s">
        <v>342</v>
      </c>
      <c r="N13" s="33">
        <f>SUM(N9:N12)</f>
        <v>128823.29768258629</v>
      </c>
    </row>
    <row r="14" spans="1:24" x14ac:dyDescent="0.35">
      <c r="F14" s="243"/>
      <c r="N14" s="82" t="str">
        <f>IF(ROUNDUP(G10,1)&lt;&gt;ROUNDUP(N13,1),"Check","")</f>
        <v/>
      </c>
    </row>
    <row r="15" spans="1:24" ht="16.149999999999999" customHeight="1" x14ac:dyDescent="0.35">
      <c r="A15" s="26" t="s">
        <v>345</v>
      </c>
      <c r="J15" s="26" t="s">
        <v>107</v>
      </c>
    </row>
    <row r="16" spans="1:24" x14ac:dyDescent="0.35">
      <c r="B16" s="26" t="s">
        <v>148</v>
      </c>
      <c r="F16" s="33">
        <f>'Test Year Detail'!F52</f>
        <v>24123.38</v>
      </c>
      <c r="G16" s="33">
        <f>'Test Year Detail'!G52</f>
        <v>0</v>
      </c>
      <c r="H16" s="33">
        <f>'Test Year Detail'!H52</f>
        <v>24123.38</v>
      </c>
      <c r="K16" s="26" t="s">
        <v>1577</v>
      </c>
      <c r="N16" s="33">
        <f>'Test Year Detail'!G53</f>
        <v>99902.69</v>
      </c>
    </row>
    <row r="17" spans="1:21" x14ac:dyDescent="0.35">
      <c r="R17" s="26" t="s">
        <v>656</v>
      </c>
      <c r="U17" s="34">
        <f>COS!F73+COS!F74</f>
        <v>0</v>
      </c>
    </row>
    <row r="18" spans="1:21" x14ac:dyDescent="0.35">
      <c r="A18" s="26" t="s">
        <v>347</v>
      </c>
      <c r="F18" s="33">
        <f>F13-F16</f>
        <v>3906984.4766666675</v>
      </c>
      <c r="G18" s="33">
        <f>G13-G16</f>
        <v>273356.91916115768</v>
      </c>
      <c r="H18" s="33">
        <f>H13-H16</f>
        <v>4180341.3958278252</v>
      </c>
      <c r="J18" s="26" t="s">
        <v>106</v>
      </c>
      <c r="R18" s="26" t="s">
        <v>436</v>
      </c>
      <c r="U18" s="34">
        <v>0</v>
      </c>
    </row>
    <row r="19" spans="1:21" x14ac:dyDescent="0.35">
      <c r="K19" s="26" t="s">
        <v>341</v>
      </c>
      <c r="N19" s="33">
        <f>COS!F86</f>
        <v>20000</v>
      </c>
      <c r="R19" s="26" t="s">
        <v>718</v>
      </c>
      <c r="U19" s="34">
        <f>COS!F76</f>
        <v>0</v>
      </c>
    </row>
    <row r="20" spans="1:21" x14ac:dyDescent="0.35">
      <c r="A20" s="26" t="s">
        <v>345</v>
      </c>
      <c r="K20" s="26" t="s">
        <v>226</v>
      </c>
      <c r="N20" s="34">
        <f>COS!F87</f>
        <v>-8184.55</v>
      </c>
    </row>
    <row r="21" spans="1:21" x14ac:dyDescent="0.35">
      <c r="B21" s="26" t="s">
        <v>352</v>
      </c>
      <c r="F21" s="33">
        <f>'Test Year Detail'!F51+'Test Year Detail'!F53+'Test Year Detail'!F58</f>
        <v>87352.22</v>
      </c>
      <c r="G21" s="33">
        <f>'Test Year Detail'!G53+'Test Year Detail'!G51+'Test Year Detail'!G58</f>
        <v>99902.69</v>
      </c>
      <c r="H21" s="33">
        <f>'Test Year Detail'!H51+'Test Year Detail'!H58+'Test Year Detail'!H53</f>
        <v>187254.91</v>
      </c>
      <c r="K21" s="26" t="str">
        <f>COS!B89</f>
        <v>Lincoln Trail I/I Reduction Project</v>
      </c>
      <c r="N21" s="34">
        <f>COS!F89</f>
        <v>7728.5043999999998</v>
      </c>
      <c r="R21" s="26" t="s">
        <v>1081</v>
      </c>
      <c r="U21" s="35">
        <f>COS!F82</f>
        <v>0</v>
      </c>
    </row>
    <row r="22" spans="1:21" x14ac:dyDescent="0.35">
      <c r="K22" s="26" t="str">
        <f>COS!B90</f>
        <v>Quiggins Gravity System Project</v>
      </c>
      <c r="N22" s="34">
        <f>COS!F90</f>
        <v>9318.0882000000001</v>
      </c>
    </row>
    <row r="23" spans="1:21" ht="15" customHeight="1" x14ac:dyDescent="0.35">
      <c r="A23" s="26" t="s">
        <v>345</v>
      </c>
      <c r="K23" s="26" t="str">
        <f>COS!B91</f>
        <v>Boone Trace and Lincoln Trail Lift Station Improvements</v>
      </c>
      <c r="N23" s="34">
        <f>COS!F91</f>
        <v>8573.4147499999999</v>
      </c>
    </row>
    <row r="24" spans="1:21" x14ac:dyDescent="0.35">
      <c r="B24" s="26" t="s">
        <v>936</v>
      </c>
      <c r="F24" s="33">
        <v>0</v>
      </c>
      <c r="G24" s="33">
        <f>U10</f>
        <v>0</v>
      </c>
      <c r="H24" s="33">
        <f>F24+G24</f>
        <v>0</v>
      </c>
      <c r="K24" s="26" t="str">
        <f>COS!B92</f>
        <v>WWTP Primary Treatment Building</v>
      </c>
      <c r="N24" s="34">
        <f>COS!F92</f>
        <v>15213.740000000002</v>
      </c>
    </row>
    <row r="25" spans="1:21" ht="16" thickBot="1" x14ac:dyDescent="0.4">
      <c r="F25" s="33"/>
      <c r="G25" s="33"/>
      <c r="H25" s="33"/>
      <c r="K25" s="26" t="str">
        <f>COS!B93</f>
        <v>Watkins LS Project</v>
      </c>
      <c r="N25" s="34">
        <f>COS!F93</f>
        <v>1200.4392499999999</v>
      </c>
    </row>
    <row r="26" spans="1:21" ht="16" thickBot="1" x14ac:dyDescent="0.4">
      <c r="A26" s="26" t="s">
        <v>349</v>
      </c>
      <c r="F26" s="33">
        <f>F18-F21-F24</f>
        <v>3819632.2566666673</v>
      </c>
      <c r="G26" s="33">
        <f>G18-G21-G24</f>
        <v>173454.22916115768</v>
      </c>
      <c r="H26" s="547">
        <f>H18-H21-H24</f>
        <v>3993086.485827825</v>
      </c>
      <c r="K26" s="26" t="str">
        <f>COS!B94</f>
        <v>Drug Store Lift Station Replacement</v>
      </c>
      <c r="N26" s="34">
        <f>COS!F94</f>
        <v>9024.9027499999993</v>
      </c>
    </row>
    <row r="27" spans="1:21" x14ac:dyDescent="0.35">
      <c r="K27" s="26" t="str">
        <f>COS!B95</f>
        <v>WWTP Plant Clarifier, Oxidaton Ditch, and Lower Half of WWTP</v>
      </c>
      <c r="N27" s="34">
        <f>COS!F95</f>
        <v>4600</v>
      </c>
    </row>
    <row r="28" spans="1:21" x14ac:dyDescent="0.35">
      <c r="A28" s="26" t="s">
        <v>353</v>
      </c>
      <c r="F28" s="45">
        <v>3371082.18</v>
      </c>
      <c r="G28" s="33">
        <f>U7+U9</f>
        <v>0</v>
      </c>
      <c r="H28" s="33">
        <f>F28+G28</f>
        <v>3371082.18</v>
      </c>
      <c r="K28" s="26" t="str">
        <f>COS!B96</f>
        <v>Greenview and Cement LS Improvements</v>
      </c>
      <c r="N28" s="34">
        <f>COS!F96</f>
        <v>1095.566</v>
      </c>
    </row>
    <row r="29" spans="1:21" x14ac:dyDescent="0.35">
      <c r="K29" s="26" t="str">
        <f>COS!B97</f>
        <v>Greenview and Cement Gravity System Improvements</v>
      </c>
      <c r="N29" s="34">
        <f>COS!F97</f>
        <v>1874.2682</v>
      </c>
    </row>
    <row r="30" spans="1:21" x14ac:dyDescent="0.35">
      <c r="A30" s="26" t="s">
        <v>716</v>
      </c>
      <c r="F30" s="45">
        <v>0</v>
      </c>
      <c r="G30" s="34">
        <f>V57</f>
        <v>0</v>
      </c>
      <c r="H30" s="33">
        <f>F30+G30</f>
        <v>0</v>
      </c>
      <c r="K30" s="26" t="str">
        <f>COS!B98</f>
        <v>North Logsdon Parkway Gravity System Improvements</v>
      </c>
      <c r="N30" s="34">
        <f>COS!F98</f>
        <v>5303.64</v>
      </c>
    </row>
    <row r="31" spans="1:21" x14ac:dyDescent="0.35">
      <c r="K31" s="26" t="str">
        <f>COS!B99</f>
        <v>Stovall LS/FM Improvements</v>
      </c>
      <c r="N31" s="34">
        <f>COS!F99</f>
        <v>2964.2750000000001</v>
      </c>
    </row>
    <row r="32" spans="1:21" x14ac:dyDescent="0.35">
      <c r="A32" s="26" t="s">
        <v>696</v>
      </c>
      <c r="F32" s="33">
        <f>F28+F30</f>
        <v>3371082.18</v>
      </c>
      <c r="G32" s="33">
        <f>G28+G30</f>
        <v>0</v>
      </c>
      <c r="H32" s="33">
        <f>F32+G32</f>
        <v>3371082.18</v>
      </c>
      <c r="K32" s="26" t="str">
        <f>COS!B100</f>
        <v>North Woodland Gravity System Improvements</v>
      </c>
      <c r="N32" s="34">
        <f>COS!F100</f>
        <v>2738.6334000000002</v>
      </c>
    </row>
    <row r="33" spans="1:21" ht="16" thickBot="1" x14ac:dyDescent="0.4">
      <c r="K33" s="26" t="str">
        <f>COS!B101</f>
        <v>John Hardin Force Main Improvements</v>
      </c>
      <c r="N33" s="34">
        <f>COS!F101</f>
        <v>241.06560000000002</v>
      </c>
      <c r="R33" s="26" t="str">
        <f>COS!B92</f>
        <v>WWTP Primary Treatment Building</v>
      </c>
      <c r="U33" s="34">
        <f>COS!F92</f>
        <v>15213.740000000002</v>
      </c>
    </row>
    <row r="34" spans="1:21" ht="16" thickBot="1" x14ac:dyDescent="0.4">
      <c r="A34" s="26" t="s">
        <v>359</v>
      </c>
      <c r="H34" s="592">
        <v>571464</v>
      </c>
      <c r="K34" s="26" t="str">
        <f>COS!B102</f>
        <v>WWTP RAS/WAS Improvements</v>
      </c>
      <c r="N34" s="34">
        <f>COS!F102</f>
        <v>2972.4279999999999</v>
      </c>
    </row>
    <row r="35" spans="1:21" x14ac:dyDescent="0.35">
      <c r="K35" s="26" t="str">
        <f>COS!B103</f>
        <v>LS Bypass Improvements</v>
      </c>
      <c r="N35" s="34">
        <f>COS!F103</f>
        <v>268.83</v>
      </c>
      <c r="R35" s="26" t="str">
        <f>COS!B94</f>
        <v>Drug Store Lift Station Replacement</v>
      </c>
      <c r="U35" s="34">
        <f>COS!F94</f>
        <v>9024.9027499999993</v>
      </c>
    </row>
    <row r="36" spans="1:21" x14ac:dyDescent="0.35">
      <c r="A36" s="26" t="s">
        <v>354</v>
      </c>
      <c r="G36" s="244"/>
      <c r="H36" s="244">
        <f>H34/H32</f>
        <v>0.16951945087259782</v>
      </c>
      <c r="K36" s="26" t="str">
        <f>COS!B104</f>
        <v>North Logsdon LS Improvements Project</v>
      </c>
      <c r="N36" s="34">
        <f>COS!F104</f>
        <v>15640.820000000003</v>
      </c>
      <c r="R36" s="26" t="str">
        <f>COS!B95</f>
        <v>WWTP Plant Clarifier, Oxidaton Ditch, and Lower Half of WWTP</v>
      </c>
      <c r="U36" s="34">
        <f>COS!F95</f>
        <v>4600</v>
      </c>
    </row>
    <row r="37" spans="1:21" x14ac:dyDescent="0.35">
      <c r="C37" s="40"/>
      <c r="F37" s="33"/>
      <c r="G37" s="33"/>
      <c r="H37" s="33"/>
      <c r="K37" s="26" t="str">
        <f>COS!B105</f>
        <v>Quiggins and Boone Trace I/I Reduction Project</v>
      </c>
      <c r="N37" s="34">
        <f>COS!F105</f>
        <v>20000</v>
      </c>
    </row>
    <row r="38" spans="1:21" x14ac:dyDescent="0.35">
      <c r="A38" s="26" t="s">
        <v>355</v>
      </c>
      <c r="K38" s="26" t="str">
        <f>COS!B106</f>
        <v>Seminole I/I Reduction Project</v>
      </c>
      <c r="N38" s="34">
        <f>COS!F106</f>
        <v>6000</v>
      </c>
    </row>
    <row r="39" spans="1:21" x14ac:dyDescent="0.35">
      <c r="B39" s="26" t="s">
        <v>356</v>
      </c>
      <c r="F39" s="33"/>
      <c r="H39" s="33">
        <f>H13</f>
        <v>4204464.7758278251</v>
      </c>
      <c r="K39" s="26" t="str">
        <f>COS!B107</f>
        <v>WWTP Oxidation Ditch Improvements</v>
      </c>
      <c r="N39" s="34">
        <f>COS!F107</f>
        <v>8000</v>
      </c>
      <c r="R39" s="26" t="str">
        <f>COS!B98</f>
        <v>North Logsdon Parkway Gravity System Improvements</v>
      </c>
      <c r="U39" s="34">
        <f>COS!F98</f>
        <v>5303.64</v>
      </c>
    </row>
    <row r="40" spans="1:21" x14ac:dyDescent="0.35">
      <c r="B40" s="26" t="s">
        <v>357</v>
      </c>
      <c r="K40" s="26" t="str">
        <f>COS!B108</f>
        <v>Replace 5 Laptops/Workstations</v>
      </c>
      <c r="N40" s="34">
        <f>COS!F108</f>
        <v>1747.6799999999998</v>
      </c>
    </row>
    <row r="41" spans="1:21" ht="16.899999999999999" customHeight="1" x14ac:dyDescent="0.35">
      <c r="C41" s="26" t="s">
        <v>358</v>
      </c>
      <c r="H41" s="33">
        <f>H32+H21</f>
        <v>3558337.0900000003</v>
      </c>
      <c r="K41" s="26" t="str">
        <f>COS!B109</f>
        <v>Easement Jetter Machine</v>
      </c>
      <c r="N41" s="34">
        <f>COS!F109</f>
        <v>1780</v>
      </c>
      <c r="R41" s="26" t="str">
        <f>COS!B100</f>
        <v>North Woodland Gravity System Improvements</v>
      </c>
      <c r="U41" s="34">
        <f>COS!F100</f>
        <v>2738.6334000000002</v>
      </c>
    </row>
    <row r="42" spans="1:21" x14ac:dyDescent="0.35">
      <c r="C42" s="26" t="s">
        <v>148</v>
      </c>
      <c r="H42" s="33">
        <f>H16</f>
        <v>24123.38</v>
      </c>
      <c r="K42" s="26" t="str">
        <f>COS!B110</f>
        <v>Trimble GeoXH 6000 GPS Receiver</v>
      </c>
      <c r="N42" s="34">
        <f>COS!F110</f>
        <v>352.5</v>
      </c>
    </row>
    <row r="43" spans="1:21" x14ac:dyDescent="0.35">
      <c r="C43" s="26" t="s">
        <v>354</v>
      </c>
      <c r="H43" s="33">
        <f>H39-SUM(H41:H42)</f>
        <v>622004.30582782486</v>
      </c>
      <c r="K43" s="26" t="str">
        <f>COS!B111</f>
        <v>Replace Sludge Belt Press</v>
      </c>
      <c r="N43" s="34">
        <f>COS!F111</f>
        <v>330</v>
      </c>
    </row>
    <row r="44" spans="1:21" x14ac:dyDescent="0.35">
      <c r="K44" s="26" t="str">
        <f>COS!B112</f>
        <v>Service Center Roof Painting &amp; Equip. Bldg. Door Coating</v>
      </c>
      <c r="N44" s="34">
        <f>COS!F112</f>
        <v>198</v>
      </c>
    </row>
    <row r="45" spans="1:21" x14ac:dyDescent="0.35">
      <c r="A45" s="25" t="s">
        <v>335</v>
      </c>
      <c r="K45" s="26" t="str">
        <f>COS!B113</f>
        <v>Vertical Edge 700 Phone System</v>
      </c>
      <c r="N45" s="34">
        <f>COS!F113</f>
        <v>819.21</v>
      </c>
    </row>
    <row r="46" spans="1:21" x14ac:dyDescent="0.35">
      <c r="A46" s="26" t="s">
        <v>360</v>
      </c>
      <c r="H46" s="33">
        <f>H8</f>
        <v>348954.96666666667</v>
      </c>
      <c r="K46" s="26" t="str">
        <f>COS!B114</f>
        <v>Replace Influent &amp; Effluent Refridgerated Samplers</v>
      </c>
      <c r="N46" s="34">
        <f>COS!F114</f>
        <v>1140</v>
      </c>
    </row>
    <row r="47" spans="1:21" ht="15.65" customHeight="1" x14ac:dyDescent="0.35">
      <c r="K47" s="26" t="str">
        <f>COS!B115</f>
        <v>Upgrade Utility Billing System</v>
      </c>
      <c r="N47" s="34">
        <f>COS!F115</f>
        <v>303.14999999999998</v>
      </c>
      <c r="R47" s="26" t="str">
        <f>COS!B106</f>
        <v>Seminole I/I Reduction Project</v>
      </c>
      <c r="U47" s="34">
        <f>COS!F106</f>
        <v>6000</v>
      </c>
    </row>
    <row r="48" spans="1:21" x14ac:dyDescent="0.35">
      <c r="A48" s="26" t="s">
        <v>361</v>
      </c>
      <c r="K48" s="26" t="str">
        <f>COS!B116</f>
        <v>Chain Cutter Head</v>
      </c>
      <c r="N48" s="34">
        <f>COS!F116</f>
        <v>350</v>
      </c>
    </row>
    <row r="49" spans="1:22" x14ac:dyDescent="0.35">
      <c r="B49" s="26" t="s">
        <v>362</v>
      </c>
      <c r="H49" s="33">
        <f>H32</f>
        <v>3371082.18</v>
      </c>
      <c r="K49" s="26" t="str">
        <f>COS!B117</f>
        <v>Internal Crane for CCTV Van</v>
      </c>
      <c r="N49" s="34">
        <f>COS!F117</f>
        <v>528.57142857142867</v>
      </c>
    </row>
    <row r="50" spans="1:22" x14ac:dyDescent="0.35">
      <c r="B50" s="26" t="s">
        <v>363</v>
      </c>
      <c r="H50" s="34">
        <f>H21</f>
        <v>187254.91</v>
      </c>
      <c r="K50" s="26" t="str">
        <f>COS!B118</f>
        <v>Ladder/Pipe Racks for Trucks</v>
      </c>
      <c r="N50" s="34">
        <f>COS!F118</f>
        <v>257.14285714285711</v>
      </c>
    </row>
    <row r="51" spans="1:22" x14ac:dyDescent="0.35">
      <c r="B51" s="26" t="s">
        <v>364</v>
      </c>
      <c r="H51" s="34">
        <f>H16</f>
        <v>24123.38</v>
      </c>
      <c r="K51" s="26" t="str">
        <f>COS!B119</f>
        <v>AutoDesk Infrastructure Design Premium</v>
      </c>
      <c r="N51" s="34">
        <f>COS!F119</f>
        <v>220.35000000000002</v>
      </c>
    </row>
    <row r="52" spans="1:22" x14ac:dyDescent="0.35">
      <c r="B52" s="26" t="s">
        <v>365</v>
      </c>
      <c r="H52" s="34">
        <f>H10</f>
        <v>2729854.8076825868</v>
      </c>
      <c r="K52" s="26" t="str">
        <f>COS!B120</f>
        <v>Aims 8000 Walt Power Invertors for Trucks</v>
      </c>
      <c r="N52" s="34">
        <f>COS!F120</f>
        <v>342.85714285714289</v>
      </c>
    </row>
    <row r="53" spans="1:22" x14ac:dyDescent="0.35">
      <c r="B53" s="26" t="s">
        <v>1580</v>
      </c>
      <c r="H53" s="34">
        <f>H11</f>
        <v>1125655.0014785714</v>
      </c>
      <c r="K53" s="26" t="str">
        <f>COS!B121</f>
        <v>Aries Wireless Pole Camera</v>
      </c>
      <c r="N53" s="34">
        <f>COS!F121</f>
        <v>355</v>
      </c>
    </row>
    <row r="54" spans="1:22" x14ac:dyDescent="0.35">
      <c r="B54" s="26" t="s">
        <v>663</v>
      </c>
      <c r="H54" s="35">
        <f>H24</f>
        <v>0</v>
      </c>
      <c r="K54" s="26" t="str">
        <f>COS!B122</f>
        <v>PT AutoCAD Drafter</v>
      </c>
      <c r="N54" s="34">
        <f>COS!F122</f>
        <v>78</v>
      </c>
    </row>
    <row r="55" spans="1:22" x14ac:dyDescent="0.35">
      <c r="A55" s="26" t="s">
        <v>366</v>
      </c>
      <c r="H55" s="33">
        <f>H49+H50+H51-H52-H53+H54</f>
        <v>-273049.33916115807</v>
      </c>
      <c r="K55" s="26" t="str">
        <f>COS!B123</f>
        <v>Trailer for Bobcat</v>
      </c>
      <c r="N55" s="34">
        <f>COS!F123</f>
        <v>742.85714285714289</v>
      </c>
    </row>
    <row r="56" spans="1:22" x14ac:dyDescent="0.35">
      <c r="K56" s="26" t="str">
        <f>COS!B124</f>
        <v>Smart Board</v>
      </c>
      <c r="N56" s="34">
        <f>COS!F124</f>
        <v>132</v>
      </c>
      <c r="R56" s="26" t="s">
        <v>1587</v>
      </c>
    </row>
    <row r="57" spans="1:22" x14ac:dyDescent="0.35">
      <c r="A57" s="26" t="s">
        <v>359</v>
      </c>
      <c r="H57" s="33">
        <f>H46-H55</f>
        <v>622004.30582782475</v>
      </c>
      <c r="K57" s="26" t="str">
        <f>COS!B125</f>
        <v>Replace Carpet in Large Conference Room</v>
      </c>
      <c r="N57" s="34">
        <f>COS!F125</f>
        <v>18</v>
      </c>
      <c r="R57" s="26" t="s">
        <v>1088</v>
      </c>
      <c r="V57" s="405">
        <f>IF('Rate Calculations'!G99=1,'Winter Quarter Billing'!F28,0)</f>
        <v>0</v>
      </c>
    </row>
    <row r="58" spans="1:22" x14ac:dyDescent="0.35">
      <c r="A58" s="26" t="s">
        <v>367</v>
      </c>
      <c r="H58" s="244">
        <f>H57/H49</f>
        <v>0.18451175990845312</v>
      </c>
      <c r="K58" s="26" t="str">
        <f>COS!B126</f>
        <v>Replace Carpet in Lobby</v>
      </c>
      <c r="N58" s="34">
        <f>COS!F126</f>
        <v>85.94285714285715</v>
      </c>
    </row>
    <row r="59" spans="1:22" x14ac:dyDescent="0.35">
      <c r="K59" s="26" t="str">
        <f>COS!B127</f>
        <v>Replace Lobby and Customer Service Area Furniture</v>
      </c>
      <c r="N59" s="35">
        <f>COS!F127</f>
        <v>178.2945</v>
      </c>
    </row>
    <row r="60" spans="1:22" x14ac:dyDescent="0.35">
      <c r="A60" s="26" t="s">
        <v>699</v>
      </c>
      <c r="K60" s="40" t="s">
        <v>343</v>
      </c>
      <c r="N60" s="34">
        <f>SUM(N19:N59)</f>
        <v>144533.62147857141</v>
      </c>
    </row>
    <row r="61" spans="1:22" x14ac:dyDescent="0.35">
      <c r="K61" s="40"/>
      <c r="N61" s="82" t="str">
        <f>IF(G11&lt;&gt;N60,"Check","")</f>
        <v/>
      </c>
    </row>
  </sheetData>
  <phoneticPr fontId="7" type="noConversion"/>
  <pageMargins left="0.75" right="0.75" top="1" bottom="1" header="0.5" footer="0.5"/>
  <pageSetup scale="53" orientation="portrait" blackAndWhite="1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22"/>
  </sheetPr>
  <dimension ref="A1:L35"/>
  <sheetViews>
    <sheetView zoomScale="120" zoomScaleNormal="120" workbookViewId="0">
      <selection activeCell="H3" sqref="H3"/>
    </sheetView>
  </sheetViews>
  <sheetFormatPr defaultColWidth="8.7265625" defaultRowHeight="15.5" x14ac:dyDescent="0.35"/>
  <cols>
    <col min="1" max="1" width="5.26953125" style="26" customWidth="1"/>
    <col min="2" max="2" width="8.7265625" style="26"/>
    <col min="3" max="3" width="5.7265625" style="26" customWidth="1"/>
    <col min="4" max="4" width="4.26953125" style="26" customWidth="1"/>
    <col min="5" max="5" width="37.26953125" style="26" customWidth="1"/>
    <col min="6" max="6" width="15.26953125" style="26" customWidth="1"/>
    <col min="7" max="7" width="15" style="26" customWidth="1"/>
    <col min="8" max="8" width="12.7265625" style="26" bestFit="1" customWidth="1"/>
    <col min="9" max="11" width="8.7265625" style="26"/>
    <col min="12" max="12" width="14.26953125" style="26" bestFit="1" customWidth="1"/>
    <col min="13" max="16384" width="8.7265625" style="26"/>
  </cols>
  <sheetData>
    <row r="1" spans="1:8" x14ac:dyDescent="0.35">
      <c r="A1" s="25" t="s">
        <v>4</v>
      </c>
    </row>
    <row r="2" spans="1:8" x14ac:dyDescent="0.35">
      <c r="A2" s="25" t="s">
        <v>109</v>
      </c>
    </row>
    <row r="3" spans="1:8" x14ac:dyDescent="0.35">
      <c r="A3" s="25" t="s">
        <v>682</v>
      </c>
      <c r="B3" s="25"/>
      <c r="H3" s="50"/>
    </row>
    <row r="5" spans="1:8" x14ac:dyDescent="0.35">
      <c r="A5" s="25" t="s">
        <v>687</v>
      </c>
      <c r="E5" s="26" t="s">
        <v>688</v>
      </c>
    </row>
    <row r="7" spans="1:8" ht="48.65" customHeight="1" x14ac:dyDescent="0.35">
      <c r="F7" s="261" t="s">
        <v>1585</v>
      </c>
      <c r="G7" s="307"/>
    </row>
    <row r="8" spans="1:8" ht="35.65" customHeight="1" x14ac:dyDescent="0.35">
      <c r="F8" s="114" t="s">
        <v>684</v>
      </c>
      <c r="G8" s="114" t="s">
        <v>685</v>
      </c>
      <c r="H8" s="205" t="s">
        <v>44</v>
      </c>
    </row>
    <row r="9" spans="1:8" ht="8.65" customHeight="1" x14ac:dyDescent="0.35"/>
    <row r="10" spans="1:8" x14ac:dyDescent="0.35">
      <c r="A10" s="26" t="s">
        <v>686</v>
      </c>
      <c r="F10" s="182">
        <v>120551700</v>
      </c>
      <c r="G10" s="182">
        <v>50071200</v>
      </c>
      <c r="H10" s="182">
        <f>SUM(F10:G10)</f>
        <v>170622900</v>
      </c>
    </row>
    <row r="11" spans="1:8" x14ac:dyDescent="0.35">
      <c r="A11" s="26" t="s">
        <v>266</v>
      </c>
      <c r="F11" s="182">
        <v>27295</v>
      </c>
      <c r="G11" s="182">
        <v>13472</v>
      </c>
      <c r="H11" s="165">
        <f>SUM(F11:G11)</f>
        <v>40767</v>
      </c>
    </row>
    <row r="12" spans="1:8" x14ac:dyDescent="0.35">
      <c r="A12" s="26" t="s">
        <v>480</v>
      </c>
      <c r="F12" s="182">
        <f>F11/8</f>
        <v>3411.875</v>
      </c>
      <c r="G12" s="182">
        <f>G11/4</f>
        <v>3368</v>
      </c>
    </row>
    <row r="14" spans="1:8" x14ac:dyDescent="0.35">
      <c r="A14" s="26" t="s">
        <v>689</v>
      </c>
      <c r="F14" s="182">
        <f>ROUND(F10/F11,-1)</f>
        <v>4420</v>
      </c>
      <c r="G14" s="182">
        <f>ROUND(G10/G11,-1)</f>
        <v>3720</v>
      </c>
    </row>
    <row r="16" spans="1:8" x14ac:dyDescent="0.35">
      <c r="A16" s="26" t="s">
        <v>690</v>
      </c>
      <c r="F16" s="182">
        <f>F11*G14</f>
        <v>101537400</v>
      </c>
      <c r="G16" s="52" t="s">
        <v>1583</v>
      </c>
    </row>
    <row r="17" spans="1:12" x14ac:dyDescent="0.35">
      <c r="A17" s="26" t="s">
        <v>691</v>
      </c>
      <c r="F17" s="182">
        <f>F10-F16</f>
        <v>19014300</v>
      </c>
      <c r="G17" s="26" t="s">
        <v>1584</v>
      </c>
    </row>
    <row r="19" spans="1:12" x14ac:dyDescent="0.35">
      <c r="A19" s="26" t="s">
        <v>1177</v>
      </c>
      <c r="F19" s="242">
        <v>0.5</v>
      </c>
    </row>
    <row r="21" spans="1:12" x14ac:dyDescent="0.35">
      <c r="A21" s="26" t="s">
        <v>692</v>
      </c>
      <c r="F21" s="182">
        <f>(F17*F19)/1000</f>
        <v>9507.15</v>
      </c>
    </row>
    <row r="22" spans="1:12" x14ac:dyDescent="0.35">
      <c r="B22" s="26" t="s">
        <v>693</v>
      </c>
      <c r="F22" s="186">
        <f>F21*L22</f>
        <v>9507.15</v>
      </c>
      <c r="L22" s="168">
        <f>1-L23</f>
        <v>1</v>
      </c>
    </row>
    <row r="23" spans="1:12" x14ac:dyDescent="0.35">
      <c r="B23" s="26" t="s">
        <v>694</v>
      </c>
      <c r="F23" s="188">
        <f>F21*L23</f>
        <v>0</v>
      </c>
      <c r="J23" s="165">
        <f>F21-F22-F23</f>
        <v>0</v>
      </c>
      <c r="L23" s="168">
        <v>0</v>
      </c>
    </row>
    <row r="25" spans="1:12" x14ac:dyDescent="0.35">
      <c r="A25" s="26" t="s">
        <v>286</v>
      </c>
      <c r="F25" s="308">
        <f>'Rate Calculations'!F13</f>
        <v>5.58</v>
      </c>
    </row>
    <row r="26" spans="1:12" x14ac:dyDescent="0.35">
      <c r="A26" s="26" t="s">
        <v>287</v>
      </c>
      <c r="F26" s="308">
        <f>'Rate Calculations'!F14</f>
        <v>4.47</v>
      </c>
    </row>
    <row r="28" spans="1:12" x14ac:dyDescent="0.35">
      <c r="A28" s="25" t="s">
        <v>695</v>
      </c>
      <c r="F28" s="158">
        <f>-((F22*F25)+(F23*F26))</f>
        <v>-53049.896999999997</v>
      </c>
    </row>
    <row r="31" spans="1:12" x14ac:dyDescent="0.35">
      <c r="F31" s="165">
        <v>8939</v>
      </c>
      <c r="G31" s="26" t="s">
        <v>1586</v>
      </c>
    </row>
    <row r="32" spans="1:12" x14ac:dyDescent="0.35">
      <c r="F32" s="165">
        <v>3412</v>
      </c>
      <c r="G32" s="26" t="s">
        <v>1200</v>
      </c>
    </row>
    <row r="33" spans="6:7" x14ac:dyDescent="0.35">
      <c r="F33" s="513">
        <f>+F32/F31</f>
        <v>0.38169817652981319</v>
      </c>
      <c r="G33" s="26" t="s">
        <v>1201</v>
      </c>
    </row>
    <row r="35" spans="6:7" x14ac:dyDescent="0.35">
      <c r="F35" s="514">
        <f>ABS(F28)/((F31-F32)*12)</f>
        <v>0.7998597340329292</v>
      </c>
      <c r="G35" s="26" t="s">
        <v>1202</v>
      </c>
    </row>
  </sheetData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14999847407452621"/>
  </sheetPr>
  <dimension ref="A1:L50"/>
  <sheetViews>
    <sheetView zoomScale="75" zoomScaleNormal="75" workbookViewId="0">
      <selection activeCell="AB42" sqref="AB42"/>
    </sheetView>
  </sheetViews>
  <sheetFormatPr defaultRowHeight="12.5" x14ac:dyDescent="0.25"/>
  <cols>
    <col min="6" max="8" width="16.453125" customWidth="1"/>
  </cols>
  <sheetData>
    <row r="1" spans="1:12" ht="15.5" x14ac:dyDescent="0.35">
      <c r="A1" s="25" t="s">
        <v>4</v>
      </c>
      <c r="B1" s="26"/>
      <c r="C1" s="26"/>
      <c r="D1" s="26"/>
      <c r="E1" s="26"/>
      <c r="F1" s="26"/>
      <c r="G1" s="26"/>
      <c r="H1" s="26"/>
    </row>
    <row r="2" spans="1:12" ht="15.5" x14ac:dyDescent="0.35">
      <c r="A2" s="25" t="s">
        <v>109</v>
      </c>
      <c r="B2" s="26"/>
      <c r="C2" s="26"/>
      <c r="D2" s="26"/>
      <c r="E2" s="26"/>
      <c r="F2" s="26"/>
      <c r="G2" s="26"/>
      <c r="H2" s="26"/>
    </row>
    <row r="3" spans="1:12" ht="15.5" x14ac:dyDescent="0.35">
      <c r="A3" s="25" t="s">
        <v>1073</v>
      </c>
      <c r="B3" s="26"/>
      <c r="C3" s="26"/>
      <c r="D3" s="26"/>
      <c r="E3" s="26"/>
      <c r="F3" s="26"/>
      <c r="G3" s="26"/>
      <c r="H3" s="50"/>
    </row>
    <row r="5" spans="1:12" ht="15.5" x14ac:dyDescent="0.35">
      <c r="A5" s="26"/>
      <c r="B5" s="26"/>
      <c r="C5" s="26"/>
      <c r="D5" s="26"/>
      <c r="E5" s="27"/>
      <c r="F5" s="46">
        <v>2010</v>
      </c>
      <c r="G5" s="27"/>
      <c r="H5" s="27"/>
    </row>
    <row r="6" spans="1:12" ht="15.5" x14ac:dyDescent="0.35">
      <c r="A6" s="81"/>
      <c r="B6" s="81"/>
      <c r="C6" s="81"/>
      <c r="D6" s="81"/>
      <c r="E6" s="104"/>
      <c r="F6" s="30" t="s">
        <v>112</v>
      </c>
      <c r="G6" s="30" t="s">
        <v>36</v>
      </c>
      <c r="H6" s="30" t="s">
        <v>37</v>
      </c>
    </row>
    <row r="8" spans="1:12" ht="15.5" x14ac:dyDescent="0.35">
      <c r="A8" s="26" t="s">
        <v>29</v>
      </c>
      <c r="B8" s="26"/>
      <c r="C8" s="26"/>
      <c r="D8" s="26"/>
      <c r="E8" s="26"/>
      <c r="F8" s="34">
        <f>'Test Year Detail'!F37</f>
        <v>11400.24</v>
      </c>
      <c r="G8" s="33">
        <f>-D39</f>
        <v>0</v>
      </c>
      <c r="H8" s="34">
        <f>F8+G8</f>
        <v>11400.24</v>
      </c>
      <c r="I8" s="26"/>
      <c r="J8" s="26"/>
      <c r="K8" s="26"/>
      <c r="L8" s="26"/>
    </row>
    <row r="9" spans="1:12" ht="15.5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.5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.5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5.5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.5" x14ac:dyDescent="0.3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.5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5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5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.5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.5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5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5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5.5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5.5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5.5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5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.5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.5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.5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.5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5.5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.5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5.5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5.5" x14ac:dyDescent="0.35">
      <c r="A32" s="25" t="s">
        <v>1074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5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5" x14ac:dyDescent="0.35">
      <c r="A34" s="26" t="s">
        <v>1075</v>
      </c>
      <c r="B34" s="26"/>
      <c r="C34" s="26"/>
      <c r="D34" s="352">
        <v>0</v>
      </c>
      <c r="E34" s="26"/>
      <c r="F34" s="26"/>
      <c r="G34" s="26"/>
      <c r="H34" s="26"/>
      <c r="I34" s="26"/>
      <c r="J34" s="26"/>
      <c r="K34" s="26"/>
      <c r="L34" s="26"/>
    </row>
    <row r="35" spans="1:12" ht="15.5" x14ac:dyDescent="0.35">
      <c r="A35" s="26" t="s">
        <v>1076</v>
      </c>
      <c r="B35" s="26"/>
      <c r="C35" s="26"/>
      <c r="D35" s="353">
        <v>0</v>
      </c>
      <c r="E35" s="26"/>
      <c r="F35" s="26"/>
      <c r="G35" s="26"/>
      <c r="H35" s="26"/>
      <c r="I35" s="26"/>
      <c r="J35" s="26"/>
      <c r="K35" s="26"/>
      <c r="L35" s="26"/>
    </row>
    <row r="36" spans="1:12" ht="15.5" x14ac:dyDescent="0.35">
      <c r="A36" s="26" t="s">
        <v>1077</v>
      </c>
      <c r="B36" s="26"/>
      <c r="C36" s="26"/>
      <c r="D36" s="353">
        <v>0</v>
      </c>
      <c r="E36" s="26"/>
      <c r="F36" s="26"/>
      <c r="G36" s="26"/>
      <c r="H36" s="26"/>
      <c r="I36" s="26"/>
      <c r="J36" s="26"/>
      <c r="K36" s="26"/>
      <c r="L36" s="26"/>
    </row>
    <row r="37" spans="1:12" ht="15.5" x14ac:dyDescent="0.35">
      <c r="A37" s="26" t="s">
        <v>1078</v>
      </c>
      <c r="B37" s="26"/>
      <c r="C37" s="26"/>
      <c r="D37" s="354">
        <v>0</v>
      </c>
      <c r="E37" s="26"/>
      <c r="F37" s="26"/>
      <c r="G37" s="26"/>
      <c r="H37" s="26"/>
      <c r="I37" s="26"/>
      <c r="J37" s="26"/>
      <c r="K37" s="26"/>
      <c r="L37" s="26"/>
    </row>
    <row r="38" spans="1:12" ht="15.5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5" x14ac:dyDescent="0.35">
      <c r="A39" s="26" t="s">
        <v>1079</v>
      </c>
      <c r="B39" s="26"/>
      <c r="C39" s="26"/>
      <c r="D39" s="33">
        <f>SUM(D34:D38)</f>
        <v>0</v>
      </c>
      <c r="E39" s="26"/>
      <c r="F39" s="26"/>
      <c r="G39" s="26"/>
      <c r="H39" s="26"/>
      <c r="I39" s="26"/>
      <c r="J39" s="26"/>
      <c r="K39" s="26"/>
      <c r="L39" s="26"/>
    </row>
    <row r="40" spans="1:12" ht="15.5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5.5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5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.5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.5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5.5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5.5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5.5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.5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5.5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5.5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U232"/>
  <sheetViews>
    <sheetView topLeftCell="N85" workbookViewId="0">
      <selection activeCell="S128" sqref="S128"/>
    </sheetView>
  </sheetViews>
  <sheetFormatPr defaultRowHeight="12.5" x14ac:dyDescent="0.25"/>
  <cols>
    <col min="2" max="2" width="14" bestFit="1" customWidth="1"/>
    <col min="4" max="4" width="13.453125" bestFit="1" customWidth="1"/>
    <col min="5" max="5" width="14" customWidth="1"/>
    <col min="6" max="6" width="10.54296875" customWidth="1"/>
    <col min="7" max="7" width="12.7265625" customWidth="1"/>
    <col min="8" max="8" width="10.453125" customWidth="1"/>
    <col min="9" max="9" width="11.26953125" bestFit="1" customWidth="1"/>
    <col min="10" max="10" width="12.7265625" customWidth="1"/>
    <col min="11" max="11" width="10.54296875" customWidth="1"/>
    <col min="12" max="12" width="12.54296875" customWidth="1"/>
    <col min="13" max="13" width="11.453125" customWidth="1"/>
    <col min="14" max="14" width="11.7265625" customWidth="1"/>
    <col min="15" max="15" width="16.7265625" customWidth="1"/>
    <col min="16" max="17" width="12.54296875" customWidth="1"/>
    <col min="18" max="18" width="15.7265625" customWidth="1"/>
    <col min="19" max="19" width="14.26953125" customWidth="1"/>
    <col min="20" max="20" width="13" customWidth="1"/>
    <col min="21" max="21" width="13.26953125" customWidth="1"/>
    <col min="22" max="22" width="12.26953125" customWidth="1"/>
  </cols>
  <sheetData>
    <row r="1" spans="1:21" ht="14.5" x14ac:dyDescent="0.35">
      <c r="A1" s="556"/>
      <c r="B1" s="556"/>
      <c r="C1" s="556"/>
      <c r="D1" s="416" t="s">
        <v>1412</v>
      </c>
      <c r="G1" s="416" t="s">
        <v>1413</v>
      </c>
      <c r="J1" s="416" t="s">
        <v>1417</v>
      </c>
      <c r="L1" s="416" t="s">
        <v>1419</v>
      </c>
      <c r="N1" s="416" t="s">
        <v>1421</v>
      </c>
      <c r="P1" s="416" t="s">
        <v>1433</v>
      </c>
      <c r="R1" s="416" t="s">
        <v>1437</v>
      </c>
    </row>
    <row r="2" spans="1:21" ht="14.5" x14ac:dyDescent="0.35">
      <c r="A2" s="556"/>
      <c r="B2" s="556"/>
      <c r="C2" s="556"/>
      <c r="D2" s="484"/>
      <c r="G2" s="484"/>
      <c r="J2" s="484"/>
      <c r="L2" s="484"/>
      <c r="N2" s="484"/>
      <c r="P2" s="484"/>
      <c r="R2" s="484"/>
    </row>
    <row r="3" spans="1:21" ht="14.5" x14ac:dyDescent="0.35">
      <c r="A3" s="556"/>
      <c r="B3" s="556"/>
      <c r="C3" s="556"/>
      <c r="D3" s="484" t="s">
        <v>1398</v>
      </c>
      <c r="G3" s="484" t="s">
        <v>1414</v>
      </c>
      <c r="J3" s="484" t="s">
        <v>1414</v>
      </c>
      <c r="L3" s="484" t="s">
        <v>1420</v>
      </c>
      <c r="N3" s="484" t="s">
        <v>1465</v>
      </c>
      <c r="P3" s="484" t="s">
        <v>1440</v>
      </c>
      <c r="R3" s="484" t="s">
        <v>1443</v>
      </c>
    </row>
    <row r="4" spans="1:21" ht="14.5" x14ac:dyDescent="0.35">
      <c r="A4" s="556"/>
      <c r="B4" s="556"/>
      <c r="C4" s="556"/>
      <c r="D4" s="484" t="s">
        <v>1397</v>
      </c>
      <c r="G4" s="484" t="s">
        <v>1415</v>
      </c>
      <c r="J4" s="484" t="s">
        <v>1418</v>
      </c>
      <c r="L4" s="484"/>
      <c r="N4" s="484" t="s">
        <v>1464</v>
      </c>
      <c r="P4" s="484" t="s">
        <v>1441</v>
      </c>
      <c r="R4" s="484"/>
    </row>
    <row r="5" spans="1:21" ht="14.5" x14ac:dyDescent="0.35">
      <c r="A5" s="556"/>
      <c r="B5" s="556"/>
      <c r="C5" s="556"/>
      <c r="N5" s="484"/>
    </row>
    <row r="6" spans="1:21" ht="14.5" x14ac:dyDescent="0.35">
      <c r="A6" s="556"/>
      <c r="B6" s="556"/>
      <c r="C6" s="556"/>
      <c r="D6" s="490">
        <v>18.98</v>
      </c>
      <c r="E6" t="s">
        <v>1391</v>
      </c>
      <c r="G6" s="490">
        <v>7.9</v>
      </c>
      <c r="H6" s="484" t="s">
        <v>1430</v>
      </c>
      <c r="J6" s="490">
        <f>G6</f>
        <v>7.9</v>
      </c>
      <c r="K6" s="484" t="s">
        <v>1430</v>
      </c>
      <c r="L6" s="490">
        <f>D6</f>
        <v>18.98</v>
      </c>
      <c r="M6" s="484" t="s">
        <v>1430</v>
      </c>
      <c r="N6" s="490">
        <v>17</v>
      </c>
      <c r="O6" t="s">
        <v>1391</v>
      </c>
      <c r="P6" s="490">
        <f>+J6</f>
        <v>7.9</v>
      </c>
      <c r="Q6" s="484" t="s">
        <v>1430</v>
      </c>
      <c r="R6" s="490" t="str">
        <f>+M6</f>
        <v>Cust Chg</v>
      </c>
      <c r="S6" s="484" t="s">
        <v>1430</v>
      </c>
    </row>
    <row r="7" spans="1:21" ht="14.5" x14ac:dyDescent="0.35">
      <c r="A7" s="556"/>
      <c r="B7" s="556"/>
      <c r="C7" s="556"/>
      <c r="D7">
        <v>2</v>
      </c>
      <c r="E7" t="s">
        <v>1394</v>
      </c>
      <c r="G7" s="490">
        <v>6.281146548924891</v>
      </c>
      <c r="H7" s="484" t="s">
        <v>1416</v>
      </c>
      <c r="J7" s="490">
        <v>6.3277115331760756</v>
      </c>
      <c r="K7" s="484" t="s">
        <v>1416</v>
      </c>
      <c r="L7" s="490">
        <v>5.8640790546342574</v>
      </c>
      <c r="M7" s="484" t="s">
        <v>1416</v>
      </c>
      <c r="N7">
        <v>4</v>
      </c>
      <c r="O7" t="s">
        <v>1394</v>
      </c>
    </row>
    <row r="8" spans="1:21" ht="14.5" x14ac:dyDescent="0.35">
      <c r="A8" s="556"/>
      <c r="B8" s="556"/>
      <c r="C8" s="556"/>
      <c r="D8" s="490">
        <v>6.35</v>
      </c>
      <c r="E8" t="s">
        <v>1392</v>
      </c>
      <c r="N8" s="490">
        <v>7.2699916150881121</v>
      </c>
      <c r="O8" t="s">
        <v>1392</v>
      </c>
      <c r="P8" s="490">
        <v>6.082434134033349</v>
      </c>
      <c r="Q8" s="484" t="s">
        <v>1431</v>
      </c>
      <c r="R8" s="490">
        <f>R11/B147</f>
        <v>38.420183252778997</v>
      </c>
      <c r="S8" s="484" t="s">
        <v>1438</v>
      </c>
    </row>
    <row r="9" spans="1:21" ht="15" thickBot="1" x14ac:dyDescent="0.4">
      <c r="A9" s="556"/>
      <c r="B9" s="556"/>
      <c r="C9" s="556"/>
      <c r="D9" s="490">
        <f>D8*0.801</f>
        <v>5.0863500000000004</v>
      </c>
      <c r="E9" t="s">
        <v>1393</v>
      </c>
      <c r="G9" s="417">
        <f>+D11</f>
        <v>3993086.485827825</v>
      </c>
      <c r="J9" s="417">
        <f>D11+21517</f>
        <v>4014603.485827825</v>
      </c>
      <c r="L9" s="417">
        <f>+D11</f>
        <v>3993086.485827825</v>
      </c>
      <c r="N9" s="565">
        <v>10.628747357757186</v>
      </c>
      <c r="O9" s="484" t="s">
        <v>1463</v>
      </c>
      <c r="P9" s="490">
        <f>+P8*1.2</f>
        <v>7.2989209608400181</v>
      </c>
      <c r="Q9" s="484" t="s">
        <v>1432</v>
      </c>
      <c r="R9" s="490"/>
      <c r="S9" s="484"/>
    </row>
    <row r="10" spans="1:21" ht="15" thickBot="1" x14ac:dyDescent="0.4">
      <c r="A10" s="556"/>
      <c r="B10" s="556"/>
      <c r="C10" s="556"/>
      <c r="G10" s="553">
        <f>SUM(G15:G73)</f>
        <v>3790316.1676721298</v>
      </c>
      <c r="J10" s="553">
        <f>SUM(J15:J73)</f>
        <v>3812328.5877337335</v>
      </c>
      <c r="L10" s="553">
        <f>SUM(L15:L73)</f>
        <v>3779770.0077289129</v>
      </c>
      <c r="N10" s="490">
        <f>+N8*0.25</f>
        <v>1.817497903772028</v>
      </c>
      <c r="O10" s="484" t="s">
        <v>1462</v>
      </c>
    </row>
    <row r="11" spans="1:21" ht="15" thickBot="1" x14ac:dyDescent="0.4">
      <c r="A11" s="556"/>
      <c r="B11" s="556"/>
      <c r="C11" s="556"/>
      <c r="D11" s="417">
        <f>+Summary!H26</f>
        <v>3993086.485827825</v>
      </c>
      <c r="G11" s="418"/>
      <c r="J11" s="418"/>
      <c r="L11" s="418"/>
      <c r="P11" s="417">
        <f>+L9</f>
        <v>3993086.485827825</v>
      </c>
      <c r="R11" s="417">
        <f>+D11</f>
        <v>3993086.485827825</v>
      </c>
    </row>
    <row r="12" spans="1:21" ht="15" thickBot="1" x14ac:dyDescent="0.4">
      <c r="A12" s="556"/>
      <c r="B12" s="556"/>
      <c r="C12" s="556"/>
      <c r="D12" s="553">
        <f>SUM(E15:E73)</f>
        <v>3785454.221563525</v>
      </c>
      <c r="N12" s="417">
        <f>+J9</f>
        <v>4014603.485827825</v>
      </c>
      <c r="P12" s="553">
        <f>SUM(P15:P73)</f>
        <v>3786877.0061881561</v>
      </c>
      <c r="R12" s="553">
        <f>SUM(R15:R73)</f>
        <v>3993086.485827826</v>
      </c>
    </row>
    <row r="13" spans="1:21" ht="13" thickBot="1" x14ac:dyDescent="0.3">
      <c r="N13" s="553">
        <f>SUM(N15:N73)</f>
        <v>3790616.6454037949</v>
      </c>
      <c r="P13" s="418"/>
      <c r="R13" s="418"/>
    </row>
    <row r="14" spans="1:21" ht="37.5" x14ac:dyDescent="0.25">
      <c r="B14" s="512" t="s">
        <v>1395</v>
      </c>
      <c r="C14" s="512" t="s">
        <v>1396</v>
      </c>
      <c r="D14" s="557" t="s">
        <v>1411</v>
      </c>
      <c r="E14" s="512" t="s">
        <v>1399</v>
      </c>
      <c r="G14" s="512" t="s">
        <v>1399</v>
      </c>
      <c r="I14" s="512"/>
      <c r="J14" s="512" t="s">
        <v>1399</v>
      </c>
      <c r="L14" s="512" t="s">
        <v>1399</v>
      </c>
      <c r="N14" s="512" t="s">
        <v>1399</v>
      </c>
      <c r="P14" s="512" t="s">
        <v>1399</v>
      </c>
      <c r="R14" s="512" t="s">
        <v>1399</v>
      </c>
    </row>
    <row r="15" spans="1:21" x14ac:dyDescent="0.25">
      <c r="B15" s="546">
        <v>0</v>
      </c>
      <c r="C15" s="546">
        <v>9435.8539814639716</v>
      </c>
      <c r="D15" s="558">
        <f>'Billing Data'!E212/1000</f>
        <v>0</v>
      </c>
      <c r="E15" s="418">
        <f>C15*D6</f>
        <v>179092.5085681862</v>
      </c>
      <c r="G15" s="418">
        <f>$G$6*$C15</f>
        <v>74543.246453565385</v>
      </c>
      <c r="H15" s="520"/>
      <c r="I15" s="418"/>
      <c r="J15" s="418">
        <f>$J$6*$C15</f>
        <v>74543.246453565385</v>
      </c>
      <c r="L15" s="524">
        <f>$L$6*$C15</f>
        <v>179092.5085681862</v>
      </c>
      <c r="N15" s="418">
        <f>$N$6*$C15</f>
        <v>160409.51768488751</v>
      </c>
      <c r="O15" s="564">
        <f>(+N15/E87)-1</f>
        <v>-6.4289888953827923E-3</v>
      </c>
      <c r="P15" s="524">
        <f>$P$6*$C15</f>
        <v>74543.246453565385</v>
      </c>
      <c r="Q15" s="520">
        <f t="shared" ref="Q15:Q46" si="0">(P15/E87)-1</f>
        <v>-0.53828170660432484</v>
      </c>
      <c r="R15" s="418">
        <f t="shared" ref="R15:R46" si="1">$R$8*C15</f>
        <v>362527.23911431013</v>
      </c>
      <c r="T15" s="546">
        <f>+D15</f>
        <v>0</v>
      </c>
      <c r="U15" s="563">
        <f>+T15/$D$75</f>
        <v>0</v>
      </c>
    </row>
    <row r="16" spans="1:21" x14ac:dyDescent="0.25">
      <c r="B16" s="546">
        <v>1000</v>
      </c>
      <c r="C16" s="546">
        <v>11472.425799129946</v>
      </c>
      <c r="D16" s="558">
        <f>'Billing Data'!E213/1000</f>
        <v>6509.3722500000003</v>
      </c>
      <c r="E16" s="418">
        <f>C16*D6</f>
        <v>217746.64166748637</v>
      </c>
      <c r="G16" s="418">
        <f>$G$6*$C16+($D16*$G$7)</f>
        <v>131518.48485688155</v>
      </c>
      <c r="H16" s="520"/>
      <c r="J16" s="524">
        <f t="shared" ref="J16:J47" si="2">$J$6*$C16+($D16*$J$7)</f>
        <v>131821.59367318789</v>
      </c>
      <c r="L16" s="418">
        <f>$L$6*$C16</f>
        <v>217746.64166748637</v>
      </c>
      <c r="N16" s="418">
        <f>$N$6*$C16</f>
        <v>195031.23858520907</v>
      </c>
      <c r="O16" s="564">
        <f t="shared" ref="O16:O73" si="3">(+N16/E88)-1</f>
        <v>-6.4289888953827923E-3</v>
      </c>
      <c r="P16" s="524">
        <f t="shared" ref="P16:P33" si="4">($P$6*$C16)+($D16*$P$8)</f>
        <v>130224.99177765605</v>
      </c>
      <c r="Q16" s="520">
        <f t="shared" si="0"/>
        <v>-0.33657921833334048</v>
      </c>
      <c r="R16" s="418">
        <f t="shared" si="1"/>
        <v>440772.70155648206</v>
      </c>
      <c r="T16" s="546">
        <f>+T15+D16</f>
        <v>6509.3722500000003</v>
      </c>
      <c r="U16" s="563">
        <f t="shared" ref="U16:U73" si="5">+T16/$D$75</f>
        <v>1.3769899695629372E-2</v>
      </c>
    </row>
    <row r="17" spans="2:21" x14ac:dyDescent="0.25">
      <c r="B17" s="546">
        <v>2000</v>
      </c>
      <c r="C17" s="546">
        <v>16835.136145261968</v>
      </c>
      <c r="D17" s="558">
        <f>'Billing Data'!E214/1000</f>
        <v>25666.9365</v>
      </c>
      <c r="E17" s="418">
        <f>C17*D6</f>
        <v>319530.88403707213</v>
      </c>
      <c r="G17" s="418">
        <f t="shared" ref="G17:G48" si="6">$G$6*C17+(D17*$G$7)</f>
        <v>294215.36516601883</v>
      </c>
      <c r="H17" s="520"/>
      <c r="J17" s="418">
        <f t="shared" si="2"/>
        <v>295410.54565991752</v>
      </c>
      <c r="L17" s="418">
        <f>$L$6*$C17</f>
        <v>319530.88403707213</v>
      </c>
      <c r="N17" s="418">
        <f>$N$6*$C17</f>
        <v>286197.31446945347</v>
      </c>
      <c r="O17" s="564">
        <f t="shared" si="3"/>
        <v>-6.4289888953827923E-3</v>
      </c>
      <c r="P17" s="524">
        <f t="shared" si="4"/>
        <v>289115.026231236</v>
      </c>
      <c r="Q17" s="520">
        <f t="shared" si="0"/>
        <v>3.7002250374598145E-3</v>
      </c>
      <c r="R17" s="418">
        <f t="shared" si="1"/>
        <v>646809.01578644826</v>
      </c>
      <c r="T17" s="546">
        <f t="shared" ref="T17:T73" si="7">+T16+D17</f>
        <v>32176.30875</v>
      </c>
      <c r="U17" s="563">
        <f t="shared" si="5"/>
        <v>6.8065633220331143E-2</v>
      </c>
    </row>
    <row r="18" spans="2:21" x14ac:dyDescent="0.25">
      <c r="B18" s="546">
        <v>3000</v>
      </c>
      <c r="C18" s="546">
        <v>17134.921089464729</v>
      </c>
      <c r="D18" s="558">
        <f>'Billing Data'!E215/1000</f>
        <v>42495.190499999997</v>
      </c>
      <c r="E18" s="524">
        <f>($C18*$D$6)+(($D18-($C18*2))*$D$8)</f>
        <v>377451.76411683846</v>
      </c>
      <c r="G18" s="418">
        <f t="shared" si="6"/>
        <v>402284.39576175215</v>
      </c>
      <c r="H18" s="520"/>
      <c r="J18" s="418">
        <f t="shared" si="2"/>
        <v>404263.18363813573</v>
      </c>
      <c r="L18" s="524">
        <f t="shared" ref="L18:L49" si="8">($C18*$L$6)+(($D18-($C18*2))*$L$7)</f>
        <v>373454.89508470136</v>
      </c>
      <c r="N18" s="418">
        <f t="shared" ref="N18:N19" si="9">$N$6*$C18</f>
        <v>291293.65852090041</v>
      </c>
      <c r="O18" s="564">
        <f t="shared" si="3"/>
        <v>-0.14091912408205398</v>
      </c>
      <c r="P18" s="524">
        <f t="shared" si="4"/>
        <v>393840.07383622101</v>
      </c>
      <c r="Q18" s="520">
        <f t="shared" si="0"/>
        <v>0.16150992548481202</v>
      </c>
      <c r="R18" s="418">
        <f t="shared" si="1"/>
        <v>658326.80827914248</v>
      </c>
      <c r="T18" s="546">
        <f t="shared" si="7"/>
        <v>74671.499249999993</v>
      </c>
      <c r="U18" s="563">
        <f t="shared" si="5"/>
        <v>0.15795978710462652</v>
      </c>
    </row>
    <row r="19" spans="2:21" x14ac:dyDescent="0.25">
      <c r="B19" s="546">
        <v>4000</v>
      </c>
      <c r="C19" s="546">
        <v>14529.249328541711</v>
      </c>
      <c r="D19" s="558">
        <f>'Billing Data'!E216/1000</f>
        <v>49938.412499999999</v>
      </c>
      <c r="E19" s="418">
        <f t="shared" ref="E19:E30" si="10">(C19*$D$6)+((D19-(C19*2))*$D$8)</f>
        <v>408352.60515824193</v>
      </c>
      <c r="G19" s="418">
        <f t="shared" si="6"/>
        <v>428451.55702864216</v>
      </c>
      <c r="H19" s="520"/>
      <c r="J19" s="418">
        <f t="shared" si="2"/>
        <v>430776.93842023384</v>
      </c>
      <c r="L19" s="524">
        <f t="shared" si="8"/>
        <v>398206.61768453667</v>
      </c>
      <c r="N19" s="418">
        <f t="shared" si="9"/>
        <v>246997.2385852091</v>
      </c>
      <c r="O19" s="564">
        <f t="shared" si="3"/>
        <v>-0.32349054457820881</v>
      </c>
      <c r="P19" s="524">
        <f t="shared" si="4"/>
        <v>418528.1744849172</v>
      </c>
      <c r="Q19" s="520">
        <f t="shared" si="0"/>
        <v>0.1463215905621984</v>
      </c>
      <c r="R19" s="418">
        <f t="shared" si="1"/>
        <v>558216.42172788875</v>
      </c>
      <c r="T19" s="546">
        <f t="shared" si="7"/>
        <v>124609.91175</v>
      </c>
      <c r="U19" s="563">
        <f t="shared" si="5"/>
        <v>0.26359930266374426</v>
      </c>
    </row>
    <row r="20" spans="2:21" x14ac:dyDescent="0.25">
      <c r="B20" s="546">
        <v>5000</v>
      </c>
      <c r="C20" s="546">
        <v>11250.290069982981</v>
      </c>
      <c r="D20" s="558">
        <f>'Billing Data'!E217/1000</f>
        <v>49600.798000000003</v>
      </c>
      <c r="E20" s="418">
        <f t="shared" si="10"/>
        <v>385616.8889394931</v>
      </c>
      <c r="G20" s="418">
        <f t="shared" si="6"/>
        <v>400427.17273448617</v>
      </c>
      <c r="H20" s="520"/>
      <c r="J20" s="418">
        <f t="shared" si="2"/>
        <v>402736.83311220235</v>
      </c>
      <c r="L20" s="524">
        <f t="shared" si="8"/>
        <v>372448.32545732782</v>
      </c>
      <c r="N20" s="524">
        <f t="shared" ref="N20:N30" si="11">($C20*$N$6)+(($D20-($C20*4))*$N$8)</f>
        <v>224694.25884704862</v>
      </c>
      <c r="O20" s="564">
        <f t="shared" si="3"/>
        <v>-0.3462710965771465</v>
      </c>
      <c r="P20" s="524">
        <f t="shared" si="4"/>
        <v>390570.87838335859</v>
      </c>
      <c r="Q20" s="520">
        <f t="shared" si="0"/>
        <v>0.13633287002787808</v>
      </c>
      <c r="R20" s="418">
        <f t="shared" si="1"/>
        <v>432238.20613566594</v>
      </c>
      <c r="T20" s="546">
        <f t="shared" si="7"/>
        <v>174210.70975000001</v>
      </c>
      <c r="U20" s="563">
        <f t="shared" si="5"/>
        <v>0.36852462987685208</v>
      </c>
    </row>
    <row r="21" spans="2:21" x14ac:dyDescent="0.25">
      <c r="B21" s="546">
        <v>6000</v>
      </c>
      <c r="C21" s="546">
        <v>7452.358842443733</v>
      </c>
      <c r="D21" s="558">
        <f>'Billing Data'!E218/1000</f>
        <v>40051.171750000001</v>
      </c>
      <c r="E21" s="418">
        <f t="shared" si="10"/>
        <v>301125.75414304668</v>
      </c>
      <c r="G21" s="418">
        <f t="shared" si="6"/>
        <v>310440.91407321609</v>
      </c>
      <c r="H21" s="520"/>
      <c r="J21" s="418">
        <f t="shared" si="2"/>
        <v>312305.89625499636</v>
      </c>
      <c r="L21" s="524">
        <f t="shared" si="8"/>
        <v>288906.56541113096</v>
      </c>
      <c r="N21" s="524">
        <f t="shared" si="11"/>
        <v>201147.4379297226</v>
      </c>
      <c r="O21" s="564">
        <f t="shared" si="3"/>
        <v>-0.24896525463998442</v>
      </c>
      <c r="P21" s="524">
        <f t="shared" si="4"/>
        <v>302482.24901553767</v>
      </c>
      <c r="Q21" s="520">
        <f t="shared" si="0"/>
        <v>0.12939384763468875</v>
      </c>
      <c r="R21" s="418">
        <f t="shared" si="1"/>
        <v>286320.99239215621</v>
      </c>
      <c r="T21" s="546">
        <f t="shared" si="7"/>
        <v>214261.88150000002</v>
      </c>
      <c r="U21" s="563">
        <f t="shared" si="5"/>
        <v>0.45324871639532166</v>
      </c>
    </row>
    <row r="22" spans="2:21" x14ac:dyDescent="0.25">
      <c r="B22" s="546">
        <v>7000</v>
      </c>
      <c r="C22" s="546">
        <v>4829.9777567618703</v>
      </c>
      <c r="D22" s="558">
        <f>'Billing Data'!E219/1000</f>
        <v>30627.839749999999</v>
      </c>
      <c r="E22" s="418">
        <f t="shared" si="10"/>
        <v>224819.04272496456</v>
      </c>
      <c r="G22" s="418">
        <f t="shared" si="6"/>
        <v>230534.77422515588</v>
      </c>
      <c r="H22" s="520"/>
      <c r="J22" s="418">
        <f t="shared" si="2"/>
        <v>231960.95910076244</v>
      </c>
      <c r="L22" s="524">
        <f t="shared" si="8"/>
        <v>214630.30859445658</v>
      </c>
      <c r="N22" s="524">
        <f t="shared" si="11"/>
        <v>164318.16886483063</v>
      </c>
      <c r="O22" s="564">
        <f t="shared" si="3"/>
        <v>-0.17693468955515135</v>
      </c>
      <c r="P22" s="524">
        <f t="shared" si="4"/>
        <v>224448.6422255222</v>
      </c>
      <c r="Q22" s="520">
        <f t="shared" si="0"/>
        <v>0.12425724232747104</v>
      </c>
      <c r="R22" s="418">
        <f t="shared" si="1"/>
        <v>185568.63052163747</v>
      </c>
      <c r="T22" s="546">
        <f t="shared" si="7"/>
        <v>244889.72125</v>
      </c>
      <c r="U22" s="563">
        <f t="shared" si="5"/>
        <v>0.51803872456412936</v>
      </c>
    </row>
    <row r="23" spans="2:21" x14ac:dyDescent="0.25">
      <c r="B23" s="546">
        <v>8000</v>
      </c>
      <c r="C23" s="546">
        <v>2969.3452997919435</v>
      </c>
      <c r="D23" s="558">
        <f>'Billing Data'!E220/1000</f>
        <v>21719.546999999999</v>
      </c>
      <c r="E23" s="418">
        <f t="shared" si="10"/>
        <v>156566.6119326934</v>
      </c>
      <c r="G23" s="418">
        <f t="shared" si="6"/>
        <v>159881.48555161833</v>
      </c>
      <c r="H23" s="520"/>
      <c r="J23" s="418">
        <f t="shared" si="2"/>
        <v>160892.85591561621</v>
      </c>
      <c r="L23" s="524">
        <f t="shared" si="8"/>
        <v>148898.36327192216</v>
      </c>
      <c r="N23" s="524">
        <f t="shared" si="11"/>
        <v>122031.33294282029</v>
      </c>
      <c r="O23" s="564">
        <f t="shared" si="3"/>
        <v>-0.12120855106328965</v>
      </c>
      <c r="P23" s="524">
        <f t="shared" si="4"/>
        <v>155565.54191689799</v>
      </c>
      <c r="Q23" s="520">
        <f t="shared" si="0"/>
        <v>0.12028332960873933</v>
      </c>
      <c r="R23" s="418">
        <f t="shared" si="1"/>
        <v>114082.79055878446</v>
      </c>
      <c r="T23" s="546">
        <f t="shared" si="7"/>
        <v>266609.26825000002</v>
      </c>
      <c r="U23" s="563">
        <f t="shared" si="5"/>
        <v>0.56398416632689041</v>
      </c>
    </row>
    <row r="24" spans="2:21" x14ac:dyDescent="0.25">
      <c r="B24" s="546">
        <v>9000</v>
      </c>
      <c r="C24" s="546">
        <v>1922.5552487232842</v>
      </c>
      <c r="D24" s="558">
        <f>'Billing Data'!E221/1000</f>
        <v>15966.21675</v>
      </c>
      <c r="E24" s="418">
        <f t="shared" si="10"/>
        <v>113459.12332448222</v>
      </c>
      <c r="G24" s="418">
        <f t="shared" si="6"/>
        <v>115474.33370356323</v>
      </c>
      <c r="H24" s="520"/>
      <c r="J24" s="418">
        <f t="shared" si="2"/>
        <v>116217.80033507798</v>
      </c>
      <c r="L24" s="524">
        <f t="shared" si="8"/>
        <v>107569.22391536285</v>
      </c>
      <c r="N24" s="524">
        <f t="shared" si="11"/>
        <v>92849.858974427523</v>
      </c>
      <c r="O24" s="564">
        <f t="shared" si="3"/>
        <v>-7.6402877334037722E-2</v>
      </c>
      <c r="P24" s="524">
        <f t="shared" si="4"/>
        <v>112301.64821648895</v>
      </c>
      <c r="Q24" s="520">
        <f t="shared" si="0"/>
        <v>0.11708817125894599</v>
      </c>
      <c r="R24" s="418">
        <f t="shared" si="1"/>
        <v>73864.924969540691</v>
      </c>
      <c r="T24" s="546">
        <f t="shared" si="7"/>
        <v>282575.48500000004</v>
      </c>
      <c r="U24" s="563">
        <f t="shared" si="5"/>
        <v>0.5977590365789609</v>
      </c>
    </row>
    <row r="25" spans="2:21" x14ac:dyDescent="0.25">
      <c r="B25" s="546">
        <v>10000</v>
      </c>
      <c r="C25" s="546">
        <v>1268.9257802156237</v>
      </c>
      <c r="D25" s="558">
        <f>'Billing Data'!E222/1000</f>
        <v>11754.748750000001</v>
      </c>
      <c r="E25" s="418">
        <f t="shared" si="10"/>
        <v>82611.508462254118</v>
      </c>
      <c r="G25" s="418">
        <f t="shared" si="6"/>
        <v>83857.813208245105</v>
      </c>
      <c r="H25" s="520"/>
      <c r="J25" s="418">
        <f t="shared" si="2"/>
        <v>84405.172898665493</v>
      </c>
      <c r="L25" s="524">
        <f t="shared" si="8"/>
        <v>78132.825066560021</v>
      </c>
      <c r="N25" s="524">
        <f t="shared" si="11"/>
        <v>70128.343984286184</v>
      </c>
      <c r="O25" s="564">
        <f t="shared" si="3"/>
        <v>-4.119765179623891E-2</v>
      </c>
      <c r="P25" s="524">
        <f t="shared" si="4"/>
        <v>81521.998697689269</v>
      </c>
      <c r="Q25" s="520">
        <f t="shared" si="0"/>
        <v>0.11457763495916407</v>
      </c>
      <c r="R25" s="418">
        <f t="shared" si="1"/>
        <v>48752.361010059831</v>
      </c>
      <c r="T25" s="546">
        <f t="shared" si="7"/>
        <v>294330.23375000007</v>
      </c>
      <c r="U25" s="563">
        <f t="shared" si="5"/>
        <v>0.62262498447967052</v>
      </c>
    </row>
    <row r="26" spans="2:21" x14ac:dyDescent="0.25">
      <c r="B26" s="546">
        <v>11000</v>
      </c>
      <c r="C26" s="546">
        <v>832.517533572915</v>
      </c>
      <c r="D26" s="558">
        <f>'Billing Data'!E223/1000</f>
        <v>8544.3469999999998</v>
      </c>
      <c r="E26" s="418">
        <f t="shared" si="10"/>
        <v>59484.813560837902</v>
      </c>
      <c r="G26" s="418">
        <f t="shared" si="6"/>
        <v>60245.184187092767</v>
      </c>
      <c r="H26" s="520"/>
      <c r="J26" s="418">
        <f t="shared" si="2"/>
        <v>60643.05157058443</v>
      </c>
      <c r="L26" s="524">
        <f t="shared" si="8"/>
        <v>56142.011802959569</v>
      </c>
      <c r="N26" s="524">
        <f t="shared" si="11"/>
        <v>52060.547163187104</v>
      </c>
      <c r="O26" s="564">
        <f t="shared" si="3"/>
        <v>-1.0837512486419065E-2</v>
      </c>
      <c r="P26" s="524">
        <f t="shared" si="4"/>
        <v>58547.316361051468</v>
      </c>
      <c r="Q26" s="520">
        <f t="shared" si="0"/>
        <v>0.11241260886887816</v>
      </c>
      <c r="R26" s="418">
        <f t="shared" si="1"/>
        <v>31985.476201022986</v>
      </c>
      <c r="T26" s="546">
        <f t="shared" si="7"/>
        <v>302874.58075000008</v>
      </c>
      <c r="U26" s="563">
        <f t="shared" si="5"/>
        <v>0.64069966152009505</v>
      </c>
    </row>
    <row r="27" spans="2:21" x14ac:dyDescent="0.25">
      <c r="B27" s="546">
        <v>12000</v>
      </c>
      <c r="C27" s="546">
        <v>556.32222432381332</v>
      </c>
      <c r="D27" s="558">
        <f>'Billing Data'!E224/1000</f>
        <v>6252.7622499999998</v>
      </c>
      <c r="E27" s="418">
        <f t="shared" si="10"/>
        <v>43198.743856253546</v>
      </c>
      <c r="G27" s="418">
        <f t="shared" si="6"/>
        <v>43669.461599993461</v>
      </c>
      <c r="H27" s="520"/>
      <c r="J27" s="418">
        <f t="shared" si="2"/>
        <v>43960.621375691109</v>
      </c>
      <c r="L27" s="524">
        <f t="shared" si="8"/>
        <v>40701.052954929117</v>
      </c>
      <c r="N27" s="524">
        <f t="shared" si="11"/>
        <v>38737.175317659145</v>
      </c>
      <c r="O27" s="564">
        <f t="shared" si="3"/>
        <v>1.4048096182118996E-2</v>
      </c>
      <c r="P27" s="524">
        <f t="shared" si="4"/>
        <v>42426.960113553287</v>
      </c>
      <c r="Q27" s="520">
        <f t="shared" si="0"/>
        <v>0.11063797959296462</v>
      </c>
      <c r="R27" s="418">
        <f t="shared" si="1"/>
        <v>21374.001806114535</v>
      </c>
      <c r="T27" s="546">
        <f t="shared" si="7"/>
        <v>309127.34300000011</v>
      </c>
      <c r="U27" s="563">
        <f t="shared" si="5"/>
        <v>0.65392672946095809</v>
      </c>
    </row>
    <row r="28" spans="2:21" x14ac:dyDescent="0.25">
      <c r="B28" s="546">
        <v>13000</v>
      </c>
      <c r="C28" s="546">
        <v>434.44244372990369</v>
      </c>
      <c r="D28" s="558">
        <f>'Billing Data'!E225/1000</f>
        <v>5298.7092499999999</v>
      </c>
      <c r="E28" s="418">
        <f t="shared" si="10"/>
        <v>36375.102284123801</v>
      </c>
      <c r="G28" s="418">
        <f t="shared" si="6"/>
        <v>36714.064624860133</v>
      </c>
      <c r="H28" s="520"/>
      <c r="J28" s="418">
        <f t="shared" si="2"/>
        <v>36960.798937637992</v>
      </c>
      <c r="L28" s="524">
        <f t="shared" si="8"/>
        <v>34222.557842074064</v>
      </c>
      <c r="N28" s="524">
        <f t="shared" si="11"/>
        <v>33273.521669079026</v>
      </c>
      <c r="O28" s="564">
        <f t="shared" si="3"/>
        <v>3.4890548921359121E-2</v>
      </c>
      <c r="P28" s="524">
        <f t="shared" si="4"/>
        <v>35661.145313984489</v>
      </c>
      <c r="Q28" s="520">
        <f t="shared" si="0"/>
        <v>0.10915167370004641</v>
      </c>
      <c r="R28" s="418">
        <f t="shared" si="1"/>
        <v>16691.358300888027</v>
      </c>
      <c r="T28" s="546">
        <f t="shared" si="7"/>
        <v>314426.05225000012</v>
      </c>
      <c r="U28" s="563">
        <f t="shared" si="5"/>
        <v>0.66513559754939833</v>
      </c>
    </row>
    <row r="29" spans="2:21" x14ac:dyDescent="0.25">
      <c r="B29" s="546">
        <v>14000</v>
      </c>
      <c r="C29" s="546">
        <v>317.47717041800655</v>
      </c>
      <c r="D29" s="558">
        <f>'Billing Data'!E226/1000</f>
        <v>4178.3384999999998</v>
      </c>
      <c r="E29" s="418">
        <f t="shared" si="10"/>
        <v>28526.206105225079</v>
      </c>
      <c r="G29" s="418">
        <f t="shared" si="6"/>
        <v>28752.826095817254</v>
      </c>
      <c r="H29" s="520"/>
      <c r="J29" s="418">
        <f t="shared" si="2"/>
        <v>28947.390362265873</v>
      </c>
      <c r="L29" s="524">
        <f t="shared" si="8"/>
        <v>26804.40152481012</v>
      </c>
      <c r="N29" s="524">
        <f t="shared" si="11"/>
        <v>26541.372289422718</v>
      </c>
      <c r="O29" s="564">
        <f t="shared" si="3"/>
        <v>5.3056976473233597E-2</v>
      </c>
      <c r="P29" s="524">
        <f t="shared" si="4"/>
        <v>27922.538362247953</v>
      </c>
      <c r="Q29" s="520">
        <f t="shared" si="0"/>
        <v>0.10785619909053512</v>
      </c>
      <c r="R29" s="418">
        <f t="shared" si="1"/>
        <v>12197.53106603356</v>
      </c>
      <c r="T29" s="546">
        <f t="shared" si="7"/>
        <v>318604.39075000014</v>
      </c>
      <c r="U29" s="563">
        <f t="shared" si="5"/>
        <v>0.67397443789062894</v>
      </c>
    </row>
    <row r="30" spans="2:21" x14ac:dyDescent="0.25">
      <c r="B30" s="546">
        <v>15000</v>
      </c>
      <c r="C30" s="546">
        <v>277.17821070550417</v>
      </c>
      <c r="D30" s="558">
        <f>'Billing Data'!E227/1000</f>
        <v>3919.8135000000002</v>
      </c>
      <c r="E30" s="418">
        <f t="shared" si="10"/>
        <v>26631.494888230569</v>
      </c>
      <c r="G30" s="418">
        <f t="shared" si="6"/>
        <v>26810.630902527682</v>
      </c>
      <c r="H30" s="520"/>
      <c r="J30" s="418">
        <f t="shared" si="2"/>
        <v>26993.156956422765</v>
      </c>
      <c r="L30" s="524">
        <f t="shared" si="8"/>
        <v>24996.148803014774</v>
      </c>
      <c r="N30" s="524">
        <f t="shared" si="11"/>
        <v>25148.707788846194</v>
      </c>
      <c r="O30" s="564">
        <f t="shared" si="3"/>
        <v>6.9167334219585985E-2</v>
      </c>
      <c r="P30" s="524">
        <f t="shared" si="4"/>
        <v>26031.715296018217</v>
      </c>
      <c r="Q30" s="520">
        <f t="shared" si="0"/>
        <v>0.10670734583631436</v>
      </c>
      <c r="R30" s="418">
        <f t="shared" si="1"/>
        <v>10649.23764898286</v>
      </c>
      <c r="T30" s="546">
        <f t="shared" si="7"/>
        <v>322524.20425000013</v>
      </c>
      <c r="U30" s="563">
        <f t="shared" si="5"/>
        <v>0.68226639549384849</v>
      </c>
    </row>
    <row r="31" spans="2:21" x14ac:dyDescent="0.25">
      <c r="B31" s="546">
        <v>25000</v>
      </c>
      <c r="C31" s="546">
        <v>1092.0035180631742</v>
      </c>
      <c r="D31" s="558">
        <f>'Billing Data'!E228/1000</f>
        <v>20096.584500000001</v>
      </c>
      <c r="E31" s="524">
        <f>(C31*$D$6)+((C31*13)*$D$8)+((D31-(C31*15))*$D$9)</f>
        <v>129774.69834901969</v>
      </c>
      <c r="G31" s="418">
        <f t="shared" si="6"/>
        <v>134856.42017005154</v>
      </c>
      <c r="H31" s="520"/>
      <c r="J31" s="418">
        <f t="shared" si="2"/>
        <v>135792.21731079664</v>
      </c>
      <c r="L31" s="524">
        <f t="shared" si="8"/>
        <v>125766.99709325415</v>
      </c>
      <c r="N31" s="524">
        <f>($C31*$N$6)+(($C31*11)*$N$8)+(($D31-($C31*15))*$N$9)</f>
        <v>145393.55722188624</v>
      </c>
      <c r="O31" s="564">
        <f t="shared" si="3"/>
        <v>0.26969061227452995</v>
      </c>
      <c r="P31" s="524">
        <f t="shared" si="4"/>
        <v>130862.9793329846</v>
      </c>
      <c r="Q31" s="520">
        <f t="shared" si="0"/>
        <v>0.14279820597411486</v>
      </c>
      <c r="R31" s="418">
        <f t="shared" si="1"/>
        <v>41954.975276666511</v>
      </c>
      <c r="T31" s="546">
        <f t="shared" si="7"/>
        <v>342620.78875000012</v>
      </c>
      <c r="U31" s="563">
        <f t="shared" si="5"/>
        <v>0.72477862895687395</v>
      </c>
    </row>
    <row r="32" spans="2:21" x14ac:dyDescent="0.25">
      <c r="B32" s="546">
        <v>35000</v>
      </c>
      <c r="C32" s="546">
        <v>355.81032721770396</v>
      </c>
      <c r="D32" s="558">
        <f>'Billing Data'!E229/1000</f>
        <v>10212.02475</v>
      </c>
      <c r="E32" s="418">
        <f t="shared" ref="E32:E73" si="12">(C32*$D$6)+((C32*13)*$D$8)+((D32-(C32*15))*$D$9)</f>
        <v>60920.716741919459</v>
      </c>
      <c r="G32" s="418">
        <f t="shared" si="6"/>
        <v>66954.125601017935</v>
      </c>
      <c r="H32" s="520"/>
      <c r="J32" s="418">
        <f t="shared" si="2"/>
        <v>67429.64837267439</v>
      </c>
      <c r="L32" s="524">
        <f t="shared" si="8"/>
        <v>62464.400677953861</v>
      </c>
      <c r="N32" s="524">
        <f t="shared" ref="N32:N36" si="13">($C32*$N$6)+(($C32*11)*$N$8)+(($D32-($C32*15))*$N$9)</f>
        <v>86316.654562225216</v>
      </c>
      <c r="O32" s="564">
        <f t="shared" si="3"/>
        <v>0.60771390087597665</v>
      </c>
      <c r="P32" s="524">
        <f t="shared" si="4"/>
        <v>64924.869502013244</v>
      </c>
      <c r="Q32" s="520">
        <f t="shared" si="0"/>
        <v>0.20927549544564439</v>
      </c>
      <c r="R32" s="418">
        <f t="shared" si="1"/>
        <v>13670.297974935445</v>
      </c>
      <c r="T32" s="546">
        <f t="shared" si="7"/>
        <v>352832.81350000011</v>
      </c>
      <c r="U32" s="563">
        <f t="shared" si="5"/>
        <v>0.74638110475579367</v>
      </c>
    </row>
    <row r="33" spans="2:21" x14ac:dyDescent="0.25">
      <c r="B33" s="546">
        <v>45000</v>
      </c>
      <c r="C33" s="546">
        <v>243.75956118781926</v>
      </c>
      <c r="D33" s="558">
        <f>'Billing Data'!E230/1000</f>
        <v>9427.2577500000007</v>
      </c>
      <c r="E33" s="418">
        <f t="shared" si="12"/>
        <v>54101.544043396825</v>
      </c>
      <c r="G33" s="418">
        <f t="shared" si="6"/>
        <v>61139.688015621708</v>
      </c>
      <c r="H33" s="520"/>
      <c r="J33" s="418">
        <f t="shared" si="2"/>
        <v>61578.668124282318</v>
      </c>
      <c r="L33" s="524">
        <f t="shared" si="8"/>
        <v>57049.890511501631</v>
      </c>
      <c r="N33" s="524">
        <f t="shared" si="13"/>
        <v>84974.40118811815</v>
      </c>
      <c r="O33" s="564">
        <f t="shared" si="3"/>
        <v>0.7833478811526644</v>
      </c>
      <c r="P33" s="524">
        <f t="shared" si="4"/>
        <v>59266.374862314202</v>
      </c>
      <c r="Q33" s="520">
        <f t="shared" si="0"/>
        <v>0.24381652069925264</v>
      </c>
      <c r="R33" s="418">
        <f t="shared" si="1"/>
        <v>9365.2870104530102</v>
      </c>
      <c r="T33" s="546">
        <f t="shared" si="7"/>
        <v>362260.0712500001</v>
      </c>
      <c r="U33" s="563">
        <f t="shared" si="5"/>
        <v>0.7663234876211068</v>
      </c>
    </row>
    <row r="34" spans="2:21" x14ac:dyDescent="0.25">
      <c r="B34" s="546">
        <v>55000</v>
      </c>
      <c r="C34" s="546">
        <v>157.26423302439952</v>
      </c>
      <c r="D34" s="558">
        <f>'Billing Data'!E231/1000</f>
        <v>7631.2749999999996</v>
      </c>
      <c r="E34" s="418">
        <f t="shared" si="12"/>
        <v>42783.85920056246</v>
      </c>
      <c r="G34" s="418">
        <f t="shared" si="6"/>
        <v>49175.544071039556</v>
      </c>
      <c r="H34" s="520"/>
      <c r="J34" s="418">
        <f t="shared" si="2"/>
        <v>49530.894271231009</v>
      </c>
      <c r="L34" s="524">
        <f t="shared" si="8"/>
        <v>45890.855240614139</v>
      </c>
      <c r="N34" s="524">
        <f t="shared" si="13"/>
        <v>71287.965145413415</v>
      </c>
      <c r="O34" s="564">
        <f t="shared" si="3"/>
        <v>0.89263580391249464</v>
      </c>
      <c r="P34" s="524">
        <f t="shared" ref="P34:P63" si="14">(C34*$P$6)+((C34*50)*$P$8)+((D34-(C34*50))*$P$9)</f>
        <v>47376.967106225355</v>
      </c>
      <c r="Q34" s="520">
        <f t="shared" si="0"/>
        <v>0.25781882037343773</v>
      </c>
      <c r="R34" s="418">
        <f t="shared" si="1"/>
        <v>6042.1206519051684</v>
      </c>
      <c r="T34" s="546">
        <f t="shared" si="7"/>
        <v>369891.34625000012</v>
      </c>
      <c r="U34" s="563">
        <f t="shared" si="5"/>
        <v>0.78246665585054154</v>
      </c>
    </row>
    <row r="35" spans="2:21" x14ac:dyDescent="0.25">
      <c r="B35" s="546">
        <v>65000</v>
      </c>
      <c r="C35" s="546">
        <v>100.25594855305469</v>
      </c>
      <c r="D35" s="558">
        <f>'Billing Data'!E232/1000</f>
        <v>5792.5877499999997</v>
      </c>
      <c r="E35" s="418">
        <f t="shared" si="12"/>
        <v>31993.062499961699</v>
      </c>
      <c r="G35" s="418">
        <f t="shared" si="6"/>
        <v>37176.114548826234</v>
      </c>
      <c r="H35" s="520"/>
      <c r="J35" s="418">
        <f t="shared" si="2"/>
        <v>37445.846306178588</v>
      </c>
      <c r="L35" s="524">
        <f t="shared" si="8"/>
        <v>34695.23278441804</v>
      </c>
      <c r="N35" s="524">
        <f t="shared" si="13"/>
        <v>55305.834602327799</v>
      </c>
      <c r="O35" s="564">
        <f t="shared" si="3"/>
        <v>0.96407964526242229</v>
      </c>
      <c r="P35" s="524">
        <f t="shared" si="14"/>
        <v>36973.66010335934</v>
      </c>
      <c r="Q35" s="520">
        <f t="shared" si="0"/>
        <v>0.31304795853858924</v>
      </c>
      <c r="R35" s="418">
        <f t="shared" si="1"/>
        <v>3851.8519155895447</v>
      </c>
      <c r="T35" s="546">
        <f t="shared" si="7"/>
        <v>375683.93400000012</v>
      </c>
      <c r="U35" s="563">
        <f t="shared" si="5"/>
        <v>0.79472027251774502</v>
      </c>
    </row>
    <row r="36" spans="2:21" x14ac:dyDescent="0.25">
      <c r="B36" s="546">
        <v>75000</v>
      </c>
      <c r="C36" s="546">
        <v>74.70051068658978</v>
      </c>
      <c r="D36" s="558">
        <f>'Billing Data'!E233/1000</f>
        <v>5106.3474999999999</v>
      </c>
      <c r="E36" s="418">
        <f t="shared" si="12"/>
        <v>27857.719318673422</v>
      </c>
      <c r="G36" s="418">
        <f t="shared" si="6"/>
        <v>32663.851011660303</v>
      </c>
      <c r="H36" s="520"/>
      <c r="J36" s="418">
        <f t="shared" si="2"/>
        <v>32901.62800257888</v>
      </c>
      <c r="L36" s="524">
        <f t="shared" si="8"/>
        <v>30485.741713090047</v>
      </c>
      <c r="N36" s="524">
        <f t="shared" si="13"/>
        <v>49608.186296016371</v>
      </c>
      <c r="O36" s="564">
        <f t="shared" si="3"/>
        <v>1.023700168381847</v>
      </c>
      <c r="P36" s="524">
        <f t="shared" si="14"/>
        <v>33317.351475208721</v>
      </c>
      <c r="Q36" s="520">
        <f t="shared" si="0"/>
        <v>0.35913716716209332</v>
      </c>
      <c r="R36" s="418">
        <f t="shared" si="1"/>
        <v>2870.0073096549554</v>
      </c>
      <c r="T36" s="546">
        <f t="shared" si="7"/>
        <v>380790.2815000001</v>
      </c>
      <c r="U36" s="563">
        <f t="shared" si="5"/>
        <v>0.80552221933927259</v>
      </c>
    </row>
    <row r="37" spans="2:21" x14ac:dyDescent="0.25">
      <c r="B37" s="546">
        <v>85000</v>
      </c>
      <c r="C37" s="546">
        <v>40.298959712502381</v>
      </c>
      <c r="D37" s="558">
        <f>'Billing Data'!E234/1000</f>
        <v>3151.7069999999999</v>
      </c>
      <c r="E37" s="418">
        <f t="shared" si="12"/>
        <v>17047.61907305507</v>
      </c>
      <c r="G37" s="418">
        <f t="shared" si="6"/>
        <v>20114.695328001191</v>
      </c>
      <c r="H37" s="520"/>
      <c r="J37" s="418">
        <f t="shared" si="2"/>
        <v>20261.45451482054</v>
      </c>
      <c r="L37" s="524">
        <f t="shared" si="8"/>
        <v>18774.100689240197</v>
      </c>
      <c r="N37" s="519">
        <f>(C37*$N$6)+((C37*11)*$N$8)+((D37-(C37*15))*$N$9)+((D37-(C37*75))*$N$10)</f>
        <v>31216.547187269989</v>
      </c>
      <c r="O37" s="564">
        <f t="shared" si="3"/>
        <v>1.0812576057264769</v>
      </c>
      <c r="P37" s="524">
        <f t="shared" si="14"/>
        <v>20871.264385241389</v>
      </c>
      <c r="Q37" s="520">
        <f t="shared" si="0"/>
        <v>0.39152089698843628</v>
      </c>
      <c r="R37" s="418">
        <f t="shared" si="1"/>
        <v>1548.2934170506994</v>
      </c>
      <c r="T37" s="546">
        <f t="shared" si="7"/>
        <v>383941.98850000009</v>
      </c>
      <c r="U37" s="563">
        <f t="shared" si="5"/>
        <v>0.81218932756311291</v>
      </c>
    </row>
    <row r="38" spans="2:21" x14ac:dyDescent="0.25">
      <c r="B38" s="546">
        <v>95000</v>
      </c>
      <c r="C38" s="546">
        <v>32.435748061282403</v>
      </c>
      <c r="D38" s="558">
        <f>'Billing Data'!E235/1000</f>
        <v>2847.5092500000001</v>
      </c>
      <c r="E38" s="418">
        <f t="shared" si="12"/>
        <v>15301.936667126945</v>
      </c>
      <c r="G38" s="418">
        <f t="shared" si="6"/>
        <v>18141.865308353335</v>
      </c>
      <c r="H38" s="520"/>
      <c r="J38" s="418">
        <f t="shared" si="2"/>
        <v>18274.45953173469</v>
      </c>
      <c r="L38" s="524">
        <f t="shared" si="8"/>
        <v>16933.238267350327</v>
      </c>
      <c r="N38" s="519">
        <f t="shared" ref="N38:N73" si="15">(C38*$N$6)+((C38*11)*$N$8)+((D38-(C38*15))*$N$9)+((D38-(C38*75))*$N$10)</f>
        <v>28993.426627097997</v>
      </c>
      <c r="O38" s="564">
        <f t="shared" si="3"/>
        <v>1.1538172795745605</v>
      </c>
      <c r="P38" s="524">
        <f t="shared" si="14"/>
        <v>19067.104348986471</v>
      </c>
      <c r="Q38" s="520">
        <f t="shared" si="0"/>
        <v>0.41642653510696093</v>
      </c>
      <c r="R38" s="418">
        <f t="shared" si="1"/>
        <v>1246.1873844554411</v>
      </c>
      <c r="T38" s="546">
        <f t="shared" si="7"/>
        <v>386789.4977500001</v>
      </c>
      <c r="U38" s="563">
        <f t="shared" si="5"/>
        <v>0.81821293709856036</v>
      </c>
    </row>
    <row r="39" spans="2:21" x14ac:dyDescent="0.25">
      <c r="B39" s="546">
        <v>105000</v>
      </c>
      <c r="C39" s="546">
        <v>26.538339322867419</v>
      </c>
      <c r="D39" s="558">
        <f>'Billing Data'!E236/1000</f>
        <v>2574.23875</v>
      </c>
      <c r="E39" s="418">
        <f t="shared" si="12"/>
        <v>13763.16762429023</v>
      </c>
      <c r="G39" s="418">
        <f t="shared" si="6"/>
        <v>16378.823721321878</v>
      </c>
      <c r="H39" s="520"/>
      <c r="J39" s="418">
        <f t="shared" si="2"/>
        <v>16498.693108174419</v>
      </c>
      <c r="L39" s="524">
        <f t="shared" si="8"/>
        <v>15287.991376314889</v>
      </c>
      <c r="N39" s="519">
        <f t="shared" si="15"/>
        <v>26764.484394607302</v>
      </c>
      <c r="O39" s="564">
        <f t="shared" si="3"/>
        <v>1.2107325053393039</v>
      </c>
      <c r="P39" s="524">
        <f t="shared" si="14"/>
        <v>17384.641041652576</v>
      </c>
      <c r="Q39" s="520">
        <f t="shared" si="0"/>
        <v>0.4359623177415215</v>
      </c>
      <c r="R39" s="418">
        <f t="shared" si="1"/>
        <v>1019.6078600089971</v>
      </c>
      <c r="T39" s="546">
        <f t="shared" si="7"/>
        <v>389363.73650000012</v>
      </c>
      <c r="U39" s="563">
        <f t="shared" si="5"/>
        <v>0.82365847132501391</v>
      </c>
    </row>
    <row r="40" spans="2:21" x14ac:dyDescent="0.25">
      <c r="B40" s="546">
        <v>115000</v>
      </c>
      <c r="C40" s="546">
        <v>26.538339322867419</v>
      </c>
      <c r="D40" s="558">
        <f>'Billing Data'!E237/1000</f>
        <v>2839.8492500000002</v>
      </c>
      <c r="E40" s="418">
        <f t="shared" si="12"/>
        <v>15114.155590965229</v>
      </c>
      <c r="G40" s="418">
        <f t="shared" si="6"/>
        <v>18047.162196755096</v>
      </c>
      <c r="H40" s="520"/>
      <c r="J40" s="418">
        <f t="shared" si="2"/>
        <v>18179.399732357084</v>
      </c>
      <c r="L40" s="524">
        <f t="shared" si="8"/>
        <v>16845.552346055822</v>
      </c>
      <c r="N40" s="519">
        <f t="shared" si="15"/>
        <v>30070.337821644705</v>
      </c>
      <c r="O40" s="564">
        <f t="shared" si="3"/>
        <v>1.2619663547611393</v>
      </c>
      <c r="P40" s="524">
        <f t="shared" si="14"/>
        <v>19323.311087521775</v>
      </c>
      <c r="Q40" s="520">
        <f t="shared" si="0"/>
        <v>0.45354800474158674</v>
      </c>
      <c r="R40" s="418">
        <f t="shared" si="1"/>
        <v>1019.6078600089971</v>
      </c>
      <c r="T40" s="546">
        <f t="shared" si="7"/>
        <v>392203.58575000014</v>
      </c>
      <c r="U40" s="563">
        <f t="shared" si="5"/>
        <v>0.82966587692748328</v>
      </c>
    </row>
    <row r="41" spans="2:21" x14ac:dyDescent="0.25">
      <c r="B41" s="546">
        <v>125000</v>
      </c>
      <c r="C41" s="546">
        <v>22.606733497257434</v>
      </c>
      <c r="D41" s="558">
        <f>'Billing Data'!E238/1000</f>
        <v>2637.6252500000001</v>
      </c>
      <c r="E41" s="418">
        <f t="shared" si="12"/>
        <v>13986.360458457419</v>
      </c>
      <c r="G41" s="418">
        <f t="shared" si="6"/>
        <v>16745.903931022989</v>
      </c>
      <c r="H41" s="520"/>
      <c r="J41" s="418">
        <f t="shared" si="2"/>
        <v>16868.724909249766</v>
      </c>
      <c r="L41" s="524">
        <f t="shared" si="8"/>
        <v>15631.183439487462</v>
      </c>
      <c r="N41" s="519">
        <f t="shared" si="15"/>
        <v>28334.907942043905</v>
      </c>
      <c r="O41" s="564">
        <f t="shared" si="3"/>
        <v>1.3034456064733901</v>
      </c>
      <c r="P41" s="524">
        <f t="shared" si="14"/>
        <v>18055.37174386709</v>
      </c>
      <c r="Q41" s="520">
        <f t="shared" si="0"/>
        <v>0.46778548925309926</v>
      </c>
      <c r="R41" s="418">
        <f t="shared" si="1"/>
        <v>868.55484371136799</v>
      </c>
      <c r="T41" s="546">
        <f t="shared" si="7"/>
        <v>394841.21100000013</v>
      </c>
      <c r="U41" s="563">
        <f t="shared" si="5"/>
        <v>0.83524549869933074</v>
      </c>
    </row>
    <row r="42" spans="2:21" x14ac:dyDescent="0.25">
      <c r="B42" s="546">
        <v>135000</v>
      </c>
      <c r="C42" s="546">
        <v>17.692226215244947</v>
      </c>
      <c r="D42" s="558">
        <f>'Billing Data'!E239/1000</f>
        <v>2238.5392499999998</v>
      </c>
      <c r="E42" s="418">
        <f t="shared" si="12"/>
        <v>11832.453019722652</v>
      </c>
      <c r="G42" s="418">
        <f t="shared" si="6"/>
        <v>14200.361671870849</v>
      </c>
      <c r="H42" s="520"/>
      <c r="J42" s="418">
        <f t="shared" si="2"/>
        <v>14304.599216792758</v>
      </c>
      <c r="L42" s="524">
        <f t="shared" si="8"/>
        <v>13255.272356109688</v>
      </c>
      <c r="N42" s="519">
        <f t="shared" si="15"/>
        <v>24344.660233309602</v>
      </c>
      <c r="O42" s="564">
        <f t="shared" si="3"/>
        <v>1.3394572128851454</v>
      </c>
      <c r="P42" s="524">
        <f t="shared" si="14"/>
        <v>15402.571634202073</v>
      </c>
      <c r="Q42" s="520">
        <f t="shared" si="0"/>
        <v>0.48014623992620353</v>
      </c>
      <c r="R42" s="418">
        <f t="shared" si="1"/>
        <v>679.73857333933142</v>
      </c>
      <c r="T42" s="546">
        <f t="shared" si="7"/>
        <v>397079.7502500001</v>
      </c>
      <c r="U42" s="563">
        <f t="shared" si="5"/>
        <v>0.83998089556301891</v>
      </c>
    </row>
    <row r="43" spans="2:21" x14ac:dyDescent="0.25">
      <c r="B43" s="546">
        <v>145000</v>
      </c>
      <c r="C43" s="546">
        <v>21.623832040854936</v>
      </c>
      <c r="D43" s="558">
        <f>'Billing Data'!E240/1000</f>
        <v>2976.8674999999998</v>
      </c>
      <c r="E43" s="418">
        <f t="shared" si="12"/>
        <v>15687.062004217963</v>
      </c>
      <c r="G43" s="418">
        <f t="shared" si="6"/>
        <v>18868.969297354422</v>
      </c>
      <c r="H43" s="520"/>
      <c r="J43" s="418">
        <f t="shared" si="2"/>
        <v>19007.587085609786</v>
      </c>
      <c r="L43" s="524">
        <f t="shared" si="8"/>
        <v>17613.398966203455</v>
      </c>
      <c r="N43" s="519">
        <f t="shared" si="15"/>
        <v>32752.575094158579</v>
      </c>
      <c r="O43" s="564">
        <f t="shared" si="3"/>
        <v>1.3741842373486715</v>
      </c>
      <c r="P43" s="524">
        <f t="shared" si="14"/>
        <v>20583.493525377176</v>
      </c>
      <c r="Q43" s="520">
        <f t="shared" si="0"/>
        <v>0.49206606616512172</v>
      </c>
      <c r="R43" s="418">
        <f t="shared" si="1"/>
        <v>830.79158963696068</v>
      </c>
      <c r="T43" s="546">
        <f t="shared" si="7"/>
        <v>400056.61775000009</v>
      </c>
      <c r="U43" s="563">
        <f t="shared" si="5"/>
        <v>0.84627814901663401</v>
      </c>
    </row>
    <row r="44" spans="2:21" x14ac:dyDescent="0.25">
      <c r="B44" s="546">
        <v>155000</v>
      </c>
      <c r="C44" s="546">
        <v>19.65802912804994</v>
      </c>
      <c r="D44" s="558">
        <f>'Billing Data'!E241/1000</f>
        <v>2858.9992499999998</v>
      </c>
      <c r="E44" s="418">
        <f t="shared" si="12"/>
        <v>15037.936285776559</v>
      </c>
      <c r="G44" s="418">
        <f t="shared" si="6"/>
        <v>18113.091702627946</v>
      </c>
      <c r="H44" s="520"/>
      <c r="J44" s="418">
        <f t="shared" si="2"/>
        <v>18246.220957678343</v>
      </c>
      <c r="L44" s="524">
        <f t="shared" si="8"/>
        <v>16907.954538260063</v>
      </c>
      <c r="N44" s="519">
        <f t="shared" si="15"/>
        <v>31676.307757194681</v>
      </c>
      <c r="O44" s="564">
        <f t="shared" si="3"/>
        <v>1.3953654185201456</v>
      </c>
      <c r="P44" s="524">
        <f t="shared" si="14"/>
        <v>19827.221309199758</v>
      </c>
      <c r="Q44" s="520">
        <f t="shared" si="0"/>
        <v>0.49933636942315585</v>
      </c>
      <c r="R44" s="418">
        <f t="shared" si="1"/>
        <v>755.26508148814605</v>
      </c>
      <c r="T44" s="546">
        <f t="shared" si="7"/>
        <v>402915.61700000009</v>
      </c>
      <c r="U44" s="563">
        <f t="shared" si="5"/>
        <v>0.85232606445154857</v>
      </c>
    </row>
    <row r="45" spans="2:21" x14ac:dyDescent="0.25">
      <c r="B45" s="546">
        <v>165000</v>
      </c>
      <c r="C45" s="546">
        <v>11.794817476829964</v>
      </c>
      <c r="D45" s="558">
        <f>'Billing Data'!E242/1000</f>
        <v>1840.41075</v>
      </c>
      <c r="E45" s="418">
        <f t="shared" si="12"/>
        <v>9658.6124885859354</v>
      </c>
      <c r="G45" s="418">
        <f t="shared" si="6"/>
        <v>11653.068689033727</v>
      </c>
      <c r="H45" s="520"/>
      <c r="J45" s="418">
        <f t="shared" si="2"/>
        <v>11738.767386623187</v>
      </c>
      <c r="L45" s="524">
        <f t="shared" si="8"/>
        <v>10877.848282470732</v>
      </c>
      <c r="N45" s="519">
        <f t="shared" si="15"/>
        <v>20561.704709954887</v>
      </c>
      <c r="O45" s="564">
        <f t="shared" si="3"/>
        <v>1.4209611579255133</v>
      </c>
      <c r="P45" s="524">
        <f t="shared" si="14"/>
        <v>12808.779653539617</v>
      </c>
      <c r="Q45" s="520">
        <f t="shared" si="0"/>
        <v>0.50812194120426413</v>
      </c>
      <c r="R45" s="418">
        <f t="shared" si="1"/>
        <v>453.1590488928876</v>
      </c>
      <c r="T45" s="546">
        <f t="shared" si="7"/>
        <v>404756.02775000007</v>
      </c>
      <c r="U45" s="563">
        <f t="shared" si="5"/>
        <v>0.8562192618986999</v>
      </c>
    </row>
    <row r="46" spans="2:21" x14ac:dyDescent="0.25">
      <c r="B46" s="546">
        <v>175000</v>
      </c>
      <c r="C46" s="546">
        <v>12.777718933232462</v>
      </c>
      <c r="D46" s="558">
        <f>'Billing Data'!E243/1000</f>
        <v>2125.4585000000002</v>
      </c>
      <c r="E46" s="418">
        <f t="shared" si="12"/>
        <v>11133.268384325389</v>
      </c>
      <c r="G46" s="418">
        <f t="shared" si="6"/>
        <v>13451.260301730612</v>
      </c>
      <c r="H46" s="520"/>
      <c r="J46" s="418">
        <f t="shared" si="2"/>
        <v>13550.232243309658</v>
      </c>
      <c r="L46" s="524">
        <f t="shared" si="8"/>
        <v>12556.518668772354</v>
      </c>
      <c r="N46" s="519">
        <f t="shared" si="15"/>
        <v>23914.104012160285</v>
      </c>
      <c r="O46" s="564">
        <f t="shared" si="3"/>
        <v>1.4428130648014545</v>
      </c>
      <c r="P46" s="524">
        <f t="shared" si="14"/>
        <v>14837.301238672349</v>
      </c>
      <c r="Q46" s="520">
        <f t="shared" si="0"/>
        <v>0.51562246671642864</v>
      </c>
      <c r="R46" s="418">
        <f t="shared" si="1"/>
        <v>490.92230296729497</v>
      </c>
      <c r="T46" s="546">
        <f t="shared" si="7"/>
        <v>406881.48625000007</v>
      </c>
      <c r="U46" s="563">
        <f t="shared" si="5"/>
        <v>0.86071544820179891</v>
      </c>
    </row>
    <row r="47" spans="2:21" x14ac:dyDescent="0.25">
      <c r="B47" s="546">
        <v>185000</v>
      </c>
      <c r="C47" s="546">
        <v>11.794817476829964</v>
      </c>
      <c r="D47" s="558">
        <f>'Billing Data'!E244/1000</f>
        <v>2075.6685000000002</v>
      </c>
      <c r="E47" s="418">
        <f t="shared" si="12"/>
        <v>10855.215745298436</v>
      </c>
      <c r="G47" s="418">
        <f t="shared" si="6"/>
        <v>13130.757093554063</v>
      </c>
      <c r="H47" s="520"/>
      <c r="J47" s="418">
        <f t="shared" si="2"/>
        <v>13227.410564567243</v>
      </c>
      <c r="L47" s="524">
        <f t="shared" si="8"/>
        <v>12257.418326686115</v>
      </c>
      <c r="N47" s="519">
        <f t="shared" si="15"/>
        <v>23489.780366130417</v>
      </c>
      <c r="O47" s="564">
        <f t="shared" si="3"/>
        <v>1.4610026121988731</v>
      </c>
      <c r="P47" s="524">
        <f t="shared" si="14"/>
        <v>14525.90737621468</v>
      </c>
      <c r="Q47" s="520">
        <f t="shared" ref="Q47:Q63" si="16">(P47/E119)-1</f>
        <v>0.5218659110567152</v>
      </c>
      <c r="R47" s="418">
        <f t="shared" ref="R47:R73" si="17">$R$8*C47</f>
        <v>453.1590488928876</v>
      </c>
      <c r="T47" s="546">
        <f t="shared" si="7"/>
        <v>408957.1547500001</v>
      </c>
      <c r="U47" s="563">
        <f t="shared" si="5"/>
        <v>0.86510630894054041</v>
      </c>
    </row>
    <row r="48" spans="2:21" x14ac:dyDescent="0.25">
      <c r="B48" s="546">
        <v>195000</v>
      </c>
      <c r="C48" s="546">
        <v>9.8290145640249698</v>
      </c>
      <c r="D48" s="558">
        <f>'Billing Data'!E245/1000</f>
        <v>1822.8885</v>
      </c>
      <c r="E48" s="418">
        <f t="shared" si="12"/>
        <v>9519.8816472445305</v>
      </c>
      <c r="G48" s="418">
        <f t="shared" si="6"/>
        <v>11527.479025905668</v>
      </c>
      <c r="H48" s="520"/>
      <c r="J48" s="418">
        <f t="shared" ref="J48:J73" si="18">$J$6*$C48+($D48*$J$7)</f>
        <v>11612.361800199833</v>
      </c>
      <c r="L48" s="524">
        <f t="shared" si="8"/>
        <v>10760.840731343666</v>
      </c>
      <c r="N48" s="519">
        <f t="shared" si="15"/>
        <v>20734.368300004404</v>
      </c>
      <c r="O48" s="564">
        <f t="shared" si="3"/>
        <v>1.4770920235278409</v>
      </c>
      <c r="P48" s="524">
        <f t="shared" si="14"/>
        <v>12784.924960098653</v>
      </c>
      <c r="Q48" s="520">
        <f t="shared" si="16"/>
        <v>0.52738849729295323</v>
      </c>
      <c r="R48" s="418">
        <f t="shared" si="17"/>
        <v>377.63254074407303</v>
      </c>
      <c r="T48" s="546">
        <f t="shared" si="7"/>
        <v>410780.0432500001</v>
      </c>
      <c r="U48" s="563">
        <f t="shared" si="5"/>
        <v>0.8689624398910043</v>
      </c>
    </row>
    <row r="49" spans="2:21" x14ac:dyDescent="0.25">
      <c r="B49" s="546">
        <v>205000</v>
      </c>
      <c r="C49" s="546">
        <v>4.9145072820124849</v>
      </c>
      <c r="D49" s="558">
        <f>'Billing Data'!E246/1000</f>
        <v>964.48974999999996</v>
      </c>
      <c r="E49" s="418">
        <f t="shared" si="12"/>
        <v>5029.7488025472649</v>
      </c>
      <c r="G49" s="418">
        <f t="shared" ref="G49:G73" si="19">$G$6*C49+(D49*$G$7)</f>
        <v>6096.9260722138288</v>
      </c>
      <c r="H49" s="520"/>
      <c r="J49" s="418">
        <f t="shared" si="18"/>
        <v>6141.8375222330078</v>
      </c>
      <c r="L49" s="524">
        <f t="shared" si="8"/>
        <v>5691.4833711644342</v>
      </c>
      <c r="N49" s="519">
        <f t="shared" si="15"/>
        <v>11027.401453022647</v>
      </c>
      <c r="O49" s="564">
        <f t="shared" si="3"/>
        <v>1.493568747845694</v>
      </c>
      <c r="P49" s="524">
        <f t="shared" si="14"/>
        <v>6779.6373918775653</v>
      </c>
      <c r="Q49" s="520">
        <f t="shared" si="16"/>
        <v>0.53304402620420954</v>
      </c>
      <c r="R49" s="418">
        <f t="shared" si="17"/>
        <v>188.81627037203651</v>
      </c>
      <c r="T49" s="546">
        <f t="shared" si="7"/>
        <v>411744.53300000011</v>
      </c>
      <c r="U49" s="563">
        <f t="shared" si="5"/>
        <v>0.87100271760210968</v>
      </c>
    </row>
    <row r="50" spans="2:21" x14ac:dyDescent="0.25">
      <c r="B50" s="546">
        <v>215000</v>
      </c>
      <c r="C50" s="546">
        <v>9.8290145640249698</v>
      </c>
      <c r="D50" s="558">
        <f>'Billing Data'!E247/1000</f>
        <v>2010.84575</v>
      </c>
      <c r="E50" s="418">
        <f t="shared" si="12"/>
        <v>10475.89800578203</v>
      </c>
      <c r="G50" s="418">
        <f t="shared" si="19"/>
        <v>12708.066058088581</v>
      </c>
      <c r="H50" s="520"/>
      <c r="J50" s="418">
        <f t="shared" si="18"/>
        <v>12801.701058768893</v>
      </c>
      <c r="L50" s="524">
        <f t="shared" ref="L50:L73" si="20">($C50*$L$6)+(($D50-($C50*2))*$L$7)</f>
        <v>11863.03690423532</v>
      </c>
      <c r="N50" s="519">
        <f t="shared" si="15"/>
        <v>23073.730332186962</v>
      </c>
      <c r="O50" s="564">
        <f t="shared" si="3"/>
        <v>1.5051234088884753</v>
      </c>
      <c r="P50" s="524">
        <f t="shared" si="14"/>
        <v>14156.810071865501</v>
      </c>
      <c r="Q50" s="520">
        <f t="shared" si="16"/>
        <v>0.53701008877384315</v>
      </c>
      <c r="R50" s="418">
        <f t="shared" si="17"/>
        <v>377.63254074407303</v>
      </c>
      <c r="T50" s="546">
        <f t="shared" si="7"/>
        <v>413755.37875000009</v>
      </c>
      <c r="U50" s="563">
        <f t="shared" si="5"/>
        <v>0.87525645255802387</v>
      </c>
    </row>
    <row r="51" spans="2:21" x14ac:dyDescent="0.25">
      <c r="B51" s="546">
        <v>225000</v>
      </c>
      <c r="C51" s="546">
        <v>3.9316058256099882</v>
      </c>
      <c r="D51" s="558">
        <f>'Billing Data'!E248/1000</f>
        <v>835.22725000000003</v>
      </c>
      <c r="E51" s="418">
        <f t="shared" si="12"/>
        <v>4347.4712131453125</v>
      </c>
      <c r="G51" s="418">
        <f t="shared" si="19"/>
        <v>5277.2444449278455</v>
      </c>
      <c r="H51" s="520"/>
      <c r="J51" s="418">
        <f t="shared" si="18"/>
        <v>5316.1367886702565</v>
      </c>
      <c r="L51" s="524">
        <f t="shared" si="20"/>
        <v>4926.350006408773</v>
      </c>
      <c r="N51" s="519">
        <f t="shared" si="15"/>
        <v>9613.9435804458953</v>
      </c>
      <c r="O51" s="564">
        <f t="shared" si="3"/>
        <v>1.5152115288726673</v>
      </c>
      <c r="P51" s="524">
        <f t="shared" si="14"/>
        <v>5888.1800333595393</v>
      </c>
      <c r="Q51" s="520">
        <f t="shared" si="16"/>
        <v>0.54047277062311094</v>
      </c>
      <c r="R51" s="418">
        <f t="shared" si="17"/>
        <v>151.0530162976292</v>
      </c>
      <c r="T51" s="546">
        <f t="shared" si="7"/>
        <v>414590.60600000009</v>
      </c>
      <c r="U51" s="563">
        <f t="shared" si="5"/>
        <v>0.87702328890012371</v>
      </c>
    </row>
    <row r="52" spans="2:21" x14ac:dyDescent="0.25">
      <c r="B52" s="546">
        <v>235000</v>
      </c>
      <c r="C52" s="546">
        <v>4.9145072820124849</v>
      </c>
      <c r="D52" s="558">
        <f>'Billing Data'!E249/1000</f>
        <v>1100.9335000000001</v>
      </c>
      <c r="E52" s="418">
        <f t="shared" si="12"/>
        <v>5723.7494703597658</v>
      </c>
      <c r="G52" s="418">
        <f t="shared" si="19"/>
        <v>6953.9492616487005</v>
      </c>
      <c r="H52" s="520"/>
      <c r="J52" s="418">
        <f t="shared" si="18"/>
        <v>7005.214212737802</v>
      </c>
      <c r="L52" s="524">
        <f t="shared" si="20"/>
        <v>6491.6003076751886</v>
      </c>
      <c r="N52" s="519">
        <f t="shared" si="15"/>
        <v>12725.613829925425</v>
      </c>
      <c r="O52" s="564">
        <f t="shared" si="3"/>
        <v>1.5288166479392586</v>
      </c>
      <c r="P52" s="524">
        <f t="shared" si="14"/>
        <v>7775.5295387281813</v>
      </c>
      <c r="Q52" s="520">
        <f t="shared" si="16"/>
        <v>0.5451426396297081</v>
      </c>
      <c r="R52" s="418">
        <f t="shared" si="17"/>
        <v>188.81627037203651</v>
      </c>
      <c r="T52" s="546">
        <f t="shared" si="7"/>
        <v>415691.53950000007</v>
      </c>
      <c r="U52" s="563">
        <f t="shared" si="5"/>
        <v>0.87935219916740148</v>
      </c>
    </row>
    <row r="53" spans="2:21" x14ac:dyDescent="0.25">
      <c r="B53" s="546">
        <v>245000</v>
      </c>
      <c r="C53" s="546">
        <v>4.9145072820124849</v>
      </c>
      <c r="D53" s="558">
        <f>'Billing Data'!E250/1000</f>
        <v>1146.22325</v>
      </c>
      <c r="E53" s="418">
        <f t="shared" si="12"/>
        <v>5954.1089902722651</v>
      </c>
      <c r="G53" s="418">
        <f t="shared" si="19"/>
        <v>7238.4208185628713</v>
      </c>
      <c r="H53" s="520"/>
      <c r="J53" s="418">
        <f t="shared" si="18"/>
        <v>7291.7946861474629</v>
      </c>
      <c r="L53" s="524">
        <f t="shared" si="20"/>
        <v>6757.1829820398098</v>
      </c>
      <c r="N53" s="519">
        <f t="shared" si="15"/>
        <v>13289.301166258767</v>
      </c>
      <c r="O53" s="564">
        <f t="shared" si="3"/>
        <v>1.5387008302163667</v>
      </c>
      <c r="P53" s="524">
        <f t="shared" si="14"/>
        <v>8106.0958443143854</v>
      </c>
      <c r="Q53" s="520">
        <f t="shared" si="16"/>
        <v>0.54853532118181358</v>
      </c>
      <c r="R53" s="418">
        <f t="shared" si="17"/>
        <v>188.81627037203651</v>
      </c>
      <c r="T53" s="546">
        <f t="shared" si="7"/>
        <v>416837.76275000005</v>
      </c>
      <c r="U53" s="563">
        <f t="shared" si="5"/>
        <v>0.88177691518841228</v>
      </c>
    </row>
    <row r="54" spans="2:21" x14ac:dyDescent="0.25">
      <c r="B54" s="546">
        <v>255000</v>
      </c>
      <c r="C54" s="546">
        <v>3.9316058256099882</v>
      </c>
      <c r="D54" s="558">
        <f>'Billing Data'!E251/1000</f>
        <v>957.11699999999996</v>
      </c>
      <c r="E54" s="418">
        <f t="shared" si="12"/>
        <v>4967.4451430578119</v>
      </c>
      <c r="G54" s="418">
        <f t="shared" si="19"/>
        <v>6042.8518274896633</v>
      </c>
      <c r="H54" s="520"/>
      <c r="J54" s="418">
        <f t="shared" si="18"/>
        <v>6087.4199655212042</v>
      </c>
      <c r="L54" s="524">
        <f t="shared" si="20"/>
        <v>5641.1211363583789</v>
      </c>
      <c r="N54" s="519">
        <f t="shared" si="15"/>
        <v>11131.013303812377</v>
      </c>
      <c r="O54" s="564">
        <f t="shared" si="3"/>
        <v>1.5487948104393365</v>
      </c>
      <c r="P54" s="524">
        <f t="shared" si="14"/>
        <v>6777.8436845460883</v>
      </c>
      <c r="Q54" s="520">
        <f t="shared" si="16"/>
        <v>0.55200001452008807</v>
      </c>
      <c r="R54" s="418">
        <f t="shared" si="17"/>
        <v>151.0530162976292</v>
      </c>
      <c r="T54" s="546">
        <f t="shared" si="7"/>
        <v>417794.87975000008</v>
      </c>
      <c r="U54" s="563">
        <f t="shared" si="5"/>
        <v>0.88380159661402624</v>
      </c>
    </row>
    <row r="55" spans="2:21" x14ac:dyDescent="0.25">
      <c r="B55" s="546">
        <v>265000</v>
      </c>
      <c r="C55" s="546">
        <v>1.9658029128049941</v>
      </c>
      <c r="D55" s="558">
        <f>'Billing Data'!E252/1000</f>
        <v>496.75099999999998</v>
      </c>
      <c r="E55" s="418">
        <f t="shared" si="12"/>
        <v>2576.2559939039061</v>
      </c>
      <c r="G55" s="418">
        <f t="shared" si="19"/>
        <v>3135.6956723361477</v>
      </c>
      <c r="H55" s="520"/>
      <c r="J55" s="418">
        <f t="shared" si="18"/>
        <v>3158.8268748279079</v>
      </c>
      <c r="L55" s="524">
        <f t="shared" si="20"/>
        <v>2927.2428263806228</v>
      </c>
      <c r="N55" s="519">
        <f t="shared" si="15"/>
        <v>5791.9349688265584</v>
      </c>
      <c r="O55" s="564">
        <f t="shared" si="3"/>
        <v>1.5572539377480847</v>
      </c>
      <c r="P55" s="524">
        <f t="shared" si="14"/>
        <v>3521.707461853126</v>
      </c>
      <c r="Q55" s="520">
        <f t="shared" si="16"/>
        <v>0.55490355518361567</v>
      </c>
      <c r="R55" s="418">
        <f t="shared" si="17"/>
        <v>75.5265081488146</v>
      </c>
      <c r="T55" s="546">
        <f t="shared" si="7"/>
        <v>418291.63075000007</v>
      </c>
      <c r="U55" s="563">
        <f t="shared" si="5"/>
        <v>0.8848524216676561</v>
      </c>
    </row>
    <row r="56" spans="2:21" x14ac:dyDescent="0.25">
      <c r="B56" s="546">
        <v>275000</v>
      </c>
      <c r="C56" s="546">
        <v>3.9316058256099882</v>
      </c>
      <c r="D56" s="558">
        <f>'Billing Data'!E253/1000</f>
        <v>1030.9402500000001</v>
      </c>
      <c r="E56" s="418">
        <f t="shared" si="12"/>
        <v>5342.9360306953122</v>
      </c>
      <c r="G56" s="418">
        <f t="shared" si="19"/>
        <v>6506.5464794575837</v>
      </c>
      <c r="H56" s="520"/>
      <c r="J56" s="418">
        <f t="shared" si="18"/>
        <v>6554.5521959627458</v>
      </c>
      <c r="L56" s="524">
        <f t="shared" si="20"/>
        <v>6074.0265104284081</v>
      </c>
      <c r="N56" s="519">
        <f t="shared" si="15"/>
        <v>12049.835579315564</v>
      </c>
      <c r="O56" s="564">
        <f t="shared" si="3"/>
        <v>1.5653464516410276</v>
      </c>
      <c r="P56" s="524">
        <f t="shared" si="14"/>
        <v>7316.673751368422</v>
      </c>
      <c r="Q56" s="520">
        <f t="shared" si="16"/>
        <v>0.55768125816652514</v>
      </c>
      <c r="R56" s="418">
        <f t="shared" si="17"/>
        <v>151.0530162976292</v>
      </c>
      <c r="T56" s="546">
        <f t="shared" si="7"/>
        <v>419322.57100000005</v>
      </c>
      <c r="U56" s="563">
        <f t="shared" si="5"/>
        <v>0.88703326849734654</v>
      </c>
    </row>
    <row r="57" spans="2:21" x14ac:dyDescent="0.25">
      <c r="B57" s="546">
        <v>285000</v>
      </c>
      <c r="C57" s="546">
        <v>7.8632116512199763</v>
      </c>
      <c r="D57" s="558">
        <f>'Billing Data'!E254/1000</f>
        <v>2150.5450000000001</v>
      </c>
      <c r="E57" s="418">
        <f t="shared" si="12"/>
        <v>11136.850740965625</v>
      </c>
      <c r="G57" s="418">
        <f t="shared" si="19"/>
        <v>13570.007677102318</v>
      </c>
      <c r="H57" s="520"/>
      <c r="J57" s="418">
        <f t="shared" si="18"/>
        <v>13670.147771158781</v>
      </c>
      <c r="L57" s="524">
        <f t="shared" si="20"/>
        <v>12667.988658196435</v>
      </c>
      <c r="N57" s="519">
        <f t="shared" si="15"/>
        <v>25203.211271621985</v>
      </c>
      <c r="O57" s="564">
        <f t="shared" si="3"/>
        <v>1.5742136455891855</v>
      </c>
      <c r="P57" s="524">
        <f t="shared" si="14"/>
        <v>15280.502680269243</v>
      </c>
      <c r="Q57" s="520">
        <f t="shared" si="16"/>
        <v>0.56072486506120289</v>
      </c>
      <c r="R57" s="418">
        <f t="shared" si="17"/>
        <v>302.1060325952584</v>
      </c>
      <c r="T57" s="546">
        <f t="shared" si="7"/>
        <v>421473.11600000004</v>
      </c>
      <c r="U57" s="563">
        <f t="shared" si="5"/>
        <v>0.89158252268094873</v>
      </c>
    </row>
    <row r="58" spans="2:21" x14ac:dyDescent="0.25">
      <c r="B58" s="546">
        <v>295000</v>
      </c>
      <c r="C58" s="546">
        <v>4.9145072820124849</v>
      </c>
      <c r="D58" s="558">
        <f>'Billing Data'!E255/1000</f>
        <v>1390.673</v>
      </c>
      <c r="E58" s="418">
        <f t="shared" si="12"/>
        <v>7197.4659761847652</v>
      </c>
      <c r="G58" s="418">
        <f t="shared" si="19"/>
        <v>8773.8455221609238</v>
      </c>
      <c r="H58" s="520"/>
      <c r="J58" s="418">
        <f t="shared" si="18"/>
        <v>8838.6021885044702</v>
      </c>
      <c r="L58" s="524">
        <f t="shared" si="20"/>
        <v>8190.6556409253899</v>
      </c>
      <c r="N58" s="519">
        <f t="shared" si="15"/>
        <v>16331.782708878269</v>
      </c>
      <c r="O58" s="564">
        <f t="shared" si="3"/>
        <v>1.5811303545547721</v>
      </c>
      <c r="P58" s="524">
        <f t="shared" si="14"/>
        <v>9890.3152484614857</v>
      </c>
      <c r="Q58" s="520">
        <f t="shared" si="16"/>
        <v>0.5630989806178508</v>
      </c>
      <c r="R58" s="418">
        <f t="shared" si="17"/>
        <v>188.81627037203651</v>
      </c>
      <c r="T58" s="546">
        <f t="shared" si="7"/>
        <v>422863.78900000005</v>
      </c>
      <c r="U58" s="563">
        <f t="shared" si="5"/>
        <v>0.89452434671312331</v>
      </c>
    </row>
    <row r="59" spans="2:21" x14ac:dyDescent="0.25">
      <c r="B59" s="546">
        <v>305000</v>
      </c>
      <c r="C59" s="546">
        <v>4.9145072820124849</v>
      </c>
      <c r="D59" s="558">
        <f>'Billing Data'!E256/1000</f>
        <v>1432.8030000000001</v>
      </c>
      <c r="E59" s="418">
        <f t="shared" si="12"/>
        <v>7411.7539016847659</v>
      </c>
      <c r="G59" s="418">
        <f t="shared" si="19"/>
        <v>9038.470226267129</v>
      </c>
      <c r="H59" s="520"/>
      <c r="J59" s="418">
        <f t="shared" si="18"/>
        <v>9105.1886753971794</v>
      </c>
      <c r="L59" s="524">
        <f t="shared" si="20"/>
        <v>8437.7092914971327</v>
      </c>
      <c r="N59" s="519">
        <f t="shared" si="15"/>
        <v>16856.143021746495</v>
      </c>
      <c r="O59" s="564">
        <f t="shared" si="3"/>
        <v>1.5870052446305367</v>
      </c>
      <c r="P59" s="524">
        <f t="shared" si="14"/>
        <v>10197.818788541677</v>
      </c>
      <c r="Q59" s="520">
        <f t="shared" si="16"/>
        <v>0.56511549858786614</v>
      </c>
      <c r="R59" s="418">
        <f t="shared" si="17"/>
        <v>188.81627037203651</v>
      </c>
      <c r="T59" s="546">
        <f t="shared" si="7"/>
        <v>424296.59200000006</v>
      </c>
      <c r="U59" s="563">
        <f t="shared" si="5"/>
        <v>0.89755529237667742</v>
      </c>
    </row>
    <row r="60" spans="2:21" x14ac:dyDescent="0.25">
      <c r="B60" s="546">
        <v>315000</v>
      </c>
      <c r="C60" s="546">
        <v>6.8803101948174792</v>
      </c>
      <c r="D60" s="558">
        <f>'Billing Data'!E257/1000</f>
        <v>2086.201</v>
      </c>
      <c r="E60" s="418">
        <f t="shared" si="12"/>
        <v>10784.771364038672</v>
      </c>
      <c r="G60" s="418">
        <f t="shared" si="19"/>
        <v>13158.088662052714</v>
      </c>
      <c r="H60" s="520"/>
      <c r="J60" s="418">
        <f t="shared" si="18"/>
        <v>13255.232578762521</v>
      </c>
      <c r="L60" s="524">
        <f t="shared" si="20"/>
        <v>12283.542509549048</v>
      </c>
      <c r="N60" s="519">
        <f t="shared" si="15"/>
        <v>24597.744972055822</v>
      </c>
      <c r="O60" s="564">
        <f t="shared" si="3"/>
        <v>1.5944762042729872</v>
      </c>
      <c r="P60" s="524">
        <f t="shared" si="14"/>
        <v>14862.88032214751</v>
      </c>
      <c r="Q60" s="520">
        <f t="shared" si="16"/>
        <v>0.56767985709976543</v>
      </c>
      <c r="R60" s="418">
        <f t="shared" si="17"/>
        <v>264.34277852085114</v>
      </c>
      <c r="T60" s="546">
        <f t="shared" si="7"/>
        <v>426382.79300000006</v>
      </c>
      <c r="U60" s="563">
        <f t="shared" si="5"/>
        <v>0.90196843352326372</v>
      </c>
    </row>
    <row r="61" spans="2:21" x14ac:dyDescent="0.25">
      <c r="B61" s="546">
        <v>325000</v>
      </c>
      <c r="C61" s="546">
        <v>2.948704369207491</v>
      </c>
      <c r="D61" s="558">
        <f>'Billing Data'!E258/1000</f>
        <v>922.64700000000005</v>
      </c>
      <c r="E61" s="418">
        <f t="shared" si="12"/>
        <v>4767.3153860308594</v>
      </c>
      <c r="G61" s="418">
        <f t="shared" si="19"/>
        <v>5818.5757844426425</v>
      </c>
      <c r="H61" s="520"/>
      <c r="J61" s="418">
        <f t="shared" si="18"/>
        <v>5861.5388274670458</v>
      </c>
      <c r="L61" s="524">
        <f t="shared" si="20"/>
        <v>5431.8584853891352</v>
      </c>
      <c r="N61" s="519">
        <f t="shared" si="15"/>
        <v>10897.366135189135</v>
      </c>
      <c r="O61" s="564">
        <f t="shared" si="3"/>
        <v>1.6002617193373689</v>
      </c>
      <c r="P61" s="524">
        <f t="shared" si="14"/>
        <v>6578.2692912084894</v>
      </c>
      <c r="Q61" s="520">
        <f t="shared" si="16"/>
        <v>0.56966569767595709</v>
      </c>
      <c r="R61" s="418">
        <f t="shared" si="17"/>
        <v>113.2897622232219</v>
      </c>
      <c r="T61" s="546">
        <f t="shared" si="7"/>
        <v>427305.44000000006</v>
      </c>
      <c r="U61" s="563">
        <f t="shared" si="5"/>
        <v>0.90392019725047612</v>
      </c>
    </row>
    <row r="62" spans="2:21" x14ac:dyDescent="0.25">
      <c r="B62" s="546">
        <v>335000</v>
      </c>
      <c r="C62" s="546">
        <v>6.8803101948174792</v>
      </c>
      <c r="D62" s="558">
        <f>'Billing Data'!E259/1000</f>
        <v>2210.0057499999998</v>
      </c>
      <c r="E62" s="418">
        <f t="shared" si="12"/>
        <v>11414.485654201171</v>
      </c>
      <c r="G62" s="418">
        <f t="shared" si="19"/>
        <v>13935.724440255723</v>
      </c>
      <c r="H62" s="520"/>
      <c r="J62" s="418">
        <f t="shared" si="18"/>
        <v>14038.6333231995</v>
      </c>
      <c r="L62" s="524">
        <f t="shared" si="20"/>
        <v>13009.543350888278</v>
      </c>
      <c r="N62" s="519">
        <f t="shared" si="15"/>
        <v>26138.649255098124</v>
      </c>
      <c r="O62" s="564">
        <f t="shared" si="3"/>
        <v>1.6049505988528612</v>
      </c>
      <c r="P62" s="524">
        <f t="shared" si="14"/>
        <v>15766.521406974067</v>
      </c>
      <c r="Q62" s="520">
        <f t="shared" si="16"/>
        <v>0.57127512520230916</v>
      </c>
      <c r="R62" s="418">
        <f t="shared" si="17"/>
        <v>264.34277852085114</v>
      </c>
      <c r="T62" s="546">
        <f t="shared" si="7"/>
        <v>429515.44575000007</v>
      </c>
      <c r="U62" s="563">
        <f t="shared" si="5"/>
        <v>0.90859523446382096</v>
      </c>
    </row>
    <row r="63" spans="2:21" x14ac:dyDescent="0.25">
      <c r="B63" s="546">
        <v>345000</v>
      </c>
      <c r="C63" s="546">
        <v>3.9316058256099882</v>
      </c>
      <c r="D63" s="558">
        <f>'Billing Data'!E260/1000</f>
        <v>1312.924</v>
      </c>
      <c r="E63" s="418">
        <f t="shared" si="12"/>
        <v>6777.2040775078112</v>
      </c>
      <c r="G63" s="418">
        <f t="shared" si="19"/>
        <v>8277.7277376229831</v>
      </c>
      <c r="H63" s="520"/>
      <c r="J63" s="418">
        <f t="shared" si="18"/>
        <v>8338.8640230059846</v>
      </c>
      <c r="L63" s="524">
        <f t="shared" si="20"/>
        <v>7727.6015125506301</v>
      </c>
      <c r="N63" s="519">
        <f t="shared" si="15"/>
        <v>15559.474491581301</v>
      </c>
      <c r="O63" s="564">
        <f t="shared" si="3"/>
        <v>1.6116910027529761</v>
      </c>
      <c r="P63" s="524">
        <f t="shared" si="14"/>
        <v>9374.8508548596947</v>
      </c>
      <c r="Q63" s="520">
        <f t="shared" si="16"/>
        <v>0.57358872518706727</v>
      </c>
      <c r="R63" s="418">
        <f t="shared" si="17"/>
        <v>151.0530162976292</v>
      </c>
      <c r="T63" s="546">
        <f t="shared" si="7"/>
        <v>430828.36975000007</v>
      </c>
      <c r="U63" s="563">
        <f t="shared" si="5"/>
        <v>0.91137258857626779</v>
      </c>
    </row>
    <row r="64" spans="2:21" x14ac:dyDescent="0.25">
      <c r="B64" s="546">
        <v>355000</v>
      </c>
      <c r="C64" s="546">
        <v>0</v>
      </c>
      <c r="D64" s="558">
        <f>'Billing Data'!E261/1000</f>
        <v>0</v>
      </c>
      <c r="E64" s="418">
        <f t="shared" si="12"/>
        <v>0</v>
      </c>
      <c r="G64" s="418">
        <f t="shared" si="19"/>
        <v>0</v>
      </c>
      <c r="H64" s="520"/>
      <c r="J64" s="418">
        <f t="shared" si="18"/>
        <v>0</v>
      </c>
      <c r="L64" s="524">
        <f t="shared" si="20"/>
        <v>0</v>
      </c>
      <c r="N64" s="519">
        <f t="shared" si="15"/>
        <v>0</v>
      </c>
      <c r="O64" s="564"/>
      <c r="P64" s="524"/>
      <c r="Q64" s="520"/>
      <c r="R64" s="418">
        <f t="shared" si="17"/>
        <v>0</v>
      </c>
      <c r="T64" s="546">
        <f t="shared" si="7"/>
        <v>430828.36975000007</v>
      </c>
      <c r="U64" s="563">
        <f t="shared" si="5"/>
        <v>0.91137258857626779</v>
      </c>
    </row>
    <row r="65" spans="1:21" x14ac:dyDescent="0.25">
      <c r="B65" s="546">
        <v>375000</v>
      </c>
      <c r="C65" s="546">
        <v>3.9316058256099882</v>
      </c>
      <c r="D65" s="558">
        <f>'Billing Data'!E262/1000</f>
        <v>1395.8434999999999</v>
      </c>
      <c r="E65" s="418">
        <f t="shared" si="12"/>
        <v>7198.9616763328113</v>
      </c>
      <c r="G65" s="418">
        <f t="shared" si="19"/>
        <v>8798.5572688865595</v>
      </c>
      <c r="H65" s="520"/>
      <c r="J65" s="418">
        <f t="shared" si="18"/>
        <v>8863.5546994811793</v>
      </c>
      <c r="L65" s="524">
        <f t="shared" si="20"/>
        <v>8213.8480157213762</v>
      </c>
      <c r="N65" s="519">
        <f t="shared" si="15"/>
        <v>16591.510925544673</v>
      </c>
      <c r="O65" s="564">
        <f t="shared" si="3"/>
        <v>1.621806355756402</v>
      </c>
      <c r="P65" s="524">
        <f t="shared" ref="P65:P73" si="21">(C65*$P$6)+((C65*50)*$P$8)+((D65-(C65*50))*$P$9)</f>
        <v>9980.0737314720682</v>
      </c>
      <c r="Q65" s="520">
        <f t="shared" ref="Q65:Q73" si="22">(P65/E137)-1</f>
        <v>0.57706075459381334</v>
      </c>
      <c r="R65" s="418">
        <f t="shared" si="17"/>
        <v>151.0530162976292</v>
      </c>
      <c r="T65" s="546">
        <f t="shared" si="7"/>
        <v>432224.21325000009</v>
      </c>
      <c r="U65" s="563">
        <f t="shared" si="5"/>
        <v>0.91432535026320261</v>
      </c>
    </row>
    <row r="66" spans="1:21" x14ac:dyDescent="0.25">
      <c r="B66" s="546">
        <v>385000</v>
      </c>
      <c r="C66" s="546">
        <v>1.9658029128049941</v>
      </c>
      <c r="D66" s="558">
        <f>'Billing Data'!E263/1000</f>
        <v>722.52949999999998</v>
      </c>
      <c r="E66" s="418">
        <f t="shared" si="12"/>
        <v>3724.6444673789056</v>
      </c>
      <c r="G66" s="418">
        <f t="shared" si="19"/>
        <v>4553.8435184325863</v>
      </c>
      <c r="H66" s="520"/>
      <c r="J66" s="418">
        <f t="shared" si="18"/>
        <v>4587.4880932211026</v>
      </c>
      <c r="L66" s="524">
        <f t="shared" si="20"/>
        <v>4251.2257992173645</v>
      </c>
      <c r="N66" s="519">
        <f t="shared" si="15"/>
        <v>8602.0295546067318</v>
      </c>
      <c r="O66" s="564">
        <f t="shared" si="3"/>
        <v>1.6272686231397402</v>
      </c>
      <c r="P66" s="524">
        <f t="shared" si="21"/>
        <v>5169.6468880101447</v>
      </c>
      <c r="Q66" s="520">
        <f t="shared" si="22"/>
        <v>0.57893564249698737</v>
      </c>
      <c r="R66" s="418">
        <f t="shared" si="17"/>
        <v>75.5265081488146</v>
      </c>
      <c r="T66" s="546">
        <f t="shared" si="7"/>
        <v>432946.74275000009</v>
      </c>
      <c r="U66" s="563">
        <f t="shared" si="5"/>
        <v>0.91585378624136216</v>
      </c>
    </row>
    <row r="67" spans="1:21" x14ac:dyDescent="0.25">
      <c r="B67" s="546">
        <v>405000</v>
      </c>
      <c r="C67" s="546">
        <v>2.948704369207491</v>
      </c>
      <c r="D67" s="558">
        <f>'Billing Data'!E264/1000</f>
        <v>1131.47775</v>
      </c>
      <c r="E67" s="418">
        <f t="shared" si="12"/>
        <v>5829.5016712933593</v>
      </c>
      <c r="G67" s="418">
        <f t="shared" si="19"/>
        <v>7130.2723291145394</v>
      </c>
      <c r="H67" s="520"/>
      <c r="J67" s="418">
        <f t="shared" si="18"/>
        <v>7182.9595727238557</v>
      </c>
      <c r="L67" s="524">
        <f t="shared" si="20"/>
        <v>6656.4585124276991</v>
      </c>
      <c r="N67" s="519">
        <f t="shared" si="15"/>
        <v>13496.524867838227</v>
      </c>
      <c r="O67" s="564">
        <f t="shared" si="3"/>
        <v>1.6338042317541479</v>
      </c>
      <c r="P67" s="524">
        <f t="shared" si="21"/>
        <v>8102.5084296514324</v>
      </c>
      <c r="Q67" s="520">
        <f t="shared" si="22"/>
        <v>0.58117894782627455</v>
      </c>
      <c r="R67" s="418">
        <f t="shared" si="17"/>
        <v>113.2897622232219</v>
      </c>
      <c r="T67" s="546">
        <f t="shared" si="7"/>
        <v>434078.22050000011</v>
      </c>
      <c r="U67" s="563">
        <f t="shared" si="5"/>
        <v>0.91824730969139012</v>
      </c>
    </row>
    <row r="68" spans="1:21" x14ac:dyDescent="0.25">
      <c r="B68" s="546">
        <v>425000</v>
      </c>
      <c r="C68" s="546">
        <v>0.98290145640249704</v>
      </c>
      <c r="D68" s="558">
        <f>'Billing Data'!E265/1000</f>
        <v>396.11775</v>
      </c>
      <c r="E68" s="418">
        <f t="shared" si="12"/>
        <v>2039.596790239453</v>
      </c>
      <c r="G68" s="418">
        <f t="shared" si="19"/>
        <v>2495.8385598859727</v>
      </c>
      <c r="H68" s="520"/>
      <c r="J68" s="418">
        <f t="shared" si="18"/>
        <v>2514.2837766763373</v>
      </c>
      <c r="L68" s="524">
        <f t="shared" si="20"/>
        <v>2329.9936468998499</v>
      </c>
      <c r="N68" s="519">
        <f t="shared" si="15"/>
        <v>4734.8037634034436</v>
      </c>
      <c r="O68" s="564">
        <f t="shared" si="3"/>
        <v>1.6409223178534074</v>
      </c>
      <c r="P68" s="524">
        <f t="shared" si="21"/>
        <v>2839.2127362532297</v>
      </c>
      <c r="Q68" s="520">
        <f t="shared" si="22"/>
        <v>0.58362218477984529</v>
      </c>
      <c r="R68" s="418">
        <f t="shared" si="17"/>
        <v>37.7632540744073</v>
      </c>
      <c r="T68" s="546">
        <f t="shared" si="7"/>
        <v>434474.33825000009</v>
      </c>
      <c r="U68" s="563">
        <f t="shared" si="5"/>
        <v>0.91908525557552023</v>
      </c>
    </row>
    <row r="69" spans="1:21" x14ac:dyDescent="0.25">
      <c r="B69" s="546">
        <v>465000</v>
      </c>
      <c r="C69" s="546">
        <v>4.9145072820124849</v>
      </c>
      <c r="D69" s="558">
        <f>'Billing Data'!E266/1000</f>
        <v>2103.9147499999999</v>
      </c>
      <c r="E69" s="418">
        <f t="shared" si="12"/>
        <v>10825.263151297266</v>
      </c>
      <c r="G69" s="418">
        <f t="shared" si="19"/>
        <v>13253.821478722573</v>
      </c>
      <c r="H69" s="520"/>
      <c r="J69" s="418">
        <f t="shared" si="18"/>
        <v>13351.790235922157</v>
      </c>
      <c r="L69" s="524">
        <f t="shared" si="20"/>
        <v>12373.161647991074</v>
      </c>
      <c r="N69" s="519">
        <f t="shared" si="15"/>
        <v>25208.964460140571</v>
      </c>
      <c r="O69" s="564">
        <f t="shared" si="3"/>
        <v>1.6492341441913481</v>
      </c>
      <c r="P69" s="524">
        <f t="shared" si="21"/>
        <v>15096.210407682704</v>
      </c>
      <c r="Q69" s="520">
        <f t="shared" si="22"/>
        <v>0.5864751653391318</v>
      </c>
      <c r="R69" s="418">
        <f t="shared" si="17"/>
        <v>188.81627037203651</v>
      </c>
      <c r="T69" s="546">
        <f t="shared" si="7"/>
        <v>436578.25300000008</v>
      </c>
      <c r="U69" s="563">
        <f t="shared" si="5"/>
        <v>0.92353586831711831</v>
      </c>
    </row>
    <row r="70" spans="1:21" x14ac:dyDescent="0.25">
      <c r="B70" s="546">
        <v>625000</v>
      </c>
      <c r="C70" s="546">
        <v>12.777718933232462</v>
      </c>
      <c r="D70" s="558">
        <f>'Billing Data'!E267/1000</f>
        <v>6828.2197500000002</v>
      </c>
      <c r="E70" s="418">
        <f t="shared" si="12"/>
        <v>35053.158068262885</v>
      </c>
      <c r="G70" s="418">
        <f t="shared" si="19"/>
        <v>42989.99289758582</v>
      </c>
      <c r="H70" s="520"/>
      <c r="J70" s="418">
        <f t="shared" si="18"/>
        <v>43307.948842708196</v>
      </c>
      <c r="L70" s="524">
        <f t="shared" si="20"/>
        <v>40133.882413842977</v>
      </c>
      <c r="N70" s="519">
        <f t="shared" si="15"/>
        <v>82445.823936075976</v>
      </c>
      <c r="O70" s="564">
        <f t="shared" si="3"/>
        <v>1.6758638603902991</v>
      </c>
      <c r="P70" s="524">
        <f t="shared" si="21"/>
        <v>49162.383900123554</v>
      </c>
      <c r="Q70" s="520">
        <f t="shared" si="22"/>
        <v>0.5956156429581283</v>
      </c>
      <c r="R70" s="418">
        <f t="shared" si="17"/>
        <v>490.92230296729497</v>
      </c>
      <c r="T70" s="546">
        <f t="shared" si="7"/>
        <v>443406.47275000007</v>
      </c>
      <c r="U70" s="563">
        <f t="shared" si="5"/>
        <v>0.93798025672296115</v>
      </c>
    </row>
    <row r="71" spans="1:21" x14ac:dyDescent="0.25">
      <c r="B71" s="546">
        <v>655000</v>
      </c>
      <c r="C71" s="546">
        <v>1.9658029128049941</v>
      </c>
      <c r="D71" s="558">
        <f>'Billing Data'!E268/1000</f>
        <v>1227.6107500000001</v>
      </c>
      <c r="E71" s="418">
        <f t="shared" si="12"/>
        <v>6293.6644833164064</v>
      </c>
      <c r="G71" s="418">
        <f t="shared" si="19"/>
        <v>7726.3328687967569</v>
      </c>
      <c r="H71" s="520"/>
      <c r="J71" s="418">
        <f t="shared" si="18"/>
        <v>7783.4965440370925</v>
      </c>
      <c r="L71" s="524">
        <f t="shared" si="20"/>
        <v>7213.0621782308535</v>
      </c>
      <c r="N71" s="519">
        <f t="shared" si="15"/>
        <v>14888.394669106487</v>
      </c>
      <c r="O71" s="564">
        <f t="shared" si="3"/>
        <v>1.6913965869488861</v>
      </c>
      <c r="P71" s="524">
        <f t="shared" si="21"/>
        <v>8856.1950105624237</v>
      </c>
      <c r="Q71" s="520">
        <f t="shared" si="22"/>
        <v>0.60094715075227989</v>
      </c>
      <c r="R71" s="418">
        <f t="shared" si="17"/>
        <v>75.5265081488146</v>
      </c>
      <c r="T71" s="546">
        <f t="shared" si="7"/>
        <v>444634.08350000007</v>
      </c>
      <c r="U71" s="563">
        <f t="shared" si="5"/>
        <v>0.94057713953186428</v>
      </c>
    </row>
    <row r="72" spans="1:21" x14ac:dyDescent="0.25">
      <c r="B72" s="546">
        <v>715000</v>
      </c>
      <c r="C72" s="546">
        <v>7.8632116512199763</v>
      </c>
      <c r="D72" s="558">
        <f>'Billing Data'!E269/1000</f>
        <v>5234.3652499999998</v>
      </c>
      <c r="E72" s="418">
        <f t="shared" si="12"/>
        <v>26822.239869553126</v>
      </c>
      <c r="G72" s="418">
        <f t="shared" si="19"/>
        <v>32939.934597894513</v>
      </c>
      <c r="H72" s="520"/>
      <c r="J72" s="418">
        <f t="shared" si="18"/>
        <v>33183.672733325708</v>
      </c>
      <c r="L72" s="524">
        <f t="shared" si="20"/>
        <v>30751.754394478416</v>
      </c>
      <c r="N72" s="519">
        <f t="shared" si="15"/>
        <v>63585.194445592322</v>
      </c>
      <c r="O72" s="564">
        <f t="shared" si="3"/>
        <v>1.6971082925704457</v>
      </c>
      <c r="P72" s="524">
        <f t="shared" si="21"/>
        <v>37789.062942457153</v>
      </c>
      <c r="Q72" s="520">
        <f t="shared" si="22"/>
        <v>0.60290765671524671</v>
      </c>
      <c r="R72" s="418">
        <f t="shared" si="17"/>
        <v>302.1060325952584</v>
      </c>
      <c r="T72" s="546">
        <f t="shared" si="7"/>
        <v>449868.44875000004</v>
      </c>
      <c r="U72" s="563">
        <f t="shared" si="5"/>
        <v>0.95164989458328852</v>
      </c>
    </row>
    <row r="73" spans="1:21" x14ac:dyDescent="0.25">
      <c r="B73" s="546">
        <v>845000</v>
      </c>
      <c r="C73" s="546">
        <v>21.623832040854936</v>
      </c>
      <c r="D73" s="558">
        <f>'Billing Data'!E270/1000</f>
        <v>22856.291000000001</v>
      </c>
      <c r="E73" s="418">
        <f t="shared" si="12"/>
        <v>116800.76772344299</v>
      </c>
      <c r="G73" s="418">
        <f t="shared" si="19"/>
        <v>143734.54160899582</v>
      </c>
      <c r="H73" s="520"/>
      <c r="J73" s="418">
        <f t="shared" si="18"/>
        <v>144798.84443945129</v>
      </c>
      <c r="L73" s="524">
        <f t="shared" si="20"/>
        <v>134187.90993075751</v>
      </c>
      <c r="N73" s="519">
        <f t="shared" si="15"/>
        <v>280176.75563296606</v>
      </c>
      <c r="O73" s="564">
        <f t="shared" si="3"/>
        <v>1.7292694433343425</v>
      </c>
      <c r="P73" s="524">
        <f t="shared" si="21"/>
        <v>165681.83439894282</v>
      </c>
      <c r="Q73" s="520">
        <f t="shared" si="22"/>
        <v>0.61394676342454568</v>
      </c>
      <c r="R73" s="418">
        <f t="shared" si="17"/>
        <v>830.79158963696068</v>
      </c>
      <c r="T73" s="546">
        <f t="shared" si="7"/>
        <v>472724.73975000007</v>
      </c>
      <c r="U73" s="563">
        <f t="shared" si="5"/>
        <v>1</v>
      </c>
    </row>
    <row r="74" spans="1:21" x14ac:dyDescent="0.25">
      <c r="D74" s="559"/>
    </row>
    <row r="75" spans="1:21" x14ac:dyDescent="0.25">
      <c r="C75">
        <f>PERCENTILE(C15:C73,0.75)</f>
        <v>395.12638547380379</v>
      </c>
      <c r="D75" s="558">
        <f>SUM(D15:D74)</f>
        <v>472724.73975000007</v>
      </c>
    </row>
    <row r="76" spans="1:21" x14ac:dyDescent="0.25">
      <c r="B76" s="546">
        <f>PERCENTILE(B15:B73,0.75)</f>
        <v>300000</v>
      </c>
      <c r="D76" s="546">
        <f>PERCENTILE(D15:D73,0.75)</f>
        <v>7229.7473749999999</v>
      </c>
    </row>
    <row r="78" spans="1:21" ht="13" x14ac:dyDescent="0.3">
      <c r="A78" s="560" t="s">
        <v>1442</v>
      </c>
    </row>
    <row r="79" spans="1:21" x14ac:dyDescent="0.25">
      <c r="A79" s="484" t="s">
        <v>1444</v>
      </c>
    </row>
    <row r="82" spans="1:12" x14ac:dyDescent="0.25">
      <c r="A82" s="490">
        <v>17.11</v>
      </c>
      <c r="B82" t="s">
        <v>1391</v>
      </c>
    </row>
    <row r="83" spans="1:12" x14ac:dyDescent="0.25">
      <c r="A83" s="490">
        <v>5.58</v>
      </c>
      <c r="B83" t="s">
        <v>1422</v>
      </c>
    </row>
    <row r="84" spans="1:12" x14ac:dyDescent="0.25">
      <c r="A84" s="490">
        <v>4.47</v>
      </c>
      <c r="B84" t="s">
        <v>1423</v>
      </c>
    </row>
    <row r="85" spans="1:12" x14ac:dyDescent="0.25">
      <c r="D85" s="512"/>
    </row>
    <row r="86" spans="1:12" x14ac:dyDescent="0.25">
      <c r="A86" s="499" t="s">
        <v>1395</v>
      </c>
      <c r="B86" s="499" t="s">
        <v>1396</v>
      </c>
      <c r="C86" s="499" t="s">
        <v>1445</v>
      </c>
      <c r="D86" s="499" t="s">
        <v>1429</v>
      </c>
      <c r="E86" s="512" t="s">
        <v>1399</v>
      </c>
      <c r="F86" s="499" t="s">
        <v>1424</v>
      </c>
      <c r="G86" s="499" t="s">
        <v>1425</v>
      </c>
      <c r="H86" s="499" t="s">
        <v>1426</v>
      </c>
      <c r="I86" s="499" t="s">
        <v>1427</v>
      </c>
      <c r="J86" s="499" t="s">
        <v>1428</v>
      </c>
      <c r="K86" s="499" t="s">
        <v>1434</v>
      </c>
      <c r="L86" s="499" t="s">
        <v>1439</v>
      </c>
    </row>
    <row r="87" spans="1:12" x14ac:dyDescent="0.25">
      <c r="A87" s="546">
        <f t="shared" ref="A87:B106" si="23">+B15</f>
        <v>0</v>
      </c>
      <c r="B87" s="546">
        <f t="shared" si="23"/>
        <v>9435.8539814639716</v>
      </c>
      <c r="C87" s="561">
        <f>+B87/12</f>
        <v>786.32116512199764</v>
      </c>
      <c r="D87" s="520">
        <f>B87/$B$147</f>
        <v>9.0788727066389324E-2</v>
      </c>
      <c r="E87" s="418">
        <f>C15*$A$82</f>
        <v>161447.46162284855</v>
      </c>
      <c r="F87" s="520">
        <f>(E15/$E87)-1</f>
        <v>0.10929281122150791</v>
      </c>
      <c r="G87" s="520">
        <f t="shared" ref="G87:G118" si="24">(G15/$E87)-1</f>
        <v>-0.53828170660432484</v>
      </c>
      <c r="H87" s="520">
        <f t="shared" ref="H87:H118" si="25">(J15/$E87)-1</f>
        <v>-0.53828170660432484</v>
      </c>
      <c r="I87" s="520">
        <f t="shared" ref="I87:I118" si="26">(L15/$E87)-1</f>
        <v>0.10929281122150791</v>
      </c>
      <c r="J87" s="520">
        <f t="shared" ref="J87:J118" si="27">(N15/$E87)-1</f>
        <v>-6.4289888953827923E-3</v>
      </c>
      <c r="K87" s="520">
        <f t="shared" ref="K87:K118" si="28">(P15/$E87)-1</f>
        <v>-0.53828170660432484</v>
      </c>
      <c r="L87" s="520">
        <f t="shared" ref="L87:L118" si="29">(R15/E87)-1</f>
        <v>1.2454811953699005</v>
      </c>
    </row>
    <row r="88" spans="1:12" x14ac:dyDescent="0.25">
      <c r="A88" s="546">
        <f t="shared" si="23"/>
        <v>1000</v>
      </c>
      <c r="B88" s="546">
        <f t="shared" si="23"/>
        <v>11472.425799129946</v>
      </c>
      <c r="C88" s="561">
        <f t="shared" ref="C88:C145" si="30">+B88/12</f>
        <v>956.03548326082876</v>
      </c>
      <c r="D88" s="520">
        <f>SUM($B$87:$B88)/$B$147</f>
        <v>0.2011726877246077</v>
      </c>
      <c r="E88" s="418">
        <f>C16*$A$82</f>
        <v>196293.20542311337</v>
      </c>
      <c r="F88" s="520">
        <f t="shared" ref="F88:F135" si="31">(E16/E88)-1</f>
        <v>0.10929281122150791</v>
      </c>
      <c r="G88" s="520">
        <f t="shared" si="24"/>
        <v>-0.32998962152871669</v>
      </c>
      <c r="H88" s="520">
        <f t="shared" si="25"/>
        <v>-0.32844545796150104</v>
      </c>
      <c r="I88" s="520">
        <f t="shared" si="26"/>
        <v>0.10929281122150791</v>
      </c>
      <c r="J88" s="520">
        <f t="shared" si="27"/>
        <v>-6.4289888953827923E-3</v>
      </c>
      <c r="K88" s="520">
        <f t="shared" si="28"/>
        <v>-0.33657921833334048</v>
      </c>
      <c r="L88" s="520">
        <f t="shared" si="29"/>
        <v>1.2454811953699005</v>
      </c>
    </row>
    <row r="89" spans="1:12" x14ac:dyDescent="0.25">
      <c r="A89" s="546">
        <f t="shared" si="23"/>
        <v>2000</v>
      </c>
      <c r="B89" s="546">
        <f t="shared" si="23"/>
        <v>16835.136145261968</v>
      </c>
      <c r="C89" s="561">
        <f t="shared" si="30"/>
        <v>1402.928012105164</v>
      </c>
      <c r="D89" s="520">
        <f>SUM($B$87:$B89)/$B$147</f>
        <v>0.3631549082655573</v>
      </c>
      <c r="E89" s="418">
        <f>C17*$A$82</f>
        <v>288049.17944543227</v>
      </c>
      <c r="F89" s="520">
        <f t="shared" si="31"/>
        <v>0.10929281122150791</v>
      </c>
      <c r="G89" s="520">
        <f t="shared" si="24"/>
        <v>2.1406711633263686E-2</v>
      </c>
      <c r="H89" s="520">
        <f t="shared" si="25"/>
        <v>2.5555935374153016E-2</v>
      </c>
      <c r="I89" s="520">
        <f t="shared" si="26"/>
        <v>0.10929281122150791</v>
      </c>
      <c r="J89" s="520">
        <f t="shared" si="27"/>
        <v>-6.4289888953827923E-3</v>
      </c>
      <c r="K89" s="520">
        <f t="shared" si="28"/>
        <v>3.7002250374598145E-3</v>
      </c>
      <c r="L89" s="520">
        <f t="shared" si="29"/>
        <v>1.2454811953699005</v>
      </c>
    </row>
    <row r="90" spans="1:12" x14ac:dyDescent="0.25">
      <c r="A90" s="546">
        <f t="shared" si="23"/>
        <v>3000</v>
      </c>
      <c r="B90" s="546">
        <f t="shared" si="23"/>
        <v>17134.921089464729</v>
      </c>
      <c r="C90" s="561">
        <f t="shared" si="30"/>
        <v>1427.9100907887275</v>
      </c>
      <c r="D90" s="520">
        <f>SUM($B$87:$B90)/$B$147</f>
        <v>0.52802156232267872</v>
      </c>
      <c r="E90" s="524">
        <f t="shared" ref="E90:E102" si="32">($C18*$A$82)+(($D18-($C18*2))*$A$83)</f>
        <v>339075.94347231509</v>
      </c>
      <c r="F90" s="520">
        <f t="shared" si="31"/>
        <v>0.11317765646107136</v>
      </c>
      <c r="G90" s="520">
        <f t="shared" si="24"/>
        <v>0.18641385066174099</v>
      </c>
      <c r="H90" s="520">
        <f t="shared" si="25"/>
        <v>0.19224967568701334</v>
      </c>
      <c r="I90" s="520">
        <f t="shared" si="26"/>
        <v>0.10139012299229444</v>
      </c>
      <c r="J90" s="520">
        <f t="shared" si="27"/>
        <v>-0.14091912408205398</v>
      </c>
      <c r="K90" s="520">
        <f t="shared" si="28"/>
        <v>0.16150992548481202</v>
      </c>
      <c r="L90" s="520">
        <f t="shared" si="29"/>
        <v>0.94153204010149305</v>
      </c>
    </row>
    <row r="91" spans="1:12" x14ac:dyDescent="0.25">
      <c r="A91" s="546">
        <f t="shared" si="23"/>
        <v>4000</v>
      </c>
      <c r="B91" s="546">
        <f t="shared" si="23"/>
        <v>14529.249328541711</v>
      </c>
      <c r="C91" s="561">
        <f t="shared" si="30"/>
        <v>1210.7707773784759</v>
      </c>
      <c r="D91" s="520">
        <f>SUM($B$87:$B91)/$B$147</f>
        <v>0.6678172876867795</v>
      </c>
      <c r="E91" s="524">
        <f t="shared" si="32"/>
        <v>365105.37525482313</v>
      </c>
      <c r="F91" s="520">
        <f t="shared" si="31"/>
        <v>0.11845136454984995</v>
      </c>
      <c r="G91" s="520">
        <f t="shared" si="24"/>
        <v>0.17350109329287999</v>
      </c>
      <c r="H91" s="520">
        <f t="shared" si="25"/>
        <v>0.17987016246905596</v>
      </c>
      <c r="I91" s="520">
        <f t="shared" si="26"/>
        <v>9.066216131879945E-2</v>
      </c>
      <c r="J91" s="520">
        <f t="shared" si="27"/>
        <v>-0.32349054457820881</v>
      </c>
      <c r="K91" s="520">
        <f t="shared" si="28"/>
        <v>0.1463215905621984</v>
      </c>
      <c r="L91" s="520">
        <f t="shared" si="29"/>
        <v>0.52891866173781987</v>
      </c>
    </row>
    <row r="92" spans="1:12" x14ac:dyDescent="0.25">
      <c r="A92" s="546">
        <f t="shared" si="23"/>
        <v>5000</v>
      </c>
      <c r="B92" s="546">
        <f t="shared" si="23"/>
        <v>11250.290069982981</v>
      </c>
      <c r="C92" s="561">
        <f t="shared" si="30"/>
        <v>937.52417249858172</v>
      </c>
      <c r="D92" s="520">
        <f>SUM($B$87:$B92)/$B$147</f>
        <v>0.77606393039530985</v>
      </c>
      <c r="E92" s="524">
        <f t="shared" si="32"/>
        <v>343711.67875639873</v>
      </c>
      <c r="F92" s="520">
        <f t="shared" si="31"/>
        <v>0.12191965758834211</v>
      </c>
      <c r="G92" s="520">
        <f t="shared" si="24"/>
        <v>0.16500892312793303</v>
      </c>
      <c r="H92" s="520">
        <f t="shared" si="25"/>
        <v>0.17172868425468013</v>
      </c>
      <c r="I92" s="520">
        <f t="shared" si="26"/>
        <v>8.3606838164192343E-2</v>
      </c>
      <c r="J92" s="520">
        <f t="shared" si="27"/>
        <v>-0.3462710965771465</v>
      </c>
      <c r="K92" s="520">
        <f t="shared" si="28"/>
        <v>0.13633287002787808</v>
      </c>
      <c r="L92" s="520">
        <f t="shared" si="29"/>
        <v>0.25756042884422681</v>
      </c>
    </row>
    <row r="93" spans="1:12" x14ac:dyDescent="0.25">
      <c r="A93" s="546">
        <f t="shared" si="23"/>
        <v>6000</v>
      </c>
      <c r="B93" s="546">
        <f t="shared" si="23"/>
        <v>7452.358842443733</v>
      </c>
      <c r="C93" s="561">
        <f t="shared" si="30"/>
        <v>621.02990353697771</v>
      </c>
      <c r="D93" s="520">
        <f>SUM($B$87:$B93)/$B$147</f>
        <v>0.84776811045961864</v>
      </c>
      <c r="E93" s="524">
        <f t="shared" si="32"/>
        <v>267827.07347754022</v>
      </c>
      <c r="F93" s="520">
        <f t="shared" si="31"/>
        <v>0.12432903153944541</v>
      </c>
      <c r="G93" s="520">
        <f t="shared" si="24"/>
        <v>0.15910953303699316</v>
      </c>
      <c r="H93" s="520">
        <f t="shared" si="25"/>
        <v>0.16607291488470866</v>
      </c>
      <c r="I93" s="520">
        <f t="shared" si="26"/>
        <v>7.870560529930315E-2</v>
      </c>
      <c r="J93" s="520">
        <f t="shared" si="27"/>
        <v>-0.24896525463998442</v>
      </c>
      <c r="K93" s="520">
        <f t="shared" si="28"/>
        <v>0.12939384763468875</v>
      </c>
      <c r="L93" s="520">
        <f t="shared" si="29"/>
        <v>6.9051715625630727E-2</v>
      </c>
    </row>
    <row r="94" spans="1:12" x14ac:dyDescent="0.25">
      <c r="A94" s="546">
        <f t="shared" si="23"/>
        <v>7000</v>
      </c>
      <c r="B94" s="546">
        <f t="shared" si="23"/>
        <v>4829.9777567618703</v>
      </c>
      <c r="C94" s="561">
        <f t="shared" si="30"/>
        <v>402.49814639682251</v>
      </c>
      <c r="D94" s="520">
        <f>SUM($B$87:$B94)/$B$147</f>
        <v>0.89424059012672663</v>
      </c>
      <c r="E94" s="524">
        <f t="shared" si="32"/>
        <v>199641.71345773313</v>
      </c>
      <c r="F94" s="520">
        <f t="shared" si="31"/>
        <v>0.12611256851670838</v>
      </c>
      <c r="G94" s="520">
        <f t="shared" si="24"/>
        <v>0.15474251463967348</v>
      </c>
      <c r="H94" s="520">
        <f t="shared" si="25"/>
        <v>0.16188623651475398</v>
      </c>
      <c r="I94" s="520">
        <f t="shared" si="26"/>
        <v>7.5077471922703864E-2</v>
      </c>
      <c r="J94" s="520">
        <f t="shared" si="27"/>
        <v>-0.17693468955515135</v>
      </c>
      <c r="K94" s="520">
        <f t="shared" si="28"/>
        <v>0.12425724232747104</v>
      </c>
      <c r="L94" s="520">
        <f t="shared" si="29"/>
        <v>-7.0491695810230182E-2</v>
      </c>
    </row>
    <row r="95" spans="1:12" x14ac:dyDescent="0.25">
      <c r="A95" s="546">
        <f t="shared" si="23"/>
        <v>8000</v>
      </c>
      <c r="B95" s="546">
        <f t="shared" si="23"/>
        <v>2969.3452997919435</v>
      </c>
      <c r="C95" s="561">
        <f t="shared" si="30"/>
        <v>247.44544164932861</v>
      </c>
      <c r="D95" s="520">
        <f>SUM($B$87:$B95)/$B$147</f>
        <v>0.92281066767543096</v>
      </c>
      <c r="E95" s="524">
        <f t="shared" si="32"/>
        <v>138862.67679376208</v>
      </c>
      <c r="F95" s="520">
        <f t="shared" si="31"/>
        <v>0.12749239426822445</v>
      </c>
      <c r="G95" s="520">
        <f t="shared" si="24"/>
        <v>0.15136398954107189</v>
      </c>
      <c r="H95" s="520">
        <f t="shared" si="25"/>
        <v>0.15864723070673059</v>
      </c>
      <c r="I95" s="520">
        <f t="shared" si="26"/>
        <v>7.2270582059029698E-2</v>
      </c>
      <c r="J95" s="520">
        <f t="shared" si="27"/>
        <v>-0.12120855106328965</v>
      </c>
      <c r="K95" s="520">
        <f t="shared" si="28"/>
        <v>0.12028332960873933</v>
      </c>
      <c r="L95" s="520">
        <f t="shared" si="29"/>
        <v>-0.17844885902480867</v>
      </c>
    </row>
    <row r="96" spans="1:12" x14ac:dyDescent="0.25">
      <c r="A96" s="546">
        <f t="shared" si="23"/>
        <v>9000</v>
      </c>
      <c r="B96" s="546">
        <f t="shared" si="23"/>
        <v>1922.5552487232842</v>
      </c>
      <c r="C96" s="561">
        <f t="shared" si="30"/>
        <v>160.21293739360701</v>
      </c>
      <c r="D96" s="520">
        <f>SUM($B$87:$B96)/$B$147</f>
        <v>0.94130887081520775</v>
      </c>
      <c r="E96" s="524">
        <f t="shared" si="32"/>
        <v>100530.69319490352</v>
      </c>
      <c r="F96" s="520">
        <f t="shared" si="31"/>
        <v>0.12860182018752964</v>
      </c>
      <c r="G96" s="520">
        <f t="shared" si="24"/>
        <v>0.14864754269313329</v>
      </c>
      <c r="H96" s="520">
        <f t="shared" si="25"/>
        <v>0.15604296202117229</v>
      </c>
      <c r="I96" s="520">
        <f t="shared" si="26"/>
        <v>7.0013749003136727E-2</v>
      </c>
      <c r="J96" s="520">
        <f t="shared" si="27"/>
        <v>-7.6402877334037722E-2</v>
      </c>
      <c r="K96" s="520">
        <f t="shared" si="28"/>
        <v>0.11708817125894599</v>
      </c>
      <c r="L96" s="520">
        <f t="shared" si="29"/>
        <v>-0.26525001845620089</v>
      </c>
    </row>
    <row r="97" spans="1:12" x14ac:dyDescent="0.25">
      <c r="A97" s="546">
        <f t="shared" si="23"/>
        <v>10000</v>
      </c>
      <c r="B97" s="546">
        <f t="shared" si="23"/>
        <v>1268.9257802156237</v>
      </c>
      <c r="C97" s="561">
        <f t="shared" si="30"/>
        <v>105.74381501796864</v>
      </c>
      <c r="D97" s="520">
        <f>SUM($B$87:$B97)/$B$147</f>
        <v>0.95351806317382326</v>
      </c>
      <c r="E97" s="524">
        <f t="shared" si="32"/>
        <v>73141.606417282965</v>
      </c>
      <c r="F97" s="520">
        <f t="shared" si="31"/>
        <v>0.12947353098787651</v>
      </c>
      <c r="G97" s="520">
        <f t="shared" si="24"/>
        <v>0.14651314506034629</v>
      </c>
      <c r="H97" s="520">
        <f t="shared" si="25"/>
        <v>0.15399670629494144</v>
      </c>
      <c r="I97" s="520">
        <f t="shared" si="26"/>
        <v>6.8240484366742793E-2</v>
      </c>
      <c r="J97" s="520">
        <f t="shared" si="27"/>
        <v>-4.119765179623891E-2</v>
      </c>
      <c r="K97" s="520">
        <f t="shared" si="28"/>
        <v>0.11457763495916407</v>
      </c>
      <c r="L97" s="520">
        <f t="shared" si="29"/>
        <v>-0.33345241650940949</v>
      </c>
    </row>
    <row r="98" spans="1:12" x14ac:dyDescent="0.25">
      <c r="A98" s="546">
        <f t="shared" si="23"/>
        <v>11000</v>
      </c>
      <c r="B98" s="546">
        <f t="shared" si="23"/>
        <v>832.517533572915</v>
      </c>
      <c r="C98" s="561">
        <f t="shared" si="30"/>
        <v>69.376461131076255</v>
      </c>
      <c r="D98" s="520">
        <f>SUM($B$87:$B98)/$B$147</f>
        <v>0.96152827690561815</v>
      </c>
      <c r="E98" s="524">
        <f t="shared" si="32"/>
        <v>52630.935584758845</v>
      </c>
      <c r="F98" s="520">
        <f t="shared" si="31"/>
        <v>0.13022527340486501</v>
      </c>
      <c r="G98" s="520">
        <f t="shared" si="24"/>
        <v>0.14467249190491116</v>
      </c>
      <c r="H98" s="520">
        <f t="shared" si="25"/>
        <v>0.15223206459863459</v>
      </c>
      <c r="I98" s="520">
        <f t="shared" si="26"/>
        <v>6.6711263616934025E-2</v>
      </c>
      <c r="J98" s="520">
        <f t="shared" si="27"/>
        <v>-1.0837512486419065E-2</v>
      </c>
      <c r="K98" s="520">
        <f t="shared" si="28"/>
        <v>0.11241260886887816</v>
      </c>
      <c r="L98" s="520">
        <f t="shared" si="29"/>
        <v>-0.39226852333809703</v>
      </c>
    </row>
    <row r="99" spans="1:12" x14ac:dyDescent="0.25">
      <c r="A99" s="546">
        <f t="shared" si="23"/>
        <v>12000</v>
      </c>
      <c r="B99" s="546">
        <f t="shared" si="23"/>
        <v>556.32222432381332</v>
      </c>
      <c r="C99" s="561">
        <f t="shared" si="30"/>
        <v>46.360185360317779</v>
      </c>
      <c r="D99" s="520">
        <f>SUM($B$87:$B99)/$B$147</f>
        <v>0.96688102893890737</v>
      </c>
      <c r="E99" s="524">
        <f t="shared" si="32"/>
        <v>38200.530589726688</v>
      </c>
      <c r="F99" s="520">
        <f t="shared" si="31"/>
        <v>0.13084146186888401</v>
      </c>
      <c r="G99" s="520">
        <f t="shared" si="24"/>
        <v>0.14316374473964877</v>
      </c>
      <c r="H99" s="520">
        <f t="shared" si="25"/>
        <v>0.15078562253042338</v>
      </c>
      <c r="I99" s="520">
        <f t="shared" si="26"/>
        <v>6.5457791465202808E-2</v>
      </c>
      <c r="J99" s="520">
        <f t="shared" si="27"/>
        <v>1.4048096182118996E-2</v>
      </c>
      <c r="K99" s="520">
        <f t="shared" si="28"/>
        <v>0.11063797959296462</v>
      </c>
      <c r="L99" s="520">
        <f t="shared" si="29"/>
        <v>-0.44047892853449866</v>
      </c>
    </row>
    <row r="100" spans="1:12" x14ac:dyDescent="0.25">
      <c r="A100" s="546">
        <f t="shared" si="23"/>
        <v>13000</v>
      </c>
      <c r="B100" s="546">
        <f t="shared" si="23"/>
        <v>434.44244372990369</v>
      </c>
      <c r="C100" s="561">
        <f t="shared" si="30"/>
        <v>36.203536977491972</v>
      </c>
      <c r="D100" s="520">
        <f>SUM($B$87:$B100)/$B$147</f>
        <v>0.97106109324758905</v>
      </c>
      <c r="E100" s="524">
        <f t="shared" si="32"/>
        <v>32151.730155192927</v>
      </c>
      <c r="F100" s="520">
        <f t="shared" si="31"/>
        <v>0.13135753841379971</v>
      </c>
      <c r="G100" s="520">
        <f t="shared" si="24"/>
        <v>0.14190012318607148</v>
      </c>
      <c r="H100" s="520">
        <f t="shared" si="25"/>
        <v>0.14957418338709028</v>
      </c>
      <c r="I100" s="520">
        <f t="shared" si="26"/>
        <v>6.4407970485117705E-2</v>
      </c>
      <c r="J100" s="520">
        <f t="shared" si="27"/>
        <v>3.4890548921359121E-2</v>
      </c>
      <c r="K100" s="520">
        <f t="shared" si="28"/>
        <v>0.10915167370004641</v>
      </c>
      <c r="L100" s="520">
        <f t="shared" si="29"/>
        <v>-0.48085660646190287</v>
      </c>
    </row>
    <row r="101" spans="1:12" x14ac:dyDescent="0.25">
      <c r="A101" s="546">
        <f t="shared" si="23"/>
        <v>14000</v>
      </c>
      <c r="B101" s="546">
        <f t="shared" si="23"/>
        <v>317.47717041800655</v>
      </c>
      <c r="C101" s="561">
        <f t="shared" si="30"/>
        <v>26.456430868167214</v>
      </c>
      <c r="D101" s="520">
        <f>SUM($B$87:$B101)/$B$147</f>
        <v>0.97411575562701025</v>
      </c>
      <c r="E101" s="524">
        <f t="shared" si="32"/>
        <v>25204.117993987136</v>
      </c>
      <c r="F101" s="520">
        <f t="shared" si="31"/>
        <v>0.13180735433909985</v>
      </c>
      <c r="G101" s="520">
        <f t="shared" si="24"/>
        <v>0.14079874180388785</v>
      </c>
      <c r="H101" s="520">
        <f t="shared" si="25"/>
        <v>0.1485182845585693</v>
      </c>
      <c r="I101" s="520">
        <f t="shared" si="26"/>
        <v>6.349293917782628E-2</v>
      </c>
      <c r="J101" s="520">
        <f t="shared" si="27"/>
        <v>5.3056976473233597E-2</v>
      </c>
      <c r="K101" s="520">
        <f t="shared" si="28"/>
        <v>0.10785619909053512</v>
      </c>
      <c r="L101" s="520">
        <f t="shared" si="29"/>
        <v>-0.51605007289112503</v>
      </c>
    </row>
    <row r="102" spans="1:12" x14ac:dyDescent="0.25">
      <c r="A102" s="546">
        <f t="shared" si="23"/>
        <v>15000</v>
      </c>
      <c r="B102" s="546">
        <f t="shared" si="23"/>
        <v>277.17821070550417</v>
      </c>
      <c r="C102" s="561">
        <f t="shared" si="30"/>
        <v>23.098184225458681</v>
      </c>
      <c r="D102" s="520">
        <f>SUM($B$87:$B102)/$B$147</f>
        <v>0.97678267448458544</v>
      </c>
      <c r="E102" s="524">
        <f t="shared" si="32"/>
        <v>23521.769683697748</v>
      </c>
      <c r="F102" s="520">
        <f t="shared" si="31"/>
        <v>0.13220626025804849</v>
      </c>
      <c r="G102" s="520">
        <f t="shared" si="24"/>
        <v>0.13982201437459651</v>
      </c>
      <c r="H102" s="520">
        <f t="shared" si="25"/>
        <v>0.14758189198370286</v>
      </c>
      <c r="I102" s="520">
        <f t="shared" si="26"/>
        <v>6.2681470788266136E-2</v>
      </c>
      <c r="J102" s="520">
        <f t="shared" si="27"/>
        <v>6.9167334219585985E-2</v>
      </c>
      <c r="K102" s="520">
        <f t="shared" si="28"/>
        <v>0.10670734583631436</v>
      </c>
      <c r="L102" s="520">
        <f t="shared" si="29"/>
        <v>-0.54726035531401629</v>
      </c>
    </row>
    <row r="103" spans="1:12" x14ac:dyDescent="0.25">
      <c r="A103" s="546">
        <f t="shared" si="23"/>
        <v>25000</v>
      </c>
      <c r="B103" s="546">
        <f t="shared" si="23"/>
        <v>1092.0035180631742</v>
      </c>
      <c r="C103" s="561">
        <f t="shared" si="30"/>
        <v>91.000293171931176</v>
      </c>
      <c r="D103" s="520">
        <f>SUM($B$87:$B103)/$B$147</f>
        <v>0.98728957821070606</v>
      </c>
      <c r="E103" s="519">
        <f t="shared" ref="E103:E145" si="33">(C31*$A$82)+((C31*13)*$A$83)+((D31-(C31*15))*$A$84)</f>
        <v>114511.01222322775</v>
      </c>
      <c r="F103" s="520">
        <f t="shared" si="31"/>
        <v>0.13329448259558574</v>
      </c>
      <c r="G103" s="520">
        <f t="shared" si="24"/>
        <v>0.17767206447500827</v>
      </c>
      <c r="H103" s="520">
        <f t="shared" si="25"/>
        <v>0.18584417930114272</v>
      </c>
      <c r="I103" s="520">
        <f t="shared" si="26"/>
        <v>9.8296090930398705E-2</v>
      </c>
      <c r="J103" s="520">
        <f t="shared" si="27"/>
        <v>0.26969061227452995</v>
      </c>
      <c r="K103" s="520">
        <f t="shared" si="28"/>
        <v>0.14279820597411486</v>
      </c>
      <c r="L103" s="520">
        <f t="shared" si="29"/>
        <v>-0.63361623950297907</v>
      </c>
    </row>
    <row r="104" spans="1:12" x14ac:dyDescent="0.25">
      <c r="A104" s="546">
        <f t="shared" si="23"/>
        <v>35000</v>
      </c>
      <c r="B104" s="546">
        <f t="shared" si="23"/>
        <v>355.81032721770396</v>
      </c>
      <c r="C104" s="561">
        <f t="shared" si="30"/>
        <v>29.65086060147533</v>
      </c>
      <c r="D104" s="520">
        <f>SUM($B$87:$B104)/$B$147</f>
        <v>0.99071306979383456</v>
      </c>
      <c r="E104" s="519">
        <f t="shared" si="33"/>
        <v>53689.064027620116</v>
      </c>
      <c r="F104" s="520">
        <f t="shared" si="31"/>
        <v>0.1346950788819683</v>
      </c>
      <c r="G104" s="520">
        <f t="shared" si="24"/>
        <v>0.24707194684142131</v>
      </c>
      <c r="H104" s="520">
        <f t="shared" si="25"/>
        <v>0.25592892321582461</v>
      </c>
      <c r="I104" s="520">
        <f t="shared" si="26"/>
        <v>0.16344737628168216</v>
      </c>
      <c r="J104" s="520">
        <f t="shared" si="27"/>
        <v>0.60771390087597665</v>
      </c>
      <c r="K104" s="520">
        <f t="shared" si="28"/>
        <v>0.20927549544564439</v>
      </c>
      <c r="L104" s="520">
        <f t="shared" si="29"/>
        <v>-0.74538021434117718</v>
      </c>
    </row>
    <row r="105" spans="1:12" x14ac:dyDescent="0.25">
      <c r="A105" s="546">
        <f t="shared" si="23"/>
        <v>45000</v>
      </c>
      <c r="B105" s="546">
        <f t="shared" si="23"/>
        <v>243.75956118781926</v>
      </c>
      <c r="C105" s="561">
        <f t="shared" si="30"/>
        <v>20.313296765651604</v>
      </c>
      <c r="D105" s="520">
        <f>SUM($B$87:$B105)/$B$147</f>
        <v>0.99305844524304965</v>
      </c>
      <c r="E105" s="519">
        <f t="shared" si="33"/>
        <v>47648.808225344721</v>
      </c>
      <c r="F105" s="520">
        <f t="shared" si="31"/>
        <v>0.13542281661138911</v>
      </c>
      <c r="G105" s="520">
        <f t="shared" si="24"/>
        <v>0.28313152611235926</v>
      </c>
      <c r="H105" s="520">
        <f t="shared" si="25"/>
        <v>0.29234435063012154</v>
      </c>
      <c r="I105" s="520">
        <f t="shared" si="26"/>
        <v>0.1972994212509267</v>
      </c>
      <c r="J105" s="520">
        <f t="shared" si="27"/>
        <v>0.7833478811526644</v>
      </c>
      <c r="K105" s="520">
        <f t="shared" si="28"/>
        <v>0.24381652069925264</v>
      </c>
      <c r="L105" s="520">
        <f t="shared" si="29"/>
        <v>-0.80345181003978294</v>
      </c>
    </row>
    <row r="106" spans="1:12" x14ac:dyDescent="0.25">
      <c r="A106" s="546">
        <f t="shared" si="23"/>
        <v>55000</v>
      </c>
      <c r="B106" s="546">
        <f t="shared" si="23"/>
        <v>157.26423302439952</v>
      </c>
      <c r="C106" s="561">
        <f t="shared" si="30"/>
        <v>13.105352752033292</v>
      </c>
      <c r="D106" s="520">
        <f>SUM($B$87:$B106)/$B$147</f>
        <v>0.99457159069415613</v>
      </c>
      <c r="E106" s="519">
        <f t="shared" si="33"/>
        <v>37665.97091635142</v>
      </c>
      <c r="F106" s="520">
        <f t="shared" si="31"/>
        <v>0.13587565008152436</v>
      </c>
      <c r="G106" s="520">
        <f t="shared" si="24"/>
        <v>0.30556953331293624</v>
      </c>
      <c r="H106" s="520">
        <f t="shared" si="25"/>
        <v>0.31500378368658555</v>
      </c>
      <c r="I106" s="520">
        <f t="shared" si="26"/>
        <v>0.21836379427278119</v>
      </c>
      <c r="J106" s="520">
        <f t="shared" si="27"/>
        <v>0.89263580391249464</v>
      </c>
      <c r="K106" s="520">
        <f t="shared" si="28"/>
        <v>0.25781882037343773</v>
      </c>
      <c r="L106" s="520">
        <f t="shared" si="29"/>
        <v>-0.8395867541733224</v>
      </c>
    </row>
    <row r="107" spans="1:12" x14ac:dyDescent="0.25">
      <c r="A107" s="546">
        <f t="shared" ref="A107:B126" si="34">+B35</f>
        <v>65000</v>
      </c>
      <c r="B107" s="546">
        <f t="shared" si="34"/>
        <v>100.25594855305469</v>
      </c>
      <c r="C107" s="561">
        <f t="shared" si="30"/>
        <v>8.3546623794212245</v>
      </c>
      <c r="D107" s="520">
        <f>SUM($B$87:$B107)/$B$147</f>
        <v>0.99553622091923644</v>
      </c>
      <c r="E107" s="519">
        <f t="shared" si="33"/>
        <v>28158.651679799033</v>
      </c>
      <c r="F107" s="520">
        <f t="shared" si="31"/>
        <v>0.13617167695971277</v>
      </c>
      <c r="G107" s="520">
        <f t="shared" si="24"/>
        <v>0.32023773622287144</v>
      </c>
      <c r="H107" s="520">
        <f t="shared" si="25"/>
        <v>0.32981673739166184</v>
      </c>
      <c r="I107" s="520">
        <f t="shared" si="26"/>
        <v>0.23213402328167354</v>
      </c>
      <c r="J107" s="520">
        <f t="shared" si="27"/>
        <v>0.96407964526242229</v>
      </c>
      <c r="K107" s="520">
        <f t="shared" si="28"/>
        <v>0.31304795853858924</v>
      </c>
      <c r="L107" s="520">
        <f t="shared" si="29"/>
        <v>-0.86320893630170303</v>
      </c>
    </row>
    <row r="108" spans="1:12" x14ac:dyDescent="0.25">
      <c r="A108" s="546">
        <f t="shared" si="34"/>
        <v>75000</v>
      </c>
      <c r="B108" s="546">
        <f t="shared" si="34"/>
        <v>74.70051068658978</v>
      </c>
      <c r="C108" s="561">
        <f t="shared" si="30"/>
        <v>6.225042557215815</v>
      </c>
      <c r="D108" s="520">
        <f>SUM($B$87:$B108)/$B$147</f>
        <v>0.99625496500851196</v>
      </c>
      <c r="E108" s="519">
        <f t="shared" si="33"/>
        <v>24513.604866516929</v>
      </c>
      <c r="F108" s="520">
        <f t="shared" si="31"/>
        <v>0.13641871403108929</v>
      </c>
      <c r="G108" s="520">
        <f t="shared" si="24"/>
        <v>0.33247848243959321</v>
      </c>
      <c r="H108" s="520">
        <f t="shared" si="25"/>
        <v>0.34217827943857948</v>
      </c>
      <c r="I108" s="520">
        <f t="shared" si="26"/>
        <v>0.24362540226510898</v>
      </c>
      <c r="J108" s="520">
        <f t="shared" si="27"/>
        <v>1.023700168381847</v>
      </c>
      <c r="K108" s="520">
        <f t="shared" si="28"/>
        <v>0.35913716716209332</v>
      </c>
      <c r="L108" s="520">
        <f t="shared" si="29"/>
        <v>-0.88292185807501977</v>
      </c>
    </row>
    <row r="109" spans="1:12" x14ac:dyDescent="0.25">
      <c r="A109" s="546">
        <f t="shared" si="34"/>
        <v>85000</v>
      </c>
      <c r="B109" s="546">
        <f t="shared" si="34"/>
        <v>40.298959712502381</v>
      </c>
      <c r="C109" s="561">
        <f t="shared" si="30"/>
        <v>3.3582466427085316</v>
      </c>
      <c r="D109" s="520">
        <f>SUM($B$87:$B109)/$B$147</f>
        <v>0.99664270853035797</v>
      </c>
      <c r="E109" s="519">
        <f t="shared" si="33"/>
        <v>14998.886779502553</v>
      </c>
      <c r="F109" s="520">
        <f t="shared" si="31"/>
        <v>0.13659229005930706</v>
      </c>
      <c r="G109" s="520">
        <f t="shared" si="24"/>
        <v>0.34107921632490035</v>
      </c>
      <c r="H109" s="520">
        <f t="shared" si="25"/>
        <v>0.35086388827934889</v>
      </c>
      <c r="I109" s="520">
        <f t="shared" si="26"/>
        <v>0.25169960712663308</v>
      </c>
      <c r="J109" s="520">
        <f t="shared" si="27"/>
        <v>1.0812576057264769</v>
      </c>
      <c r="K109" s="520">
        <f t="shared" si="28"/>
        <v>0.39152089698843628</v>
      </c>
      <c r="L109" s="520">
        <f t="shared" si="29"/>
        <v>-0.89677277788598331</v>
      </c>
    </row>
    <row r="110" spans="1:12" x14ac:dyDescent="0.25">
      <c r="A110" s="546">
        <f t="shared" si="34"/>
        <v>95000</v>
      </c>
      <c r="B110" s="546">
        <f t="shared" si="34"/>
        <v>32.435748061282403</v>
      </c>
      <c r="C110" s="561">
        <f t="shared" si="30"/>
        <v>2.7029790051068669</v>
      </c>
      <c r="D110" s="520">
        <f>SUM($B$87:$B110)/$B$147</f>
        <v>0.99695479477964866</v>
      </c>
      <c r="E110" s="519">
        <f t="shared" si="33"/>
        <v>13461.414253684979</v>
      </c>
      <c r="F110" s="520">
        <f t="shared" si="31"/>
        <v>0.13672578369231414</v>
      </c>
      <c r="G110" s="520">
        <f t="shared" si="24"/>
        <v>0.34769385790108287</v>
      </c>
      <c r="H110" s="520">
        <f t="shared" si="25"/>
        <v>0.35754380537930253</v>
      </c>
      <c r="I110" s="520">
        <f t="shared" si="26"/>
        <v>0.25790930642483989</v>
      </c>
      <c r="J110" s="520">
        <f t="shared" si="27"/>
        <v>1.1538172795745605</v>
      </c>
      <c r="K110" s="520">
        <f t="shared" si="28"/>
        <v>0.41642653510696093</v>
      </c>
      <c r="L110" s="520">
        <f t="shared" si="29"/>
        <v>-0.90742522583655694</v>
      </c>
    </row>
    <row r="111" spans="1:12" x14ac:dyDescent="0.25">
      <c r="A111" s="546">
        <f t="shared" si="34"/>
        <v>105000</v>
      </c>
      <c r="B111" s="546">
        <f t="shared" si="34"/>
        <v>26.538339322867419</v>
      </c>
      <c r="C111" s="561">
        <f t="shared" si="30"/>
        <v>2.2115282769056184</v>
      </c>
      <c r="D111" s="520">
        <f>SUM($B$87:$B111)/$B$147</f>
        <v>0.99721013807452286</v>
      </c>
      <c r="E111" s="519">
        <f t="shared" si="33"/>
        <v>12106.613681196804</v>
      </c>
      <c r="F111" s="520">
        <f t="shared" si="31"/>
        <v>0.13683049502655531</v>
      </c>
      <c r="G111" s="520">
        <f t="shared" si="24"/>
        <v>0.35288232966088517</v>
      </c>
      <c r="H111" s="520">
        <f t="shared" si="25"/>
        <v>0.36278347873601535</v>
      </c>
      <c r="I111" s="520">
        <f t="shared" si="26"/>
        <v>0.262780144712075</v>
      </c>
      <c r="J111" s="520">
        <f t="shared" si="27"/>
        <v>1.2107325053393039</v>
      </c>
      <c r="K111" s="520">
        <f t="shared" si="28"/>
        <v>0.4359623177415215</v>
      </c>
      <c r="L111" s="520">
        <f t="shared" si="29"/>
        <v>-0.91578092050689741</v>
      </c>
    </row>
    <row r="112" spans="1:12" x14ac:dyDescent="0.25">
      <c r="A112" s="546">
        <f t="shared" si="34"/>
        <v>115000</v>
      </c>
      <c r="B112" s="546">
        <f t="shared" si="34"/>
        <v>26.538339322867419</v>
      </c>
      <c r="C112" s="561">
        <f t="shared" si="30"/>
        <v>2.2115282769056184</v>
      </c>
      <c r="D112" s="520">
        <f>SUM($B$87:$B112)/$B$147</f>
        <v>0.99746548136939717</v>
      </c>
      <c r="E112" s="519">
        <f t="shared" si="33"/>
        <v>13293.892616196803</v>
      </c>
      <c r="F112" s="520">
        <f t="shared" si="31"/>
        <v>0.13692475389418157</v>
      </c>
      <c r="G112" s="520">
        <f t="shared" si="24"/>
        <v>0.35755287918958212</v>
      </c>
      <c r="H112" s="520">
        <f t="shared" si="25"/>
        <v>0.36750011882960099</v>
      </c>
      <c r="I112" s="520">
        <f t="shared" si="26"/>
        <v>0.26716476749118634</v>
      </c>
      <c r="J112" s="520">
        <f t="shared" si="27"/>
        <v>1.2619663547611393</v>
      </c>
      <c r="K112" s="520">
        <f t="shared" si="28"/>
        <v>0.45354800474158674</v>
      </c>
      <c r="L112" s="520">
        <f t="shared" si="29"/>
        <v>-0.92330253527347261</v>
      </c>
    </row>
    <row r="113" spans="1:12" x14ac:dyDescent="0.25">
      <c r="A113" s="546">
        <f t="shared" si="34"/>
        <v>125000</v>
      </c>
      <c r="B113" s="546">
        <f t="shared" si="34"/>
        <v>22.606733497257434</v>
      </c>
      <c r="C113" s="561">
        <f t="shared" si="30"/>
        <v>1.8838944581047861</v>
      </c>
      <c r="D113" s="520">
        <f>SUM($B$87:$B113)/$B$147</f>
        <v>0.99768299602799371</v>
      </c>
      <c r="E113" s="519">
        <f t="shared" si="33"/>
        <v>12301.097044538019</v>
      </c>
      <c r="F113" s="520">
        <f t="shared" si="31"/>
        <v>0.13700106647542443</v>
      </c>
      <c r="G113" s="520">
        <f t="shared" si="24"/>
        <v>0.36133418591787891</v>
      </c>
      <c r="H113" s="520">
        <f t="shared" si="25"/>
        <v>0.37131874077360294</v>
      </c>
      <c r="I113" s="520">
        <f t="shared" si="26"/>
        <v>0.27071458609686205</v>
      </c>
      <c r="J113" s="520">
        <f t="shared" si="27"/>
        <v>1.3034456064733901</v>
      </c>
      <c r="K113" s="520">
        <f t="shared" si="28"/>
        <v>0.46778548925309926</v>
      </c>
      <c r="L113" s="520">
        <f t="shared" si="29"/>
        <v>-0.9293920826275387</v>
      </c>
    </row>
    <row r="114" spans="1:12" x14ac:dyDescent="0.25">
      <c r="A114" s="546">
        <f t="shared" si="34"/>
        <v>135000</v>
      </c>
      <c r="B114" s="546">
        <f t="shared" si="34"/>
        <v>17.692226215244947</v>
      </c>
      <c r="C114" s="561">
        <f t="shared" si="30"/>
        <v>1.4743521846037455</v>
      </c>
      <c r="D114" s="520">
        <f>SUM($B$87:$B114)/$B$147</f>
        <v>0.99785322489124328</v>
      </c>
      <c r="E114" s="519">
        <f t="shared" si="33"/>
        <v>10406.114759964534</v>
      </c>
      <c r="F114" s="520">
        <f t="shared" si="31"/>
        <v>0.13706731980754938</v>
      </c>
      <c r="G114" s="520">
        <f t="shared" si="24"/>
        <v>0.36461705443648662</v>
      </c>
      <c r="H114" s="520">
        <f t="shared" si="25"/>
        <v>0.37463400575081796</v>
      </c>
      <c r="I114" s="520">
        <f t="shared" si="26"/>
        <v>0.27379648042194615</v>
      </c>
      <c r="J114" s="520">
        <f t="shared" si="27"/>
        <v>1.3394572128851454</v>
      </c>
      <c r="K114" s="520">
        <f t="shared" si="28"/>
        <v>0.48014623992620353</v>
      </c>
      <c r="L114" s="520">
        <f t="shared" si="29"/>
        <v>-0.93467892782092976</v>
      </c>
    </row>
    <row r="115" spans="1:12" x14ac:dyDescent="0.25">
      <c r="A115" s="546">
        <f t="shared" si="34"/>
        <v>145000</v>
      </c>
      <c r="B115" s="546">
        <f t="shared" si="34"/>
        <v>21.623832040854936</v>
      </c>
      <c r="C115" s="561">
        <f t="shared" si="30"/>
        <v>1.801986003404578</v>
      </c>
      <c r="D115" s="520">
        <f>SUM($B$87:$B115)/$B$147</f>
        <v>0.99806128239077041</v>
      </c>
      <c r="E115" s="519">
        <f t="shared" si="33"/>
        <v>13795.296329123321</v>
      </c>
      <c r="F115" s="520">
        <f t="shared" si="31"/>
        <v>0.13713120979510429</v>
      </c>
      <c r="G115" s="520">
        <f t="shared" si="24"/>
        <v>0.36778281866407214</v>
      </c>
      <c r="H115" s="520">
        <f t="shared" si="25"/>
        <v>0.37783101081219783</v>
      </c>
      <c r="I115" s="520">
        <f t="shared" si="26"/>
        <v>0.27676843947307739</v>
      </c>
      <c r="J115" s="520">
        <f t="shared" si="27"/>
        <v>1.3741842373486715</v>
      </c>
      <c r="K115" s="520">
        <f t="shared" si="28"/>
        <v>0.49206606616512172</v>
      </c>
      <c r="L115" s="520">
        <f t="shared" si="29"/>
        <v>-0.93977718420712197</v>
      </c>
    </row>
    <row r="116" spans="1:12" x14ac:dyDescent="0.25">
      <c r="A116" s="546">
        <f t="shared" si="34"/>
        <v>155000</v>
      </c>
      <c r="B116" s="546">
        <f t="shared" si="34"/>
        <v>19.65802912804994</v>
      </c>
      <c r="C116" s="561">
        <f t="shared" si="30"/>
        <v>1.6381690940041616</v>
      </c>
      <c r="D116" s="520">
        <f>SUM($B$87:$B116)/$B$147</f>
        <v>0.99825042557215882</v>
      </c>
      <c r="E116" s="519">
        <f t="shared" si="33"/>
        <v>13223.998105793928</v>
      </c>
      <c r="F116" s="520">
        <f t="shared" si="31"/>
        <v>0.13717017844912416</v>
      </c>
      <c r="G116" s="520">
        <f t="shared" si="24"/>
        <v>0.36971372482970355</v>
      </c>
      <c r="H116" s="520">
        <f t="shared" si="25"/>
        <v>0.37978097181396242</v>
      </c>
      <c r="I116" s="520">
        <f t="shared" si="26"/>
        <v>0.27858113733788703</v>
      </c>
      <c r="J116" s="520">
        <f t="shared" si="27"/>
        <v>1.3953654185201456</v>
      </c>
      <c r="K116" s="520">
        <f t="shared" si="28"/>
        <v>0.49933636942315585</v>
      </c>
      <c r="L116" s="520">
        <f t="shared" si="29"/>
        <v>-0.94288678239017321</v>
      </c>
    </row>
    <row r="117" spans="1:12" x14ac:dyDescent="0.25">
      <c r="A117" s="546">
        <f t="shared" si="34"/>
        <v>165000</v>
      </c>
      <c r="B117" s="546">
        <f t="shared" si="34"/>
        <v>11.794817476829964</v>
      </c>
      <c r="C117" s="561">
        <f t="shared" si="30"/>
        <v>0.98290145640249704</v>
      </c>
      <c r="D117" s="520">
        <f>SUM($B$87:$B117)/$B$147</f>
        <v>0.99836391148099179</v>
      </c>
      <c r="E117" s="519">
        <f t="shared" si="33"/>
        <v>8493.1989274763564</v>
      </c>
      <c r="F117" s="520">
        <f t="shared" si="31"/>
        <v>0.13721726890669528</v>
      </c>
      <c r="G117" s="520">
        <f t="shared" si="24"/>
        <v>0.37204706831190237</v>
      </c>
      <c r="H117" s="520">
        <f t="shared" si="25"/>
        <v>0.38213734152005885</v>
      </c>
      <c r="I117" s="520">
        <f t="shared" si="26"/>
        <v>0.28077163567661101</v>
      </c>
      <c r="J117" s="520">
        <f t="shared" si="27"/>
        <v>1.4209611579255133</v>
      </c>
      <c r="K117" s="520">
        <f t="shared" si="28"/>
        <v>0.50812194120426413</v>
      </c>
      <c r="L117" s="520">
        <f t="shared" si="29"/>
        <v>-0.94664447956977993</v>
      </c>
    </row>
    <row r="118" spans="1:12" x14ac:dyDescent="0.25">
      <c r="A118" s="546">
        <f t="shared" si="34"/>
        <v>175000</v>
      </c>
      <c r="B118" s="546">
        <f t="shared" si="34"/>
        <v>12.777718933232462</v>
      </c>
      <c r="C118" s="561">
        <f t="shared" si="30"/>
        <v>1.0648099111027052</v>
      </c>
      <c r="D118" s="520">
        <f>SUM($B$87:$B118)/$B$147</f>
        <v>0.99848685454889408</v>
      </c>
      <c r="E118" s="519">
        <f t="shared" si="33"/>
        <v>9789.5759428910551</v>
      </c>
      <c r="F118" s="520">
        <f t="shared" si="31"/>
        <v>0.13725747154656776</v>
      </c>
      <c r="G118" s="520">
        <f t="shared" si="24"/>
        <v>0.37403911877292084</v>
      </c>
      <c r="H118" s="520">
        <f t="shared" si="25"/>
        <v>0.38414905020983037</v>
      </c>
      <c r="I118" s="520">
        <f t="shared" si="26"/>
        <v>0.28264173463923981</v>
      </c>
      <c r="J118" s="520">
        <f t="shared" si="27"/>
        <v>1.4428130648014545</v>
      </c>
      <c r="K118" s="520">
        <f t="shared" si="28"/>
        <v>0.51562246671642864</v>
      </c>
      <c r="L118" s="520">
        <f t="shared" si="29"/>
        <v>-0.94985254664439367</v>
      </c>
    </row>
    <row r="119" spans="1:12" x14ac:dyDescent="0.25">
      <c r="A119" s="546">
        <f t="shared" si="34"/>
        <v>185000</v>
      </c>
      <c r="B119" s="546">
        <f t="shared" si="34"/>
        <v>11.794817476829964</v>
      </c>
      <c r="C119" s="561">
        <f t="shared" si="30"/>
        <v>0.98290145640249704</v>
      </c>
      <c r="D119" s="520">
        <f>SUM($B$87:$B119)/$B$147</f>
        <v>0.99860034045772705</v>
      </c>
      <c r="E119" s="519">
        <f t="shared" si="33"/>
        <v>9544.8010699763581</v>
      </c>
      <c r="F119" s="520">
        <f t="shared" si="31"/>
        <v>0.13729093626100308</v>
      </c>
      <c r="G119" s="520">
        <f t="shared" ref="G119:G135" si="35">(G47/$E119)-1</f>
        <v>0.37569730341028329</v>
      </c>
      <c r="H119" s="520">
        <f t="shared" ref="H119:H135" si="36">(J47/$E119)-1</f>
        <v>0.38582359837490099</v>
      </c>
      <c r="I119" s="520">
        <f t="shared" ref="I119:I135" si="37">(L47/$E119)-1</f>
        <v>0.2841984067370904</v>
      </c>
      <c r="J119" s="520">
        <f t="shared" ref="J119:J135" si="38">(N47/$E119)-1</f>
        <v>1.4610026121988731</v>
      </c>
      <c r="K119" s="520">
        <f t="shared" ref="K119:K135" si="39">(P47/$E119)-1</f>
        <v>0.5218659110567152</v>
      </c>
      <c r="L119" s="520">
        <f t="shared" ref="L119:L135" si="40">(R47/E119)-1</f>
        <v>-0.95252294463021114</v>
      </c>
    </row>
    <row r="120" spans="1:12" x14ac:dyDescent="0.25">
      <c r="A120" s="546">
        <f t="shared" si="34"/>
        <v>195000</v>
      </c>
      <c r="B120" s="546">
        <f t="shared" si="34"/>
        <v>9.8290145640249698</v>
      </c>
      <c r="C120" s="561">
        <f t="shared" si="30"/>
        <v>0.81908454700208078</v>
      </c>
      <c r="D120" s="520">
        <f>SUM($B$87:$B120)/$B$147</f>
        <v>0.99869491204842109</v>
      </c>
      <c r="E120" s="519">
        <f t="shared" si="33"/>
        <v>8370.4473241469641</v>
      </c>
      <c r="F120" s="520">
        <f t="shared" si="31"/>
        <v>0.13732053719299953</v>
      </c>
      <c r="G120" s="520">
        <f t="shared" si="35"/>
        <v>0.37716403669984722</v>
      </c>
      <c r="H120" s="520">
        <f t="shared" si="36"/>
        <v>0.38730480588541938</v>
      </c>
      <c r="I120" s="520">
        <f t="shared" si="37"/>
        <v>0.28557534796269768</v>
      </c>
      <c r="J120" s="520">
        <f t="shared" si="38"/>
        <v>1.4770920235278409</v>
      </c>
      <c r="K120" s="520">
        <f t="shared" si="39"/>
        <v>0.52738849729295323</v>
      </c>
      <c r="L120" s="520">
        <f t="shared" si="40"/>
        <v>-0.95488502273293285</v>
      </c>
    </row>
    <row r="121" spans="1:12" x14ac:dyDescent="0.25">
      <c r="A121" s="546">
        <f t="shared" si="34"/>
        <v>205000</v>
      </c>
      <c r="B121" s="546">
        <f t="shared" si="34"/>
        <v>4.9145072820124849</v>
      </c>
      <c r="C121" s="561">
        <f t="shared" si="30"/>
        <v>0.40954227350104039</v>
      </c>
      <c r="D121" s="520">
        <f>SUM($B$87:$B121)/$B$147</f>
        <v>0.99874219784376816</v>
      </c>
      <c r="E121" s="519">
        <f t="shared" si="33"/>
        <v>4422.3370470734817</v>
      </c>
      <c r="F121" s="520">
        <f t="shared" si="31"/>
        <v>0.13735085069459885</v>
      </c>
      <c r="G121" s="520">
        <f t="shared" si="35"/>
        <v>0.37866607798438157</v>
      </c>
      <c r="H121" s="520">
        <f t="shared" si="36"/>
        <v>0.38882166982216337</v>
      </c>
      <c r="I121" s="520">
        <f t="shared" si="37"/>
        <v>0.2869854356602739</v>
      </c>
      <c r="J121" s="520">
        <f t="shared" si="38"/>
        <v>1.493568747845694</v>
      </c>
      <c r="K121" s="520">
        <f t="shared" si="39"/>
        <v>0.53304402620420954</v>
      </c>
      <c r="L121" s="520">
        <f t="shared" si="40"/>
        <v>-0.95730396205395807</v>
      </c>
    </row>
    <row r="122" spans="1:12" x14ac:dyDescent="0.25">
      <c r="A122" s="546">
        <f t="shared" si="34"/>
        <v>215000</v>
      </c>
      <c r="B122" s="546">
        <f t="shared" si="34"/>
        <v>9.8290145640249698</v>
      </c>
      <c r="C122" s="561">
        <f t="shared" si="30"/>
        <v>0.81908454700208078</v>
      </c>
      <c r="D122" s="520">
        <f>SUM($B$87:$B122)/$B$147</f>
        <v>0.99883676943446231</v>
      </c>
      <c r="E122" s="519">
        <f t="shared" si="33"/>
        <v>9210.6162316469636</v>
      </c>
      <c r="F122" s="520">
        <f t="shared" si="31"/>
        <v>0.137372108696447</v>
      </c>
      <c r="G122" s="520">
        <f t="shared" si="35"/>
        <v>0.37971941708141643</v>
      </c>
      <c r="H122" s="520">
        <f t="shared" si="36"/>
        <v>0.38988540362622426</v>
      </c>
      <c r="I122" s="520">
        <f t="shared" si="37"/>
        <v>0.2879742903058804</v>
      </c>
      <c r="J122" s="520">
        <f t="shared" si="38"/>
        <v>1.5051234088884753</v>
      </c>
      <c r="K122" s="520">
        <f t="shared" si="39"/>
        <v>0.53701008877384315</v>
      </c>
      <c r="L122" s="520">
        <f t="shared" si="40"/>
        <v>-0.95900029582748691</v>
      </c>
    </row>
    <row r="123" spans="1:12" x14ac:dyDescent="0.25">
      <c r="A123" s="546">
        <f t="shared" si="34"/>
        <v>225000</v>
      </c>
      <c r="B123" s="546">
        <f t="shared" si="34"/>
        <v>3.9316058256099882</v>
      </c>
      <c r="C123" s="561">
        <f t="shared" si="30"/>
        <v>0.32763381880083237</v>
      </c>
      <c r="D123" s="520">
        <f>SUM($B$87:$B123)/$B$147</f>
        <v>0.99887459807073997</v>
      </c>
      <c r="E123" s="519">
        <f t="shared" si="33"/>
        <v>3822.320099158786</v>
      </c>
      <c r="F123" s="520">
        <f t="shared" si="31"/>
        <v>0.13739066858950455</v>
      </c>
      <c r="G123" s="520">
        <f t="shared" si="35"/>
        <v>0.38063906423987315</v>
      </c>
      <c r="H123" s="520">
        <f t="shared" si="36"/>
        <v>0.39081412617436961</v>
      </c>
      <c r="I123" s="520">
        <f t="shared" si="37"/>
        <v>0.28883763751051661</v>
      </c>
      <c r="J123" s="520">
        <f t="shared" si="38"/>
        <v>1.5152115288726673</v>
      </c>
      <c r="K123" s="520">
        <f t="shared" si="39"/>
        <v>0.54047277062311094</v>
      </c>
      <c r="L123" s="520">
        <f t="shared" si="40"/>
        <v>-0.96048132747153414</v>
      </c>
    </row>
    <row r="124" spans="1:12" x14ac:dyDescent="0.25">
      <c r="A124" s="546">
        <f t="shared" si="34"/>
        <v>235000</v>
      </c>
      <c r="B124" s="546">
        <f t="shared" si="34"/>
        <v>4.9145072820124849</v>
      </c>
      <c r="C124" s="561">
        <f t="shared" si="30"/>
        <v>0.40954227350104039</v>
      </c>
      <c r="D124" s="520">
        <f>SUM($B$87:$B124)/$B$147</f>
        <v>0.99892188386608705</v>
      </c>
      <c r="E124" s="519">
        <f t="shared" si="33"/>
        <v>5032.2406095734823</v>
      </c>
      <c r="F124" s="520">
        <f t="shared" si="31"/>
        <v>0.13741569897725814</v>
      </c>
      <c r="G124" s="520">
        <f t="shared" si="35"/>
        <v>0.38187932596452234</v>
      </c>
      <c r="H124" s="520">
        <f t="shared" si="36"/>
        <v>0.39206662722185359</v>
      </c>
      <c r="I124" s="520">
        <f t="shared" si="37"/>
        <v>0.29000197155226992</v>
      </c>
      <c r="J124" s="520">
        <f t="shared" si="38"/>
        <v>1.5288166479392586</v>
      </c>
      <c r="K124" s="520">
        <f t="shared" si="39"/>
        <v>0.5451426396297081</v>
      </c>
      <c r="L124" s="520">
        <f t="shared" si="40"/>
        <v>-0.96247868792028213</v>
      </c>
    </row>
    <row r="125" spans="1:12" x14ac:dyDescent="0.25">
      <c r="A125" s="546">
        <f t="shared" si="34"/>
        <v>245000</v>
      </c>
      <c r="B125" s="546">
        <f t="shared" si="34"/>
        <v>4.9145072820124849</v>
      </c>
      <c r="C125" s="561">
        <f t="shared" si="30"/>
        <v>0.40954227350104039</v>
      </c>
      <c r="D125" s="520">
        <f>SUM($B$87:$B125)/$B$147</f>
        <v>0.99896916966143401</v>
      </c>
      <c r="E125" s="519">
        <f t="shared" si="33"/>
        <v>5234.6857920734819</v>
      </c>
      <c r="F125" s="520">
        <f t="shared" si="31"/>
        <v>0.13743388367037346</v>
      </c>
      <c r="G125" s="520">
        <f t="shared" si="35"/>
        <v>0.38278038187573826</v>
      </c>
      <c r="H125" s="520">
        <f t="shared" si="36"/>
        <v>0.39297657505803252</v>
      </c>
      <c r="I125" s="520">
        <f t="shared" si="37"/>
        <v>0.29084786564873455</v>
      </c>
      <c r="J125" s="520">
        <f t="shared" si="38"/>
        <v>1.5387008302163667</v>
      </c>
      <c r="K125" s="520">
        <f t="shared" si="39"/>
        <v>0.54853532118181358</v>
      </c>
      <c r="L125" s="520">
        <f t="shared" si="40"/>
        <v>-0.96392977957570103</v>
      </c>
    </row>
    <row r="126" spans="1:12" x14ac:dyDescent="0.25">
      <c r="A126" s="546">
        <f t="shared" si="34"/>
        <v>255000</v>
      </c>
      <c r="B126" s="546">
        <f t="shared" si="34"/>
        <v>3.9316058256099882</v>
      </c>
      <c r="C126" s="561">
        <f t="shared" si="30"/>
        <v>0.32763381880083237</v>
      </c>
      <c r="D126" s="520">
        <f>SUM($B$87:$B126)/$B$147</f>
        <v>0.99900699829771167</v>
      </c>
      <c r="E126" s="519">
        <f t="shared" si="33"/>
        <v>4367.1672816587852</v>
      </c>
      <c r="F126" s="520">
        <f t="shared" si="31"/>
        <v>0.13745245434496445</v>
      </c>
      <c r="G126" s="520">
        <f t="shared" si="35"/>
        <v>0.38370056326177671</v>
      </c>
      <c r="H126" s="520">
        <f t="shared" si="36"/>
        <v>0.39390583710569782</v>
      </c>
      <c r="I126" s="520">
        <f t="shared" si="37"/>
        <v>0.29171171437603061</v>
      </c>
      <c r="J126" s="520">
        <f t="shared" si="38"/>
        <v>1.5487948104393365</v>
      </c>
      <c r="K126" s="520">
        <f t="shared" si="39"/>
        <v>0.55200001452008807</v>
      </c>
      <c r="L126" s="520">
        <f t="shared" si="40"/>
        <v>-0.96541167155835295</v>
      </c>
    </row>
    <row r="127" spans="1:12" x14ac:dyDescent="0.25">
      <c r="A127" s="546">
        <f t="shared" ref="A127:B145" si="41">+B55</f>
        <v>265000</v>
      </c>
      <c r="B127" s="546">
        <f t="shared" si="41"/>
        <v>1.9658029128049941</v>
      </c>
      <c r="C127" s="561">
        <f t="shared" si="30"/>
        <v>0.16381690940041618</v>
      </c>
      <c r="D127" s="520">
        <f>SUM($B$87:$B127)/$B$147</f>
        <v>0.9990259126158505</v>
      </c>
      <c r="E127" s="519">
        <f t="shared" si="33"/>
        <v>2264.9041158293926</v>
      </c>
      <c r="F127" s="520">
        <f t="shared" si="31"/>
        <v>0.13746801725445157</v>
      </c>
      <c r="G127" s="520">
        <f t="shared" si="35"/>
        <v>0.38447170916455198</v>
      </c>
      <c r="H127" s="520">
        <f t="shared" si="36"/>
        <v>0.39468459293746605</v>
      </c>
      <c r="I127" s="520">
        <f t="shared" si="37"/>
        <v>0.29243565143537498</v>
      </c>
      <c r="J127" s="520">
        <f t="shared" si="38"/>
        <v>1.5572539377480847</v>
      </c>
      <c r="K127" s="520">
        <f t="shared" si="39"/>
        <v>0.55490355518361567</v>
      </c>
      <c r="L127" s="520">
        <f t="shared" si="40"/>
        <v>-0.96665355163560318</v>
      </c>
    </row>
    <row r="128" spans="1:12" x14ac:dyDescent="0.25">
      <c r="A128" s="546">
        <f t="shared" si="41"/>
        <v>275000</v>
      </c>
      <c r="B128" s="546">
        <f t="shared" si="41"/>
        <v>3.9316058256099882</v>
      </c>
      <c r="C128" s="561">
        <f t="shared" si="30"/>
        <v>0.32763381880083237</v>
      </c>
      <c r="D128" s="520">
        <f>SUM($B$87:$B128)/$B$147</f>
        <v>0.99906374125212816</v>
      </c>
      <c r="E128" s="519">
        <f t="shared" si="33"/>
        <v>4697.1572091587859</v>
      </c>
      <c r="F128" s="520">
        <f t="shared" si="31"/>
        <v>0.13748290567693799</v>
      </c>
      <c r="G128" s="520">
        <f t="shared" si="35"/>
        <v>0.38520943407445407</v>
      </c>
      <c r="H128" s="520">
        <f t="shared" si="36"/>
        <v>0.39542959796668176</v>
      </c>
      <c r="I128" s="520">
        <f t="shared" si="37"/>
        <v>0.29312821350431362</v>
      </c>
      <c r="J128" s="520">
        <f t="shared" si="38"/>
        <v>1.5653464516410276</v>
      </c>
      <c r="K128" s="520">
        <f t="shared" si="39"/>
        <v>0.55768125816652514</v>
      </c>
      <c r="L128" s="520">
        <f t="shared" si="40"/>
        <v>-0.96784160938810027</v>
      </c>
    </row>
    <row r="129" spans="1:12" x14ac:dyDescent="0.25">
      <c r="A129" s="546">
        <f t="shared" si="41"/>
        <v>285000</v>
      </c>
      <c r="B129" s="546">
        <f t="shared" si="41"/>
        <v>7.8632116512199763</v>
      </c>
      <c r="C129" s="561">
        <f t="shared" si="30"/>
        <v>0.65526763760166473</v>
      </c>
      <c r="D129" s="520">
        <f>SUM($B$87:$B129)/$B$147</f>
        <v>0.99913939852468348</v>
      </c>
      <c r="E129" s="519">
        <f t="shared" si="33"/>
        <v>9790.6447333175711</v>
      </c>
      <c r="F129" s="520">
        <f t="shared" si="31"/>
        <v>0.13749921933812126</v>
      </c>
      <c r="G129" s="520">
        <f t="shared" si="35"/>
        <v>0.38601777990407227</v>
      </c>
      <c r="H129" s="520">
        <f t="shared" si="36"/>
        <v>0.39624592082677235</v>
      </c>
      <c r="I129" s="520">
        <f t="shared" si="37"/>
        <v>0.29388707314516882</v>
      </c>
      <c r="J129" s="520">
        <f t="shared" si="38"/>
        <v>1.5742136455891855</v>
      </c>
      <c r="K129" s="520">
        <f t="shared" si="39"/>
        <v>0.56072486506120289</v>
      </c>
      <c r="L129" s="520">
        <f t="shared" si="40"/>
        <v>-0.96914339751628498</v>
      </c>
    </row>
    <row r="130" spans="1:12" x14ac:dyDescent="0.25">
      <c r="A130" s="546">
        <f t="shared" si="41"/>
        <v>295000</v>
      </c>
      <c r="B130" s="546">
        <f t="shared" si="41"/>
        <v>4.9145072820124849</v>
      </c>
      <c r="C130" s="561">
        <f t="shared" si="30"/>
        <v>0.40954227350104039</v>
      </c>
      <c r="D130" s="520">
        <f>SUM($B$87:$B130)/$B$147</f>
        <v>0.99918668432003055</v>
      </c>
      <c r="E130" s="519">
        <f t="shared" si="33"/>
        <v>6327.3761745734819</v>
      </c>
      <c r="F130" s="520">
        <f t="shared" si="31"/>
        <v>0.13751194454152005</v>
      </c>
      <c r="G130" s="520">
        <f t="shared" si="35"/>
        <v>0.38664831678864964</v>
      </c>
      <c r="H130" s="520">
        <f t="shared" si="36"/>
        <v>0.39688268006291971</v>
      </c>
      <c r="I130" s="520">
        <f t="shared" si="37"/>
        <v>0.29447900914117975</v>
      </c>
      <c r="J130" s="520">
        <f t="shared" si="38"/>
        <v>1.5811303545547721</v>
      </c>
      <c r="K130" s="520">
        <f t="shared" si="39"/>
        <v>0.5630989806178508</v>
      </c>
      <c r="L130" s="520">
        <f t="shared" si="40"/>
        <v>-0.97015883595939922</v>
      </c>
    </row>
    <row r="131" spans="1:12" x14ac:dyDescent="0.25">
      <c r="A131" s="546">
        <f t="shared" si="41"/>
        <v>305000</v>
      </c>
      <c r="B131" s="546">
        <f t="shared" si="41"/>
        <v>4.9145072820124849</v>
      </c>
      <c r="C131" s="561">
        <f t="shared" si="30"/>
        <v>0.40954227350104039</v>
      </c>
      <c r="D131" s="520">
        <f>SUM($B$87:$B131)/$B$147</f>
        <v>0.99923397011537751</v>
      </c>
      <c r="E131" s="519">
        <f t="shared" si="33"/>
        <v>6515.6972745734829</v>
      </c>
      <c r="F131" s="520">
        <f t="shared" si="31"/>
        <v>0.13752275303028694</v>
      </c>
      <c r="G131" s="520">
        <f t="shared" si="35"/>
        <v>0.38718388000289439</v>
      </c>
      <c r="H131" s="520">
        <f t="shared" si="36"/>
        <v>0.39742352839638406</v>
      </c>
      <c r="I131" s="520">
        <f t="shared" si="37"/>
        <v>0.29498178566766886</v>
      </c>
      <c r="J131" s="520">
        <f t="shared" si="38"/>
        <v>1.5870052446305367</v>
      </c>
      <c r="K131" s="520">
        <f t="shared" si="39"/>
        <v>0.56511549858786614</v>
      </c>
      <c r="L131" s="520">
        <f t="shared" si="40"/>
        <v>-0.97102132551356191</v>
      </c>
    </row>
    <row r="132" spans="1:12" x14ac:dyDescent="0.25">
      <c r="A132" s="546">
        <f t="shared" si="41"/>
        <v>315000</v>
      </c>
      <c r="B132" s="546">
        <f t="shared" si="41"/>
        <v>6.8803101948174792</v>
      </c>
      <c r="C132" s="561">
        <f t="shared" si="30"/>
        <v>0.5733591829014566</v>
      </c>
      <c r="D132" s="520">
        <f>SUM($B$87:$B132)/$B$147</f>
        <v>0.99930017022886342</v>
      </c>
      <c r="E132" s="519">
        <f t="shared" si="33"/>
        <v>9480.8134804028759</v>
      </c>
      <c r="F132" s="520">
        <f t="shared" si="31"/>
        <v>0.13753649793143974</v>
      </c>
      <c r="G132" s="520">
        <f t="shared" si="35"/>
        <v>0.38786494315607789</v>
      </c>
      <c r="H132" s="520">
        <f t="shared" si="36"/>
        <v>0.39811131251147192</v>
      </c>
      <c r="I132" s="520">
        <f t="shared" si="37"/>
        <v>0.29562115476055895</v>
      </c>
      <c r="J132" s="520">
        <f t="shared" si="38"/>
        <v>1.5944762042729872</v>
      </c>
      <c r="K132" s="520">
        <f t="shared" si="39"/>
        <v>0.56767985709976543</v>
      </c>
      <c r="L132" s="520">
        <f t="shared" si="40"/>
        <v>-0.97211813321006102</v>
      </c>
    </row>
    <row r="133" spans="1:12" x14ac:dyDescent="0.25">
      <c r="A133" s="546">
        <f t="shared" si="41"/>
        <v>325000</v>
      </c>
      <c r="B133" s="546">
        <f t="shared" si="41"/>
        <v>2.948704369207491</v>
      </c>
      <c r="C133" s="561">
        <f t="shared" si="30"/>
        <v>0.24572536410062426</v>
      </c>
      <c r="D133" s="520">
        <f>SUM($B$87:$B133)/$B$147</f>
        <v>0.99932854170607166</v>
      </c>
      <c r="E133" s="519">
        <f t="shared" si="33"/>
        <v>4190.8728087440895</v>
      </c>
      <c r="F133" s="520">
        <f t="shared" si="31"/>
        <v>0.13754714199009932</v>
      </c>
      <c r="G133" s="520">
        <f t="shared" si="35"/>
        <v>0.3883923588190068</v>
      </c>
      <c r="H133" s="520">
        <f t="shared" si="36"/>
        <v>0.39864393289082356</v>
      </c>
      <c r="I133" s="520">
        <f t="shared" si="37"/>
        <v>0.29611628252133504</v>
      </c>
      <c r="J133" s="520">
        <f t="shared" si="38"/>
        <v>1.6002617193373689</v>
      </c>
      <c r="K133" s="520">
        <f t="shared" si="39"/>
        <v>0.56966569767595709</v>
      </c>
      <c r="L133" s="520">
        <f t="shared" si="40"/>
        <v>-0.97296750166532198</v>
      </c>
    </row>
    <row r="134" spans="1:12" x14ac:dyDescent="0.25">
      <c r="A134" s="546">
        <f t="shared" si="41"/>
        <v>335000</v>
      </c>
      <c r="B134" s="546">
        <f t="shared" si="41"/>
        <v>6.8803101948174792</v>
      </c>
      <c r="C134" s="561">
        <f t="shared" si="30"/>
        <v>0.5733591829014566</v>
      </c>
      <c r="D134" s="520">
        <f>SUM($B$87:$B134)/$B$147</f>
        <v>0.99939474181955756</v>
      </c>
      <c r="E134" s="519">
        <f t="shared" si="33"/>
        <v>10034.220712902874</v>
      </c>
      <c r="F134" s="520">
        <f t="shared" si="31"/>
        <v>0.13755576848368833</v>
      </c>
      <c r="G134" s="520">
        <f t="shared" si="35"/>
        <v>0.38881980364812541</v>
      </c>
      <c r="H134" s="520">
        <f t="shared" si="36"/>
        <v>0.39907559589031205</v>
      </c>
      <c r="I134" s="520">
        <f t="shared" si="37"/>
        <v>0.2965175595708669</v>
      </c>
      <c r="J134" s="520">
        <f t="shared" si="38"/>
        <v>1.6049505988528612</v>
      </c>
      <c r="K134" s="520">
        <f t="shared" si="39"/>
        <v>0.57127512520230916</v>
      </c>
      <c r="L134" s="520">
        <f t="shared" si="40"/>
        <v>-0.97365587362644557</v>
      </c>
    </row>
    <row r="135" spans="1:12" x14ac:dyDescent="0.25">
      <c r="A135" s="546">
        <f t="shared" si="41"/>
        <v>345000</v>
      </c>
      <c r="B135" s="546">
        <f t="shared" si="41"/>
        <v>3.9316058256099882</v>
      </c>
      <c r="C135" s="561">
        <f t="shared" si="30"/>
        <v>0.32763381880083237</v>
      </c>
      <c r="D135" s="520">
        <f>SUM($B$87:$B135)/$B$147</f>
        <v>0.99943257045583522</v>
      </c>
      <c r="E135" s="519">
        <f t="shared" si="33"/>
        <v>5957.6245716587846</v>
      </c>
      <c r="F135" s="520">
        <f t="shared" si="31"/>
        <v>0.13756816932504878</v>
      </c>
      <c r="G135" s="520">
        <f t="shared" si="35"/>
        <v>0.38943426831580474</v>
      </c>
      <c r="H135" s="520">
        <f t="shared" si="36"/>
        <v>0.39969612430348067</v>
      </c>
      <c r="I135" s="520">
        <f t="shared" si="37"/>
        <v>0.29709440727632663</v>
      </c>
      <c r="J135" s="520">
        <f t="shared" si="38"/>
        <v>1.6116910027529761</v>
      </c>
      <c r="K135" s="520">
        <f t="shared" si="39"/>
        <v>0.57358872518706727</v>
      </c>
      <c r="L135" s="520">
        <f t="shared" si="40"/>
        <v>-0.97464542881466409</v>
      </c>
    </row>
    <row r="136" spans="1:12" x14ac:dyDescent="0.25">
      <c r="A136" s="546">
        <f t="shared" si="41"/>
        <v>355000</v>
      </c>
      <c r="B136" s="546">
        <f t="shared" si="41"/>
        <v>0</v>
      </c>
      <c r="C136" s="561">
        <f t="shared" si="30"/>
        <v>0</v>
      </c>
      <c r="D136" s="520">
        <f>SUM($B$87:$B136)/$B$147</f>
        <v>0.99943257045583522</v>
      </c>
      <c r="E136" s="519">
        <f t="shared" si="33"/>
        <v>0</v>
      </c>
      <c r="F136" s="520"/>
      <c r="G136" s="520"/>
      <c r="H136" s="520"/>
      <c r="I136" s="520"/>
      <c r="J136" s="520"/>
      <c r="K136" s="520"/>
      <c r="L136" s="520"/>
    </row>
    <row r="137" spans="1:12" x14ac:dyDescent="0.25">
      <c r="A137" s="546">
        <f t="shared" si="41"/>
        <v>375000</v>
      </c>
      <c r="B137" s="546">
        <f t="shared" si="41"/>
        <v>3.9316058256099882</v>
      </c>
      <c r="C137" s="561">
        <f t="shared" si="30"/>
        <v>0.32763381880083237</v>
      </c>
      <c r="D137" s="520">
        <f>SUM($B$87:$B137)/$B$147</f>
        <v>0.99947039909211288</v>
      </c>
      <c r="E137" s="519">
        <f t="shared" si="33"/>
        <v>6328.2747366587846</v>
      </c>
      <c r="F137" s="520">
        <f t="shared" ref="F137:F145" si="42">(E65/E137)-1</f>
        <v>0.13758677932079388</v>
      </c>
      <c r="G137" s="520">
        <f t="shared" ref="G137:G145" si="43">(G65/$E137)-1</f>
        <v>0.39035639807446798</v>
      </c>
      <c r="H137" s="520">
        <f t="shared" ref="H137:H145" si="44">(J65/$E137)-1</f>
        <v>0.40062735395097238</v>
      </c>
      <c r="I137" s="520">
        <f t="shared" ref="I137:I145" si="45">(L65/$E137)-1</f>
        <v>0.29796008509866634</v>
      </c>
      <c r="J137" s="520">
        <f t="shared" ref="J137:J145" si="46">(N65/$E137)-1</f>
        <v>1.621806355756402</v>
      </c>
      <c r="K137" s="520">
        <f t="shared" ref="K137:K145" si="47">(P65/$E137)-1</f>
        <v>0.57706075459381334</v>
      </c>
      <c r="L137" s="520">
        <f t="shared" ref="L137:L145" si="48">(R65/E137)-1</f>
        <v>-0.97613045852409019</v>
      </c>
    </row>
    <row r="138" spans="1:12" x14ac:dyDescent="0.25">
      <c r="A138" s="546">
        <f t="shared" si="41"/>
        <v>385000</v>
      </c>
      <c r="B138" s="546">
        <f t="shared" si="41"/>
        <v>1.9658029128049941</v>
      </c>
      <c r="C138" s="561">
        <f t="shared" si="30"/>
        <v>0.16381690940041618</v>
      </c>
      <c r="D138" s="520">
        <f>SUM($B$87:$B138)/$B$147</f>
        <v>0.99948931341025171</v>
      </c>
      <c r="E138" s="519">
        <f t="shared" si="33"/>
        <v>3274.1340108293921</v>
      </c>
      <c r="F138" s="520">
        <f t="shared" si="42"/>
        <v>0.13759682867574252</v>
      </c>
      <c r="G138" s="520">
        <f t="shared" si="43"/>
        <v>0.3908543460256908</v>
      </c>
      <c r="H138" s="520">
        <f t="shared" si="44"/>
        <v>0.40113021582125663</v>
      </c>
      <c r="I138" s="520">
        <f t="shared" si="45"/>
        <v>0.29842754913396452</v>
      </c>
      <c r="J138" s="520">
        <f t="shared" si="46"/>
        <v>1.6272686231397402</v>
      </c>
      <c r="K138" s="520">
        <f t="shared" si="47"/>
        <v>0.57893564249698737</v>
      </c>
      <c r="L138" s="520">
        <f t="shared" si="48"/>
        <v>-0.97693237115554643</v>
      </c>
    </row>
    <row r="139" spans="1:12" x14ac:dyDescent="0.25">
      <c r="A139" s="546">
        <f t="shared" si="41"/>
        <v>405000</v>
      </c>
      <c r="B139" s="546">
        <f t="shared" si="41"/>
        <v>2.948704369207491</v>
      </c>
      <c r="C139" s="561">
        <f t="shared" si="30"/>
        <v>0.24572536410062426</v>
      </c>
      <c r="D139" s="520">
        <f>SUM($B$87:$B139)/$B$147</f>
        <v>0.99951768488745985</v>
      </c>
      <c r="E139" s="519">
        <f t="shared" si="33"/>
        <v>5124.346261244089</v>
      </c>
      <c r="F139" s="520">
        <f t="shared" si="42"/>
        <v>0.13760885273940726</v>
      </c>
      <c r="G139" s="520">
        <f t="shared" si="43"/>
        <v>0.39145014126805933</v>
      </c>
      <c r="H139" s="520">
        <f t="shared" si="44"/>
        <v>0.40173189057290148</v>
      </c>
      <c r="I139" s="520">
        <f t="shared" si="45"/>
        <v>0.29898687033917248</v>
      </c>
      <c r="J139" s="520">
        <f t="shared" si="46"/>
        <v>1.6338042317541479</v>
      </c>
      <c r="K139" s="520">
        <f t="shared" si="47"/>
        <v>0.58117894782627455</v>
      </c>
      <c r="L139" s="520">
        <f t="shared" si="48"/>
        <v>-0.97789186045446552</v>
      </c>
    </row>
    <row r="140" spans="1:12" x14ac:dyDescent="0.25">
      <c r="A140" s="546">
        <f t="shared" si="41"/>
        <v>425000</v>
      </c>
      <c r="B140" s="546">
        <f t="shared" si="41"/>
        <v>0.98290145640249704</v>
      </c>
      <c r="C140" s="561">
        <f t="shared" si="30"/>
        <v>8.1908454700208091E-2</v>
      </c>
      <c r="D140" s="520">
        <f>SUM($B$87:$B140)/$B$147</f>
        <v>0.99952714204652926</v>
      </c>
      <c r="E140" s="519">
        <f t="shared" si="33"/>
        <v>1792.8599154146962</v>
      </c>
      <c r="F140" s="520">
        <f t="shared" si="42"/>
        <v>0.13762194843186371</v>
      </c>
      <c r="G140" s="520">
        <f t="shared" si="43"/>
        <v>0.39209903597441675</v>
      </c>
      <c r="H140" s="520">
        <f t="shared" si="44"/>
        <v>0.40238718879203272</v>
      </c>
      <c r="I140" s="520">
        <f t="shared" si="45"/>
        <v>0.29959604030798603</v>
      </c>
      <c r="J140" s="520">
        <f t="shared" si="46"/>
        <v>1.6409223178534074</v>
      </c>
      <c r="K140" s="520">
        <f t="shared" si="47"/>
        <v>0.58362218477984529</v>
      </c>
      <c r="L140" s="520">
        <f t="shared" si="48"/>
        <v>-0.97893686296975835</v>
      </c>
    </row>
    <row r="141" spans="1:12" x14ac:dyDescent="0.25">
      <c r="A141" s="546">
        <f t="shared" si="41"/>
        <v>465000</v>
      </c>
      <c r="B141" s="546">
        <f t="shared" si="41"/>
        <v>4.9145072820124849</v>
      </c>
      <c r="C141" s="561">
        <f t="shared" si="30"/>
        <v>0.40954227350104039</v>
      </c>
      <c r="D141" s="520">
        <f>SUM($B$87:$B141)/$B$147</f>
        <v>0.99957442784187633</v>
      </c>
      <c r="E141" s="519">
        <f t="shared" si="33"/>
        <v>9515.5667970734812</v>
      </c>
      <c r="F141" s="520">
        <f t="shared" si="42"/>
        <v>0.13763724034038449</v>
      </c>
      <c r="G141" s="520">
        <f t="shared" si="43"/>
        <v>0.39285675371421847</v>
      </c>
      <c r="H141" s="520">
        <f t="shared" si="44"/>
        <v>0.40315238394716624</v>
      </c>
      <c r="I141" s="520">
        <f t="shared" si="45"/>
        <v>0.30030737126415286</v>
      </c>
      <c r="J141" s="520">
        <f t="shared" si="46"/>
        <v>1.6492341441913481</v>
      </c>
      <c r="K141" s="520">
        <f t="shared" si="47"/>
        <v>0.5864751653391318</v>
      </c>
      <c r="L141" s="520">
        <f t="shared" si="48"/>
        <v>-0.98015711786815396</v>
      </c>
    </row>
    <row r="142" spans="1:12" x14ac:dyDescent="0.25">
      <c r="A142" s="546">
        <f t="shared" si="41"/>
        <v>625000</v>
      </c>
      <c r="B142" s="546">
        <f t="shared" si="41"/>
        <v>12.777718933232462</v>
      </c>
      <c r="C142" s="561">
        <f t="shared" si="30"/>
        <v>1.0648099111027052</v>
      </c>
      <c r="D142" s="520">
        <f>SUM($B$87:$B142)/$B$147</f>
        <v>0.99969737090977873</v>
      </c>
      <c r="E142" s="519">
        <f t="shared" si="33"/>
        <v>30810.918730391051</v>
      </c>
      <c r="F142" s="520">
        <f t="shared" si="42"/>
        <v>0.13768623308487737</v>
      </c>
      <c r="G142" s="520">
        <f t="shared" si="43"/>
        <v>0.3952843559702639</v>
      </c>
      <c r="H142" s="520">
        <f t="shared" si="44"/>
        <v>0.40560394260462007</v>
      </c>
      <c r="I142" s="520">
        <f t="shared" si="45"/>
        <v>0.30258635794121935</v>
      </c>
      <c r="J142" s="520">
        <f t="shared" si="46"/>
        <v>1.6758638603902991</v>
      </c>
      <c r="K142" s="520">
        <f t="shared" si="47"/>
        <v>0.5956156429581283</v>
      </c>
      <c r="L142" s="520">
        <f t="shared" si="48"/>
        <v>-0.98406661264264528</v>
      </c>
    </row>
    <row r="143" spans="1:12" x14ac:dyDescent="0.25">
      <c r="A143" s="546">
        <f t="shared" si="41"/>
        <v>655000</v>
      </c>
      <c r="B143" s="546">
        <f t="shared" si="41"/>
        <v>1.9658029128049941</v>
      </c>
      <c r="C143" s="561">
        <f t="shared" si="30"/>
        <v>0.16381690940041618</v>
      </c>
      <c r="D143" s="520">
        <f>SUM($B$87:$B143)/$B$147</f>
        <v>0.99971628522791756</v>
      </c>
      <c r="E143" s="519">
        <f t="shared" si="33"/>
        <v>5531.847198329393</v>
      </c>
      <c r="F143" s="520">
        <f t="shared" si="42"/>
        <v>0.13771480984092999</v>
      </c>
      <c r="G143" s="520">
        <f t="shared" si="43"/>
        <v>0.39670034109584495</v>
      </c>
      <c r="H143" s="520">
        <f t="shared" si="44"/>
        <v>0.40703390115108262</v>
      </c>
      <c r="I143" s="520">
        <f t="shared" si="45"/>
        <v>0.30391565775880136</v>
      </c>
      <c r="J143" s="520">
        <f t="shared" si="46"/>
        <v>1.6913965869488861</v>
      </c>
      <c r="K143" s="520">
        <f t="shared" si="47"/>
        <v>0.60094715075227989</v>
      </c>
      <c r="L143" s="520">
        <f t="shared" si="48"/>
        <v>-0.98634696414398004</v>
      </c>
    </row>
    <row r="144" spans="1:12" x14ac:dyDescent="0.25">
      <c r="A144" s="546">
        <f t="shared" si="41"/>
        <v>715000</v>
      </c>
      <c r="B144" s="546">
        <f t="shared" si="41"/>
        <v>7.8632116512199763</v>
      </c>
      <c r="C144" s="561">
        <f t="shared" si="30"/>
        <v>0.65526763760166473</v>
      </c>
      <c r="D144" s="520">
        <f>SUM($B$87:$B144)/$B$147</f>
        <v>0.99979194250047276</v>
      </c>
      <c r="E144" s="519">
        <f t="shared" si="33"/>
        <v>23575.321250817571</v>
      </c>
      <c r="F144" s="520">
        <f t="shared" si="42"/>
        <v>0.13772531810666022</v>
      </c>
      <c r="G144" s="520">
        <f t="shared" si="43"/>
        <v>0.39722102818650606</v>
      </c>
      <c r="H144" s="520">
        <f t="shared" si="44"/>
        <v>0.40755972655833594</v>
      </c>
      <c r="I144" s="520">
        <f t="shared" si="45"/>
        <v>0.30440446886432015</v>
      </c>
      <c r="J144" s="520">
        <f t="shared" si="46"/>
        <v>1.6971082925704457</v>
      </c>
      <c r="K144" s="520">
        <f t="shared" si="47"/>
        <v>0.60290765671524671</v>
      </c>
      <c r="L144" s="520">
        <f t="shared" si="48"/>
        <v>-0.98718549667335787</v>
      </c>
    </row>
    <row r="145" spans="1:16" x14ac:dyDescent="0.25">
      <c r="A145" s="546">
        <f t="shared" si="41"/>
        <v>845000</v>
      </c>
      <c r="B145" s="546">
        <f t="shared" si="41"/>
        <v>21.623832040854936</v>
      </c>
      <c r="C145" s="561">
        <f t="shared" si="30"/>
        <v>1.801986003404578</v>
      </c>
      <c r="D145" s="520">
        <f>SUM($B$87:$B145)/$B$147</f>
        <v>1</v>
      </c>
      <c r="E145" s="519">
        <f t="shared" si="33"/>
        <v>102656.31937412333</v>
      </c>
      <c r="F145" s="520">
        <f t="shared" si="42"/>
        <v>0.13778448745830518</v>
      </c>
      <c r="G145" s="520">
        <f t="shared" si="43"/>
        <v>0.40015288377100267</v>
      </c>
      <c r="H145" s="520">
        <f t="shared" si="44"/>
        <v>0.41052051468690065</v>
      </c>
      <c r="I145" s="520">
        <f t="shared" si="45"/>
        <v>0.30715683894451384</v>
      </c>
      <c r="J145" s="520">
        <f t="shared" si="46"/>
        <v>1.7292694433343425</v>
      </c>
      <c r="K145" s="520">
        <f t="shared" si="47"/>
        <v>0.61394676342454568</v>
      </c>
      <c r="L145" s="520">
        <f t="shared" si="48"/>
        <v>-0.99190705847723604</v>
      </c>
    </row>
    <row r="147" spans="1:16" x14ac:dyDescent="0.25">
      <c r="B147" s="546">
        <f>SUM(B87:B145)</f>
        <v>103931.99999999996</v>
      </c>
      <c r="C147" s="546">
        <f>SUM(C87:C145)</f>
        <v>8660.9999999999945</v>
      </c>
      <c r="E147" s="546">
        <f>SUM(E87:E145)</f>
        <v>3371326.406514097</v>
      </c>
    </row>
    <row r="148" spans="1:16" x14ac:dyDescent="0.25">
      <c r="A148" s="546">
        <f>MEDIAN(A87:A145)</f>
        <v>155000</v>
      </c>
      <c r="B148" s="546">
        <f>+B147/12</f>
        <v>8660.9999999999964</v>
      </c>
      <c r="C148" s="562">
        <f>SUM(C107:C145)</f>
        <v>47.015452997919439</v>
      </c>
    </row>
    <row r="149" spans="1:16" x14ac:dyDescent="0.25">
      <c r="B149">
        <f>(+D75/B148)/12</f>
        <v>4.5484041464611504</v>
      </c>
    </row>
    <row r="151" spans="1:16" x14ac:dyDescent="0.25">
      <c r="A151" s="484" t="s">
        <v>1435</v>
      </c>
      <c r="J151" s="484" t="s">
        <v>1436</v>
      </c>
    </row>
    <row r="153" spans="1:16" x14ac:dyDescent="0.25">
      <c r="A153" s="512" t="s">
        <v>1395</v>
      </c>
      <c r="B153" s="512" t="s">
        <v>1424</v>
      </c>
      <c r="C153" s="512" t="s">
        <v>1425</v>
      </c>
      <c r="D153" s="512" t="s">
        <v>1426</v>
      </c>
      <c r="E153" s="512" t="s">
        <v>1427</v>
      </c>
      <c r="F153" s="512" t="s">
        <v>1428</v>
      </c>
      <c r="G153" s="512" t="s">
        <v>1434</v>
      </c>
      <c r="H153" s="512" t="s">
        <v>1439</v>
      </c>
      <c r="J153" s="499" t="s">
        <v>1424</v>
      </c>
      <c r="K153" s="499" t="s">
        <v>1425</v>
      </c>
      <c r="L153" s="499" t="s">
        <v>1426</v>
      </c>
      <c r="M153" s="499" t="s">
        <v>1427</v>
      </c>
      <c r="N153" s="499" t="s">
        <v>1428</v>
      </c>
      <c r="O153" s="499" t="s">
        <v>1434</v>
      </c>
      <c r="P153" s="499" t="s">
        <v>1439</v>
      </c>
    </row>
    <row r="154" spans="1:16" x14ac:dyDescent="0.25">
      <c r="A154" s="546">
        <v>0</v>
      </c>
      <c r="B154" s="554">
        <f t="shared" ref="B154:B185" si="49">($B87/$B$147)*F87</f>
        <v>9.9225552083078948E-3</v>
      </c>
      <c r="C154" s="554">
        <f t="shared" ref="C154:C185" si="50">($B87/$B$147)*G87</f>
        <v>-4.8869910945730302E-2</v>
      </c>
      <c r="D154" s="554">
        <f t="shared" ref="D154:D185" si="51">($B87/$B$147)*H87</f>
        <v>-4.8869910945730302E-2</v>
      </c>
      <c r="E154" s="554">
        <f t="shared" ref="E154:E185" si="52">($B87/$B$147)*I87</f>
        <v>9.9225552083078948E-3</v>
      </c>
      <c r="F154" s="554">
        <f t="shared" ref="F154:F185" si="53">($B87/$B$147)*J87</f>
        <v>-5.8367971813575608E-4</v>
      </c>
      <c r="G154" s="554">
        <f t="shared" ref="G154:G185" si="54">($B87/$B$147)*K87</f>
        <v>-4.8869910945730302E-2</v>
      </c>
      <c r="H154" s="554">
        <f t="shared" ref="H154:H185" si="55">($B87/$B$147)*L87</f>
        <v>0.11307565231275822</v>
      </c>
      <c r="J154" s="554">
        <f t="shared" ref="J154:J185" si="56">($D15/$D$75)*B154</f>
        <v>0</v>
      </c>
      <c r="K154" s="554">
        <f t="shared" ref="K154:K185" si="57">($D15/$D$75)*C154</f>
        <v>0</v>
      </c>
      <c r="L154" s="554">
        <f t="shared" ref="L154:P154" si="58">($D15/$D$75)*D154</f>
        <v>0</v>
      </c>
      <c r="M154" s="554">
        <f t="shared" si="58"/>
        <v>0</v>
      </c>
      <c r="N154" s="554">
        <f t="shared" si="58"/>
        <v>0</v>
      </c>
      <c r="O154" s="554">
        <f t="shared" si="58"/>
        <v>0</v>
      </c>
      <c r="P154" s="554">
        <f t="shared" si="58"/>
        <v>0</v>
      </c>
    </row>
    <row r="155" spans="1:16" x14ac:dyDescent="0.25">
      <c r="A155" s="546">
        <v>1000</v>
      </c>
      <c r="B155" s="554">
        <f t="shared" si="49"/>
        <v>1.2064173374101015E-2</v>
      </c>
      <c r="C155" s="554">
        <f t="shared" si="50"/>
        <v>-3.6425561400446227E-2</v>
      </c>
      <c r="D155" s="554">
        <f t="shared" si="51"/>
        <v>-3.625511050999284E-2</v>
      </c>
      <c r="E155" s="554">
        <f t="shared" si="52"/>
        <v>1.2064173374101015E-2</v>
      </c>
      <c r="F155" s="554">
        <f t="shared" si="53"/>
        <v>-7.0965725730005684E-4</v>
      </c>
      <c r="G155" s="554">
        <f t="shared" si="54"/>
        <v>-3.7152947194881346E-2</v>
      </c>
      <c r="H155" s="554">
        <f t="shared" si="55"/>
        <v>0.13748114727026187</v>
      </c>
      <c r="J155" s="554">
        <f t="shared" si="56"/>
        <v>1.6612245727205355E-4</v>
      </c>
      <c r="K155" s="554">
        <f t="shared" si="57"/>
        <v>-5.0157632684113347E-4</v>
      </c>
      <c r="L155" s="554">
        <f t="shared" ref="L155:P155" si="59">($D16/$D$75)*D155</f>
        <v>-4.9922923517655966E-4</v>
      </c>
      <c r="M155" s="554">
        <f t="shared" si="59"/>
        <v>1.6612245727205355E-4</v>
      </c>
      <c r="N155" s="554">
        <f t="shared" si="59"/>
        <v>-9.7719092512972283E-6</v>
      </c>
      <c r="O155" s="554">
        <f t="shared" si="59"/>
        <v>-5.1159235627053082E-4</v>
      </c>
      <c r="P155" s="554">
        <f t="shared" si="59"/>
        <v>1.8931016079515557E-3</v>
      </c>
    </row>
    <row r="156" spans="1:16" x14ac:dyDescent="0.25">
      <c r="A156" s="546">
        <v>2000</v>
      </c>
      <c r="B156" s="554">
        <f t="shared" si="49"/>
        <v>1.7703492250822666E-2</v>
      </c>
      <c r="C156" s="554">
        <f t="shared" si="50"/>
        <v>3.4675066848358299E-3</v>
      </c>
      <c r="D156" s="554">
        <f t="shared" si="51"/>
        <v>4.1396071599063096E-3</v>
      </c>
      <c r="E156" s="554">
        <f t="shared" si="52"/>
        <v>1.7703492250822666E-2</v>
      </c>
      <c r="F156" s="554">
        <f t="shared" si="53"/>
        <v>-1.0413818971072115E-3</v>
      </c>
      <c r="G156" s="554">
        <f t="shared" si="54"/>
        <v>5.9937066806895921E-4</v>
      </c>
      <c r="H156" s="554">
        <f t="shared" si="55"/>
        <v>0.20174580966801275</v>
      </c>
      <c r="J156" s="554">
        <f t="shared" si="56"/>
        <v>9.6122409770729028E-4</v>
      </c>
      <c r="K156" s="554">
        <f t="shared" si="57"/>
        <v>1.8827081895496828E-4</v>
      </c>
      <c r="L156" s="554">
        <f t="shared" ref="L156:P156" si="60">($D17/$D$75)*D156</f>
        <v>2.2476300725122051E-4</v>
      </c>
      <c r="M156" s="554">
        <f t="shared" si="60"/>
        <v>9.6122409770729028E-4</v>
      </c>
      <c r="N156" s="554">
        <f t="shared" si="60"/>
        <v>-5.6542593982781555E-5</v>
      </c>
      <c r="O156" s="554">
        <f t="shared" si="60"/>
        <v>3.2543270075994687E-5</v>
      </c>
      <c r="P156" s="554">
        <f t="shared" si="60"/>
        <v>1.0953936721459624E-2</v>
      </c>
    </row>
    <row r="157" spans="1:16" x14ac:dyDescent="0.25">
      <c r="A157" s="546">
        <v>3000</v>
      </c>
      <c r="B157" s="554">
        <f t="shared" si="49"/>
        <v>1.8659221534763178E-2</v>
      </c>
      <c r="C157" s="554">
        <f t="shared" si="50"/>
        <v>3.0733427828505137E-2</v>
      </c>
      <c r="D157" s="554">
        <f t="shared" si="51"/>
        <v>3.1695560774084607E-2</v>
      </c>
      <c r="E157" s="554">
        <f t="shared" si="52"/>
        <v>1.6715850332179594E-2</v>
      </c>
      <c r="F157" s="554">
        <f t="shared" si="53"/>
        <v>-2.3232864480068553E-2</v>
      </c>
      <c r="G157" s="554">
        <f t="shared" si="54"/>
        <v>2.6627601011695954E-2</v>
      </c>
      <c r="H157" s="554">
        <f t="shared" si="55"/>
        <v>0.15522723713910858</v>
      </c>
      <c r="J157" s="554">
        <f t="shared" si="56"/>
        <v>1.6773549320071596E-3</v>
      </c>
      <c r="K157" s="554">
        <f t="shared" si="57"/>
        <v>2.7627554906075272E-3</v>
      </c>
      <c r="L157" s="554">
        <f t="shared" ref="L157:P157" si="61">($D18/$D$75)*D157</f>
        <v>2.8492456176745984E-3</v>
      </c>
      <c r="M157" s="554">
        <f t="shared" si="61"/>
        <v>1.5026572220678026E-3</v>
      </c>
      <c r="N157" s="554">
        <f t="shared" si="61"/>
        <v>-2.0884986947442628E-3</v>
      </c>
      <c r="O157" s="554">
        <f t="shared" si="61"/>
        <v>2.3936656629150155E-3</v>
      </c>
      <c r="P157" s="554">
        <f t="shared" si="61"/>
        <v>1.3954021142417039E-2</v>
      </c>
    </row>
    <row r="158" spans="1:16" x14ac:dyDescent="0.25">
      <c r="A158" s="546">
        <v>4000</v>
      </c>
      <c r="B158" s="554">
        <f t="shared" si="49"/>
        <v>1.6558994427613799E-2</v>
      </c>
      <c r="C158" s="554">
        <f t="shared" si="50"/>
        <v>2.425471118834267E-2</v>
      </c>
      <c r="D158" s="554">
        <f t="shared" si="51"/>
        <v>2.5145079833720326E-2</v>
      </c>
      <c r="E158" s="554">
        <f t="shared" si="52"/>
        <v>1.2674182604638684E-2</v>
      </c>
      <c r="F158" s="554">
        <f t="shared" si="53"/>
        <v>-4.522259532773866E-2</v>
      </c>
      <c r="G158" s="554">
        <f t="shared" si="54"/>
        <v>2.0455132889071481E-2</v>
      </c>
      <c r="H158" s="554">
        <f t="shared" si="55"/>
        <v>7.3940567976247956E-2</v>
      </c>
      <c r="J158" s="554">
        <f t="shared" si="56"/>
        <v>1.7492841494792513E-3</v>
      </c>
      <c r="K158" s="554">
        <f t="shared" si="57"/>
        <v>2.5622559399628318E-3</v>
      </c>
      <c r="L158" s="554">
        <f t="shared" ref="L158:P158" si="62">($D19/$D$75)*D158</f>
        <v>2.6563140523295551E-3</v>
      </c>
      <c r="M158" s="554">
        <f t="shared" si="62"/>
        <v>1.3388945104618271E-3</v>
      </c>
      <c r="N158" s="554">
        <f t="shared" si="62"/>
        <v>-4.7772930627483319E-3</v>
      </c>
      <c r="O158" s="554">
        <f t="shared" si="62"/>
        <v>2.1608703290988867E-3</v>
      </c>
      <c r="P158" s="554">
        <f t="shared" si="62"/>
        <v>7.8110457811768463E-3</v>
      </c>
    </row>
    <row r="159" spans="1:16" x14ac:dyDescent="0.25">
      <c r="A159" s="546">
        <v>5000</v>
      </c>
      <c r="B159" s="554">
        <f t="shared" si="49"/>
        <v>1.319739361411164E-2</v>
      </c>
      <c r="C159" s="554">
        <f t="shared" si="50"/>
        <v>1.786166194554873E-2</v>
      </c>
      <c r="D159" s="554">
        <f t="shared" si="51"/>
        <v>1.8589053527322395E-2</v>
      </c>
      <c r="E159" s="554">
        <f t="shared" si="52"/>
        <v>9.0501595387492556E-3</v>
      </c>
      <c r="F159" s="554">
        <f t="shared" si="53"/>
        <v>-3.7482683671477411E-2</v>
      </c>
      <c r="G159" s="554">
        <f t="shared" si="54"/>
        <v>1.4757575471336236E-2</v>
      </c>
      <c r="H159" s="554">
        <f t="shared" si="55"/>
        <v>2.7880051716956896E-2</v>
      </c>
      <c r="J159" s="554">
        <f t="shared" si="56"/>
        <v>1.3847408433208437E-3</v>
      </c>
      <c r="K159" s="554">
        <f t="shared" si="57"/>
        <v>1.8741407242066168E-3</v>
      </c>
      <c r="L159" s="554">
        <f t="shared" ref="L159:P159" si="63">($D20/$D$75)*D159</f>
        <v>1.9504625239362787E-3</v>
      </c>
      <c r="M159" s="554">
        <f t="shared" si="63"/>
        <v>9.4959095093409475E-4</v>
      </c>
      <c r="N159" s="554">
        <f t="shared" si="63"/>
        <v>-3.9328828490551816E-3</v>
      </c>
      <c r="O159" s="554">
        <f t="shared" si="63"/>
        <v>1.5484434352020886E-3</v>
      </c>
      <c r="P159" s="554">
        <f t="shared" si="63"/>
        <v>2.9253235491200711E-3</v>
      </c>
    </row>
    <row r="160" spans="1:16" x14ac:dyDescent="0.25">
      <c r="A160" s="546">
        <v>6000</v>
      </c>
      <c r="B160" s="554">
        <f t="shared" si="49"/>
        <v>8.9149112647255151E-3</v>
      </c>
      <c r="C160" s="554">
        <f t="shared" si="50"/>
        <v>1.1408818606832639E-2</v>
      </c>
      <c r="D160" s="554">
        <f t="shared" si="51"/>
        <v>1.1908122192697769E-2</v>
      </c>
      <c r="E160" s="554">
        <f t="shared" si="52"/>
        <v>5.6435208944516455E-3</v>
      </c>
      <c r="F160" s="554">
        <f t="shared" si="53"/>
        <v>-1.785184944846192E-2</v>
      </c>
      <c r="G160" s="554">
        <f t="shared" si="54"/>
        <v>9.2780797500114521E-3</v>
      </c>
      <c r="H160" s="554">
        <f t="shared" si="55"/>
        <v>4.9512966509696671E-3</v>
      </c>
      <c r="J160" s="554">
        <f t="shared" si="56"/>
        <v>7.5530771329708317E-4</v>
      </c>
      <c r="K160" s="554">
        <f t="shared" si="57"/>
        <v>9.6660173471881355E-4</v>
      </c>
      <c r="L160" s="554">
        <f t="shared" ref="L160:P160" si="64">($D21/$D$75)*D160</f>
        <v>1.008904774926633E-3</v>
      </c>
      <c r="M160" s="554">
        <f t="shared" si="64"/>
        <v>4.7814215253031182E-4</v>
      </c>
      <c r="N160" s="554">
        <f t="shared" si="64"/>
        <v>-1.5124816371861803E-3</v>
      </c>
      <c r="O160" s="554">
        <f t="shared" si="64"/>
        <v>7.8607683146523046E-4</v>
      </c>
      <c r="P160" s="554">
        <f t="shared" si="64"/>
        <v>4.1949408583536255E-4</v>
      </c>
    </row>
    <row r="161" spans="1:16" x14ac:dyDescent="0.25">
      <c r="A161" s="546">
        <v>7000</v>
      </c>
      <c r="B161" s="554">
        <f t="shared" si="49"/>
        <v>5.8607637761594984E-3</v>
      </c>
      <c r="C161" s="554">
        <f t="shared" si="50"/>
        <v>7.1912683652293925E-3</v>
      </c>
      <c r="D161" s="554">
        <f t="shared" si="51"/>
        <v>7.5232548348165458E-3</v>
      </c>
      <c r="E161" s="554">
        <f t="shared" si="52"/>
        <v>3.4890362873857294E-3</v>
      </c>
      <c r="F161" s="554">
        <f t="shared" si="53"/>
        <v>-8.2225937627578433E-3</v>
      </c>
      <c r="G161" s="554">
        <f t="shared" si="54"/>
        <v>5.7745421675543139E-3</v>
      </c>
      <c r="H161" s="554">
        <f t="shared" si="55"/>
        <v>-3.2759239002408866E-3</v>
      </c>
      <c r="J161" s="554">
        <f t="shared" si="56"/>
        <v>3.7971893293282618E-4</v>
      </c>
      <c r="K161" s="554">
        <f t="shared" si="57"/>
        <v>4.6592233612730076E-4</v>
      </c>
      <c r="L161" s="554">
        <f t="shared" ref="L161:P161" si="65">($D22/$D$75)*D161</f>
        <v>4.8743174220378604E-4</v>
      </c>
      <c r="M161" s="554">
        <f t="shared" si="65"/>
        <v>2.260546895609879E-4</v>
      </c>
      <c r="N161" s="554">
        <f t="shared" si="65"/>
        <v>-5.3274191705786789E-4</v>
      </c>
      <c r="O161" s="554">
        <f t="shared" si="65"/>
        <v>3.7413263420696852E-4</v>
      </c>
      <c r="P161" s="554">
        <f t="shared" si="65"/>
        <v>-2.1224713625699943E-4</v>
      </c>
    </row>
    <row r="162" spans="1:16" x14ac:dyDescent="0.25">
      <c r="A162" s="546">
        <v>8000</v>
      </c>
      <c r="B162" s="554">
        <f t="shared" si="49"/>
        <v>3.6424675911131679E-3</v>
      </c>
      <c r="C162" s="554">
        <f t="shared" si="50"/>
        <v>4.3244809192697041E-3</v>
      </c>
      <c r="D162" s="554">
        <f t="shared" si="51"/>
        <v>4.5325636841784898E-3</v>
      </c>
      <c r="E162" s="554">
        <f t="shared" si="52"/>
        <v>2.0647761339164829E-3</v>
      </c>
      <c r="F162" s="554">
        <f t="shared" si="53"/>
        <v>-3.4629377034442813E-3</v>
      </c>
      <c r="G162" s="554">
        <f t="shared" si="54"/>
        <v>3.4365040547380534E-3</v>
      </c>
      <c r="H162" s="554">
        <f t="shared" si="55"/>
        <v>-5.0982977408166007E-3</v>
      </c>
      <c r="J162" s="554">
        <f t="shared" si="56"/>
        <v>1.6735478258023457E-4</v>
      </c>
      <c r="K162" s="554">
        <f t="shared" si="57"/>
        <v>1.9869018623047753E-4</v>
      </c>
      <c r="L162" s="554">
        <f t="shared" ref="L162:P162" si="66">($D23/$D$75)*D162</f>
        <v>2.0825064078742846E-4</v>
      </c>
      <c r="M162" s="554">
        <f t="shared" si="66"/>
        <v>9.4867051613998664E-5</v>
      </c>
      <c r="N162" s="554">
        <f t="shared" si="66"/>
        <v>-1.591062025816687E-4</v>
      </c>
      <c r="O162" s="554">
        <f t="shared" si="66"/>
        <v>1.5789169691445942E-4</v>
      </c>
      <c r="P162" s="554">
        <f t="shared" si="66"/>
        <v>-2.3424354193990533E-4</v>
      </c>
    </row>
    <row r="163" spans="1:16" x14ac:dyDescent="0.25">
      <c r="A163" s="546">
        <v>9000</v>
      </c>
      <c r="B163" s="554">
        <f t="shared" si="49"/>
        <v>2.3789025939739755E-3</v>
      </c>
      <c r="C163" s="554">
        <f t="shared" si="50"/>
        <v>2.749712440966228E-3</v>
      </c>
      <c r="D163" s="554">
        <f t="shared" si="51"/>
        <v>2.8865144100001256E-3</v>
      </c>
      <c r="E163" s="554">
        <f t="shared" si="52"/>
        <v>1.2951285516373705E-3</v>
      </c>
      <c r="F163" s="554">
        <f t="shared" si="53"/>
        <v>-1.4133159453884804E-3</v>
      </c>
      <c r="G163" s="554">
        <f t="shared" si="54"/>
        <v>2.1659207772129615E-3</v>
      </c>
      <c r="H163" s="554">
        <f t="shared" si="55"/>
        <v>-4.9066487242323568E-3</v>
      </c>
      <c r="J163" s="554">
        <f t="shared" si="56"/>
        <v>8.0347126453784748E-5</v>
      </c>
      <c r="K163" s="554">
        <f t="shared" si="57"/>
        <v>9.2871180924138151E-5</v>
      </c>
      <c r="L163" s="554">
        <f t="shared" ref="L163:P163" si="67">($D24/$D$75)*D163</f>
        <v>9.7491649678485792E-5</v>
      </c>
      <c r="M163" s="554">
        <f t="shared" si="67"/>
        <v>4.3742798791304053E-5</v>
      </c>
      <c r="N163" s="554">
        <f t="shared" si="67"/>
        <v>-4.7734562680678148E-5</v>
      </c>
      <c r="O163" s="554">
        <f t="shared" si="67"/>
        <v>7.3153693226631259E-5</v>
      </c>
      <c r="P163" s="554">
        <f t="shared" si="67"/>
        <v>-1.6572142403343463E-4</v>
      </c>
    </row>
    <row r="164" spans="1:16" x14ac:dyDescent="0.25">
      <c r="A164" s="546">
        <v>10000</v>
      </c>
      <c r="B164" s="554">
        <f t="shared" si="49"/>
        <v>1.5807672451801467E-3</v>
      </c>
      <c r="C164" s="554">
        <f t="shared" si="50"/>
        <v>1.7888071711075015E-3</v>
      </c>
      <c r="D164" s="554">
        <f t="shared" si="51"/>
        <v>1.8801754097481516E-3</v>
      </c>
      <c r="E164" s="554">
        <f t="shared" si="52"/>
        <v>8.3316120027865533E-4</v>
      </c>
      <c r="F164" s="554">
        <f t="shared" si="53"/>
        <v>-5.0299005550354147E-4</v>
      </c>
      <c r="G164" s="554">
        <f t="shared" si="54"/>
        <v>1.3989003852116599E-3</v>
      </c>
      <c r="H164" s="554">
        <f t="shared" si="55"/>
        <v>-4.0711846956085493E-3</v>
      </c>
      <c r="J164" s="554">
        <f t="shared" si="56"/>
        <v>3.9307275961797747E-5</v>
      </c>
      <c r="K164" s="554">
        <f t="shared" si="57"/>
        <v>4.448038592117484E-5</v>
      </c>
      <c r="L164" s="554">
        <f t="shared" ref="L164:P164" si="68">($D25/$D$75)*D164</f>
        <v>4.6752343782992846E-5</v>
      </c>
      <c r="M164" s="554">
        <f t="shared" si="68"/>
        <v>2.0717342999021711E-5</v>
      </c>
      <c r="N164" s="554">
        <f t="shared" si="68"/>
        <v>-1.2507324514726086E-5</v>
      </c>
      <c r="O164" s="554">
        <f t="shared" si="68"/>
        <v>3.478498409695571E-5</v>
      </c>
      <c r="P164" s="554">
        <f t="shared" si="68"/>
        <v>-1.0123386653516842E-4</v>
      </c>
    </row>
    <row r="165" spans="1:16" x14ac:dyDescent="0.25">
      <c r="A165" s="546">
        <v>11000</v>
      </c>
      <c r="B165" s="554">
        <f t="shared" si="49"/>
        <v>1.0431322732544048E-3</v>
      </c>
      <c r="C165" s="554">
        <f t="shared" si="50"/>
        <v>1.1588575812697169E-3</v>
      </c>
      <c r="D165" s="554">
        <f t="shared" si="51"/>
        <v>1.2194113742674826E-3</v>
      </c>
      <c r="E165" s="554">
        <f t="shared" si="52"/>
        <v>5.3437147988975951E-4</v>
      </c>
      <c r="F165" s="554">
        <f t="shared" si="53"/>
        <v>-8.6810791337213507E-5</v>
      </c>
      <c r="G165" s="554">
        <f t="shared" si="54"/>
        <v>9.0044902318838556E-4</v>
      </c>
      <c r="H165" s="554">
        <f t="shared" si="55"/>
        <v>-3.1421547121937626E-3</v>
      </c>
      <c r="J165" s="554">
        <f t="shared" si="56"/>
        <v>1.8854278949517266E-5</v>
      </c>
      <c r="K165" s="554">
        <f t="shared" si="57"/>
        <v>2.0945976517297688E-5</v>
      </c>
      <c r="L165" s="554">
        <f t="shared" ref="L165:P165" si="69">($D26/$D$75)*D165</f>
        <v>2.2040466769305024E-5</v>
      </c>
      <c r="M165" s="554">
        <f t="shared" si="69"/>
        <v>9.6585919186211291E-6</v>
      </c>
      <c r="N165" s="554">
        <f t="shared" si="69"/>
        <v>-1.5690770170438201E-6</v>
      </c>
      <c r="O165" s="554">
        <f t="shared" si="69"/>
        <v>1.6275325285495831E-5</v>
      </c>
      <c r="P165" s="554">
        <f t="shared" si="69"/>
        <v>-5.6793431633950434E-5</v>
      </c>
    </row>
    <row r="166" spans="1:16" x14ac:dyDescent="0.25">
      <c r="A166" s="546">
        <v>12000</v>
      </c>
      <c r="B166" s="554">
        <f t="shared" si="49"/>
        <v>7.0036190105720079E-4</v>
      </c>
      <c r="C166" s="554">
        <f t="shared" si="50"/>
        <v>7.6632002574845157E-4</v>
      </c>
      <c r="D166" s="554">
        <f t="shared" si="51"/>
        <v>8.0711804759050218E-4</v>
      </c>
      <c r="E166" s="554">
        <f t="shared" si="52"/>
        <v>3.5037932635998504E-4</v>
      </c>
      <c r="F166" s="554">
        <f t="shared" si="53"/>
        <v>7.5195975402679769E-5</v>
      </c>
      <c r="G166" s="554">
        <f t="shared" si="54"/>
        <v>5.9221767022525087E-4</v>
      </c>
      <c r="H166" s="554">
        <f t="shared" si="55"/>
        <v>-2.357774480334088E-3</v>
      </c>
      <c r="J166" s="554">
        <f t="shared" si="56"/>
        <v>9.2637344484755196E-6</v>
      </c>
      <c r="K166" s="554">
        <f t="shared" si="57"/>
        <v>1.0136167045018603E-5</v>
      </c>
      <c r="L166" s="554">
        <f t="shared" ref="L166:P166" si="70">($D27/$D$75)*D166</f>
        <v>1.0675805251776216E-5</v>
      </c>
      <c r="M166" s="554">
        <f t="shared" si="70"/>
        <v>4.6344911548373092E-6</v>
      </c>
      <c r="N166" s="554">
        <f t="shared" si="70"/>
        <v>9.946222755307034E-7</v>
      </c>
      <c r="O166" s="554">
        <f t="shared" si="70"/>
        <v>7.8333033598489541E-6</v>
      </c>
      <c r="P166" s="554">
        <f t="shared" si="70"/>
        <v>-3.1186443240611785E-5</v>
      </c>
    </row>
    <row r="167" spans="1:16" x14ac:dyDescent="0.25">
      <c r="A167" s="546">
        <v>13000</v>
      </c>
      <c r="B167" s="554">
        <f t="shared" si="49"/>
        <v>5.4908295799980633E-4</v>
      </c>
      <c r="C167" s="554">
        <f t="shared" si="50"/>
        <v>5.9315164032763053E-4</v>
      </c>
      <c r="D167" s="554">
        <f t="shared" si="51"/>
        <v>6.2522970547658366E-4</v>
      </c>
      <c r="E167" s="554">
        <f t="shared" si="52"/>
        <v>2.6922945861946332E-4</v>
      </c>
      <c r="F167" s="554">
        <f t="shared" si="53"/>
        <v>1.458447382564852E-4</v>
      </c>
      <c r="G167" s="554">
        <f t="shared" si="54"/>
        <v>4.5626101546643235E-4</v>
      </c>
      <c r="H167" s="554">
        <f t="shared" si="55"/>
        <v>-2.0100115382651906E-3</v>
      </c>
      <c r="J167" s="554">
        <f t="shared" si="56"/>
        <v>6.1545984458304096E-6</v>
      </c>
      <c r="K167" s="554">
        <f t="shared" si="57"/>
        <v>6.6485584928743692E-6</v>
      </c>
      <c r="L167" s="554">
        <f t="shared" ref="L167:P167" si="71">($D28/$D$75)*D167</f>
        <v>7.0081172936613767E-6</v>
      </c>
      <c r="M167" s="554">
        <f t="shared" si="71"/>
        <v>3.0177574871877484E-6</v>
      </c>
      <c r="N167" s="554">
        <f t="shared" si="71"/>
        <v>1.6347544325100384E-6</v>
      </c>
      <c r="O167" s="554">
        <f t="shared" si="71"/>
        <v>5.1141695362610383E-6</v>
      </c>
      <c r="P167" s="554">
        <f t="shared" si="71"/>
        <v>-2.2529954188657399E-5</v>
      </c>
    </row>
    <row r="168" spans="1:16" x14ac:dyDescent="0.25">
      <c r="A168" s="546">
        <v>14000</v>
      </c>
      <c r="B168" s="554">
        <f t="shared" si="49"/>
        <v>4.0262696663069113E-4</v>
      </c>
      <c r="C168" s="554">
        <f t="shared" si="50"/>
        <v>4.3009261965817864E-4</v>
      </c>
      <c r="D168" s="554">
        <f t="shared" si="51"/>
        <v>4.5367321649723776E-4</v>
      </c>
      <c r="E168" s="554">
        <f t="shared" si="52"/>
        <v>1.9394949266538587E-4</v>
      </c>
      <c r="F168" s="554">
        <f t="shared" si="53"/>
        <v>1.6207114999862364E-4</v>
      </c>
      <c r="G168" s="554">
        <f t="shared" si="54"/>
        <v>3.2946427374922328E-4</v>
      </c>
      <c r="H168" s="554">
        <f t="shared" si="55"/>
        <v>-1.5763587435581002E-3</v>
      </c>
      <c r="J168" s="554">
        <f t="shared" si="56"/>
        <v>3.558755475122628E-6</v>
      </c>
      <c r="K168" s="554">
        <f t="shared" si="57"/>
        <v>3.8015199971002247E-6</v>
      </c>
      <c r="L168" s="554">
        <f t="shared" ref="L168:P168" si="72">($D29/$D$75)*D168</f>
        <v>4.0099451277115935E-6</v>
      </c>
      <c r="M168" s="554">
        <f t="shared" si="72"/>
        <v>1.7142885999320059E-6</v>
      </c>
      <c r="N168" s="554">
        <f t="shared" si="72"/>
        <v>1.4325210187574578E-6</v>
      </c>
      <c r="O168" s="554">
        <f t="shared" si="72"/>
        <v>2.9120821138088507E-6</v>
      </c>
      <c r="P168" s="554">
        <f t="shared" si="72"/>
        <v>-1.3933183254812795E-5</v>
      </c>
    </row>
    <row r="169" spans="1:16" x14ac:dyDescent="0.25">
      <c r="A169" s="546">
        <v>15000</v>
      </c>
      <c r="B169" s="554">
        <f t="shared" si="49"/>
        <v>3.5258336857168246E-4</v>
      </c>
      <c r="C169" s="554">
        <f t="shared" si="50"/>
        <v>3.7289396683976023E-4</v>
      </c>
      <c r="D169" s="554">
        <f t="shared" si="51"/>
        <v>3.935889307679614E-4</v>
      </c>
      <c r="E169" s="554">
        <f t="shared" si="52"/>
        <v>1.6716639646577515E-4</v>
      </c>
      <c r="F169" s="554">
        <f t="shared" si="53"/>
        <v>1.8446366795841937E-4</v>
      </c>
      <c r="G169" s="554">
        <f t="shared" si="54"/>
        <v>2.8457983285266382E-4</v>
      </c>
      <c r="H169" s="554">
        <f t="shared" si="55"/>
        <v>-1.4594989615902469E-3</v>
      </c>
      <c r="J169" s="554">
        <f t="shared" si="56"/>
        <v>2.9236063437967265E-6</v>
      </c>
      <c r="K169" s="554">
        <f t="shared" si="57"/>
        <v>3.0920209635316518E-6</v>
      </c>
      <c r="L169" s="554">
        <f t="shared" ref="L169:P169" si="73">($D30/$D$75)*D169</f>
        <v>3.2636227270244538E-6</v>
      </c>
      <c r="M169" s="554">
        <f t="shared" si="73"/>
        <v>1.3861366721771993E-6</v>
      </c>
      <c r="N169" s="554">
        <f t="shared" si="73"/>
        <v>1.5295649140455836E-6</v>
      </c>
      <c r="O169" s="554">
        <f t="shared" si="73"/>
        <v>2.3597239087455969E-6</v>
      </c>
      <c r="P169" s="554">
        <f t="shared" si="73"/>
        <v>-1.2102103511449299E-5</v>
      </c>
    </row>
    <row r="170" spans="1:16" x14ac:dyDescent="0.25">
      <c r="A170" s="546">
        <v>25000</v>
      </c>
      <c r="B170" s="554">
        <f t="shared" si="49"/>
        <v>1.4005122958548879E-3</v>
      </c>
      <c r="C170" s="554">
        <f t="shared" si="50"/>
        <v>1.8667832762600182E-3</v>
      </c>
      <c r="D170" s="554">
        <f t="shared" si="51"/>
        <v>1.9526468999770162E-3</v>
      </c>
      <c r="E170" s="554">
        <f t="shared" si="52"/>
        <v>1.0327875640597033E-3</v>
      </c>
      <c r="F170" s="554">
        <f t="shared" si="53"/>
        <v>2.8336132990070266E-3</v>
      </c>
      <c r="G170" s="554">
        <f t="shared" si="54"/>
        <v>1.5003670024327758E-3</v>
      </c>
      <c r="H170" s="554">
        <f t="shared" si="55"/>
        <v>-6.6573448277644246E-3</v>
      </c>
      <c r="J170" s="554">
        <f t="shared" si="56"/>
        <v>5.9538905689220918E-5</v>
      </c>
      <c r="K170" s="554">
        <f t="shared" si="57"/>
        <v>7.936112646523763E-5</v>
      </c>
      <c r="L170" s="554">
        <f t="shared" ref="L170:P170" si="74">($D31/$D$75)*D170</f>
        <v>8.3011380882676034E-5</v>
      </c>
      <c r="M170" s="554">
        <f t="shared" si="74"/>
        <v>4.3906106041015571E-5</v>
      </c>
      <c r="N170" s="554">
        <f t="shared" si="74"/>
        <v>1.2046323011132076E-4</v>
      </c>
      <c r="O170" s="554">
        <f t="shared" si="74"/>
        <v>6.3783952287642008E-5</v>
      </c>
      <c r="P170" s="554">
        <f t="shared" si="74"/>
        <v>-2.830185975617869E-4</v>
      </c>
    </row>
    <row r="171" spans="1:16" x14ac:dyDescent="0.25">
      <c r="A171" s="546">
        <v>35000</v>
      </c>
      <c r="B171" s="554">
        <f t="shared" si="49"/>
        <v>4.611274688412386E-4</v>
      </c>
      <c r="C171" s="554">
        <f t="shared" si="50"/>
        <v>8.4584873043876108E-4</v>
      </c>
      <c r="D171" s="554">
        <f t="shared" si="51"/>
        <v>8.761705145084981E-4</v>
      </c>
      <c r="E171" s="554">
        <f t="shared" si="52"/>
        <v>5.5956071698476449E-4</v>
      </c>
      <c r="F171" s="554">
        <f t="shared" si="53"/>
        <v>2.0805034245990517E-3</v>
      </c>
      <c r="G171" s="554">
        <f t="shared" si="54"/>
        <v>7.164528972131959E-4</v>
      </c>
      <c r="H171" s="554">
        <f t="shared" si="55"/>
        <v>-2.5518028900274859E-3</v>
      </c>
      <c r="J171" s="554">
        <f t="shared" si="56"/>
        <v>9.9614949858599648E-6</v>
      </c>
      <c r="K171" s="554">
        <f t="shared" si="57"/>
        <v>1.8272426728850309E-5</v>
      </c>
      <c r="L171" s="554">
        <f t="shared" ref="L171:P171" si="75">($D32/$D$75)*D171</f>
        <v>1.8927452335396871E-5</v>
      </c>
      <c r="M171" s="554">
        <f t="shared" si="75"/>
        <v>1.2087896846689542E-5</v>
      </c>
      <c r="N171" s="554">
        <f t="shared" si="75"/>
        <v>4.4944024879470617E-5</v>
      </c>
      <c r="O171" s="554">
        <f t="shared" si="75"/>
        <v>1.5477156373113983E-5</v>
      </c>
      <c r="P171" s="554">
        <f t="shared" si="75"/>
        <v>-5.5125260175432168E-5</v>
      </c>
    </row>
    <row r="172" spans="1:16" x14ac:dyDescent="0.25">
      <c r="A172" s="546">
        <v>45000</v>
      </c>
      <c r="B172" s="554">
        <f t="shared" si="49"/>
        <v>3.1761734934390511E-4</v>
      </c>
      <c r="C172" s="554">
        <f t="shared" si="50"/>
        <v>6.6404973024271948E-4</v>
      </c>
      <c r="D172" s="554">
        <f t="shared" si="51"/>
        <v>6.8565726268460562E-4</v>
      </c>
      <c r="E172" s="554">
        <f t="shared" si="52"/>
        <v>4.6274121874626309E-4</v>
      </c>
      <c r="F172" s="554">
        <f t="shared" si="53"/>
        <v>1.8372448886500939E-3</v>
      </c>
      <c r="G172" s="554">
        <f t="shared" si="54"/>
        <v>5.7184128176106209E-4</v>
      </c>
      <c r="H172" s="554">
        <f t="shared" si="55"/>
        <v>-1.8843961498947071E-3</v>
      </c>
      <c r="J172" s="554">
        <f t="shared" si="56"/>
        <v>6.3340467852820616E-6</v>
      </c>
      <c r="K172" s="554">
        <f t="shared" si="57"/>
        <v>1.3242733962108202E-5</v>
      </c>
      <c r="L172" s="554">
        <f t="shared" ref="L172:P172" si="76">($D33/$D$75)*D172</f>
        <v>1.3673639646838969E-5</v>
      </c>
      <c r="M172" s="554">
        <f t="shared" si="76"/>
        <v>9.2281625517995832E-6</v>
      </c>
      <c r="N172" s="554">
        <f t="shared" si="76"/>
        <v>3.6639040986799728E-5</v>
      </c>
      <c r="O172" s="554">
        <f t="shared" si="76"/>
        <v>1.1403877779070491E-5</v>
      </c>
      <c r="P172" s="554">
        <f t="shared" si="76"/>
        <v>-3.75793494911222E-5</v>
      </c>
    </row>
    <row r="173" spans="1:16" x14ac:dyDescent="0.25">
      <c r="A173" s="546">
        <v>55000</v>
      </c>
      <c r="B173" s="554">
        <f t="shared" si="49"/>
        <v>2.055996218369956E-4</v>
      </c>
      <c r="C173" s="554">
        <f t="shared" si="50"/>
        <v>4.6237114932920216E-4</v>
      </c>
      <c r="D173" s="554">
        <f t="shared" si="51"/>
        <v>4.7664654236668932E-4</v>
      </c>
      <c r="E173" s="554">
        <f t="shared" si="52"/>
        <v>3.3041618199021201E-4</v>
      </c>
      <c r="F173" s="554">
        <f t="shared" si="53"/>
        <v>1.3506878061849751E-3</v>
      </c>
      <c r="G173" s="554">
        <f t="shared" si="54"/>
        <v>3.9011737525770825E-4</v>
      </c>
      <c r="H173" s="554">
        <f t="shared" si="55"/>
        <v>-1.2704168778866246E-3</v>
      </c>
      <c r="J173" s="554">
        <f t="shared" si="56"/>
        <v>3.319029283222781E-6</v>
      </c>
      <c r="K173" s="554">
        <f t="shared" si="57"/>
        <v>7.4641352480583947E-6</v>
      </c>
      <c r="L173" s="554">
        <f t="shared" ref="L173:P173" si="77">($D34/$D$75)*D173</f>
        <v>7.6945853194038507E-6</v>
      </c>
      <c r="M173" s="554">
        <f t="shared" si="77"/>
        <v>5.3339640115955125E-6</v>
      </c>
      <c r="N173" s="554">
        <f t="shared" si="77"/>
        <v>2.1804380480690177E-5</v>
      </c>
      <c r="O173" s="554">
        <f t="shared" si="77"/>
        <v>6.2977304180106996E-6</v>
      </c>
      <c r="P173" s="554">
        <f t="shared" si="77"/>
        <v>-2.0508553381237011E-5</v>
      </c>
    </row>
    <row r="174" spans="1:16" x14ac:dyDescent="0.25">
      <c r="A174" s="546">
        <v>65000</v>
      </c>
      <c r="B174" s="554">
        <f t="shared" si="49"/>
        <v>1.3135531539522143E-4</v>
      </c>
      <c r="C174" s="554">
        <f t="shared" si="50"/>
        <v>3.0891099957190194E-4</v>
      </c>
      <c r="D174" s="554">
        <f t="shared" si="51"/>
        <v>3.1815119362539753E-4</v>
      </c>
      <c r="E174" s="554">
        <f t="shared" si="52"/>
        <v>2.2392349512701646E-4</v>
      </c>
      <c r="F174" s="554">
        <f t="shared" si="53"/>
        <v>9.2998036520490967E-4</v>
      </c>
      <c r="G174" s="554">
        <f t="shared" si="54"/>
        <v>3.0197552270603488E-4</v>
      </c>
      <c r="H174" s="554">
        <f t="shared" si="55"/>
        <v>-8.3267743051611287E-4</v>
      </c>
      <c r="J174" s="554">
        <f t="shared" si="56"/>
        <v>1.6095776820526473E-6</v>
      </c>
      <c r="K174" s="554">
        <f t="shared" si="57"/>
        <v>3.7852769730367259E-6</v>
      </c>
      <c r="L174" s="554">
        <f t="shared" ref="L174:P174" si="78">($D35/$D$75)*D174</f>
        <v>3.8985027688988332E-6</v>
      </c>
      <c r="M174" s="554">
        <f t="shared" si="78"/>
        <v>2.7438726720668526E-6</v>
      </c>
      <c r="N174" s="554">
        <f t="shared" si="78"/>
        <v>1.1395622903246804E-5</v>
      </c>
      <c r="O174" s="554">
        <f t="shared" si="78"/>
        <v>3.7002922981181338E-6</v>
      </c>
      <c r="P174" s="554">
        <f t="shared" si="78"/>
        <v>-1.0203310040976357E-5</v>
      </c>
    </row>
    <row r="175" spans="1:16" x14ac:dyDescent="0.25">
      <c r="A175" s="546">
        <v>75000</v>
      </c>
      <c r="B175" s="554">
        <f t="shared" si="49"/>
        <v>9.8050144376421366E-5</v>
      </c>
      <c r="C175" s="554">
        <f t="shared" si="50"/>
        <v>2.389669440647731E-4</v>
      </c>
      <c r="D175" s="554">
        <f t="shared" si="51"/>
        <v>2.4593861582496748E-4</v>
      </c>
      <c r="E175" s="554">
        <f t="shared" si="52"/>
        <v>1.7510431787543312E-4</v>
      </c>
      <c r="F175" s="554">
        <f t="shared" si="53"/>
        <v>7.357784452148708E-4</v>
      </c>
      <c r="G175" s="554">
        <f t="shared" si="54"/>
        <v>2.5812771613693131E-4</v>
      </c>
      <c r="H175" s="554">
        <f t="shared" si="55"/>
        <v>-6.3459486678363504E-4</v>
      </c>
      <c r="J175" s="554">
        <f t="shared" si="56"/>
        <v>1.0591324453972123E-6</v>
      </c>
      <c r="K175" s="554">
        <f t="shared" si="57"/>
        <v>2.581308221890652E-6</v>
      </c>
      <c r="L175" s="554">
        <f t="shared" ref="L175:P175" si="79">($D36/$D$75)*D175</f>
        <v>2.656615849501418E-6</v>
      </c>
      <c r="M175" s="554">
        <f t="shared" si="79"/>
        <v>1.8914675299103026E-6</v>
      </c>
      <c r="N175" s="554">
        <f t="shared" si="79"/>
        <v>7.9478396376373314E-6</v>
      </c>
      <c r="O175" s="554">
        <f t="shared" si="79"/>
        <v>2.7882818628735172E-6</v>
      </c>
      <c r="P175" s="554">
        <f t="shared" si="79"/>
        <v>-6.8548600042112513E-6</v>
      </c>
    </row>
    <row r="176" spans="1:16" x14ac:dyDescent="0.25">
      <c r="A176" s="546">
        <v>85000</v>
      </c>
      <c r="B176" s="554">
        <f t="shared" si="49"/>
        <v>5.2962775604611256E-5</v>
      </c>
      <c r="C176" s="554">
        <f t="shared" si="50"/>
        <v>1.3225125656630345E-4</v>
      </c>
      <c r="D176" s="554">
        <f t="shared" si="51"/>
        <v>1.3604519973002947E-4</v>
      </c>
      <c r="E176" s="554">
        <f t="shared" si="52"/>
        <v>9.7594892114544782E-5</v>
      </c>
      <c r="F176" s="554">
        <f t="shared" si="53"/>
        <v>4.1925063206719868E-4</v>
      </c>
      <c r="G176" s="554">
        <f t="shared" si="54"/>
        <v>1.5180969147461605E-4</v>
      </c>
      <c r="H176" s="554">
        <f t="shared" si="55"/>
        <v>-3.4771783519316576E-4</v>
      </c>
      <c r="J176" s="554">
        <f t="shared" si="56"/>
        <v>3.5310855679091312E-7</v>
      </c>
      <c r="K176" s="554">
        <f t="shared" si="57"/>
        <v>8.8173344026641762E-7</v>
      </c>
      <c r="L176" s="554">
        <f t="shared" ref="L176:P176" si="80">($D37/$D$75)*D176</f>
        <v>9.0702806993407821E-7</v>
      </c>
      <c r="M176" s="554">
        <f t="shared" si="80"/>
        <v>6.5067570782169019E-7</v>
      </c>
      <c r="N176" s="554">
        <f t="shared" si="80"/>
        <v>2.7951893369054717E-6</v>
      </c>
      <c r="O176" s="554">
        <f t="shared" si="80"/>
        <v>1.0121316424890741E-6</v>
      </c>
      <c r="P176" s="554">
        <f t="shared" si="80"/>
        <v>-2.3182724385923078E-6</v>
      </c>
    </row>
    <row r="177" spans="1:16" x14ac:dyDescent="0.25">
      <c r="A177" s="546">
        <v>95000</v>
      </c>
      <c r="B177" s="554">
        <f t="shared" si="49"/>
        <v>4.2670237013867696E-5</v>
      </c>
      <c r="C177" s="554">
        <f t="shared" si="50"/>
        <v>1.0851047201376721E-4</v>
      </c>
      <c r="D177" s="554">
        <f t="shared" si="51"/>
        <v>1.115845051779553E-4</v>
      </c>
      <c r="E177" s="554">
        <f t="shared" si="52"/>
        <v>8.0489948099297552E-5</v>
      </c>
      <c r="F177" s="554">
        <f t="shared" si="53"/>
        <v>3.6009050714923898E-4</v>
      </c>
      <c r="G177" s="554">
        <f t="shared" si="54"/>
        <v>1.29960995446659E-4</v>
      </c>
      <c r="H177" s="554">
        <f t="shared" si="55"/>
        <v>-2.8319493524310953E-4</v>
      </c>
      <c r="J177" s="554">
        <f t="shared" si="56"/>
        <v>2.5702884655653486E-7</v>
      </c>
      <c r="K177" s="554">
        <f t="shared" si="57"/>
        <v>6.5362471391802854E-7</v>
      </c>
      <c r="L177" s="554">
        <f t="shared" ref="L177:P177" si="81">($D38/$D$75)*D177</f>
        <v>6.7214148939811346E-7</v>
      </c>
      <c r="M177" s="554">
        <f t="shared" si="81"/>
        <v>4.8484001887859658E-7</v>
      </c>
      <c r="N177" s="554">
        <f t="shared" si="81"/>
        <v>2.169044612488253E-6</v>
      </c>
      <c r="O177" s="554">
        <f t="shared" si="81"/>
        <v>7.8283429140873377E-7</v>
      </c>
      <c r="P177" s="554">
        <f t="shared" si="81"/>
        <v>-1.705855712320809E-6</v>
      </c>
    </row>
    <row r="178" spans="1:16" x14ac:dyDescent="0.25">
      <c r="A178" s="546">
        <v>105000</v>
      </c>
      <c r="B178" s="554">
        <f t="shared" si="49"/>
        <v>3.4938749439351204E-5</v>
      </c>
      <c r="C178" s="554">
        <f t="shared" si="50"/>
        <v>9.0106136758501111E-5</v>
      </c>
      <c r="D178" s="554">
        <f t="shared" si="51"/>
        <v>9.2634328786385685E-5</v>
      </c>
      <c r="E178" s="554">
        <f t="shared" si="52"/>
        <v>6.7099147978305569E-5</v>
      </c>
      <c r="F178" s="554">
        <f t="shared" si="53"/>
        <v>3.0915242712465697E-4</v>
      </c>
      <c r="G178" s="554">
        <f t="shared" si="54"/>
        <v>1.1132005465312171E-4</v>
      </c>
      <c r="H178" s="554">
        <f t="shared" si="55"/>
        <v>-2.3383851762517731E-4</v>
      </c>
      <c r="J178" s="554">
        <f t="shared" si="56"/>
        <v>1.9026015590147381E-7</v>
      </c>
      <c r="K178" s="554">
        <f t="shared" si="57"/>
        <v>4.9067605173192738E-7</v>
      </c>
      <c r="L178" s="554">
        <f t="shared" ref="L178:P178" si="82">($D39/$D$75)*D178</f>
        <v>5.0444340795082001E-7</v>
      </c>
      <c r="M178" s="554">
        <f t="shared" si="82"/>
        <v>3.6539070688173841E-7</v>
      </c>
      <c r="N178" s="554">
        <f t="shared" si="82"/>
        <v>1.6835001230985245E-6</v>
      </c>
      <c r="O178" s="554">
        <f t="shared" si="82"/>
        <v>6.0619716770426058E-7</v>
      </c>
      <c r="P178" s="554">
        <f t="shared" si="82"/>
        <v>-1.2733756511910784E-6</v>
      </c>
    </row>
    <row r="179" spans="1:16" x14ac:dyDescent="0.25">
      <c r="A179" s="546">
        <v>115000</v>
      </c>
      <c r="B179" s="554">
        <f t="shared" si="49"/>
        <v>3.4962817809182009E-5</v>
      </c>
      <c r="C179" s="554">
        <f t="shared" si="50"/>
        <v>9.1298730264031814E-5</v>
      </c>
      <c r="D179" s="554">
        <f t="shared" si="51"/>
        <v>9.3838691208617691E-5</v>
      </c>
      <c r="E179" s="554">
        <f t="shared" si="52"/>
        <v>6.8218732005504419E-5</v>
      </c>
      <c r="F179" s="554">
        <f t="shared" si="53"/>
        <v>3.2223464704511808E-4</v>
      </c>
      <c r="G179" s="554">
        <f t="shared" si="54"/>
        <v>1.158104419143451E-4</v>
      </c>
      <c r="H179" s="554">
        <f t="shared" si="55"/>
        <v>-2.3575911152244922E-4</v>
      </c>
      <c r="J179" s="554">
        <f t="shared" si="56"/>
        <v>2.1003582758499401E-7</v>
      </c>
      <c r="K179" s="554">
        <f t="shared" si="57"/>
        <v>5.4846850368647966E-7</v>
      </c>
      <c r="L179" s="554">
        <f t="shared" ref="L179:P179" si="83">($D40/$D$75)*D179</f>
        <v>5.6372707929503817E-7</v>
      </c>
      <c r="M179" s="554">
        <f t="shared" si="83"/>
        <v>4.0981759284322013E-7</v>
      </c>
      <c r="N179" s="554">
        <f t="shared" si="83"/>
        <v>1.9357942239685653E-6</v>
      </c>
      <c r="O179" s="554">
        <f t="shared" si="83"/>
        <v>6.9572029758068418E-7</v>
      </c>
      <c r="P179" s="554">
        <f t="shared" si="83"/>
        <v>-1.41630060739315E-6</v>
      </c>
    </row>
    <row r="180" spans="1:16" x14ac:dyDescent="0.25">
      <c r="A180" s="546">
        <v>125000</v>
      </c>
      <c r="B180" s="554">
        <f t="shared" si="49"/>
        <v>2.9799740201766262E-5</v>
      </c>
      <c r="C180" s="554">
        <f t="shared" si="50"/>
        <v>7.859548208919257E-5</v>
      </c>
      <c r="D180" s="554">
        <f t="shared" si="51"/>
        <v>8.076726912987398E-5</v>
      </c>
      <c r="E180" s="554">
        <f t="shared" si="52"/>
        <v>5.8884390771967398E-5</v>
      </c>
      <c r="F180" s="554">
        <f t="shared" si="53"/>
        <v>2.8351852609124264E-4</v>
      </c>
      <c r="G180" s="554">
        <f t="shared" si="54"/>
        <v>1.0175020099131163E-4</v>
      </c>
      <c r="H180" s="554">
        <f t="shared" si="55"/>
        <v>-2.0215640155507291E-4</v>
      </c>
      <c r="J180" s="554">
        <f t="shared" si="56"/>
        <v>1.6627127922517151E-7</v>
      </c>
      <c r="K180" s="554">
        <f t="shared" si="57"/>
        <v>4.3853306303370184E-7</v>
      </c>
      <c r="L180" s="554">
        <f t="shared" ref="L180:P180" si="84">($D41/$D$75)*D180</f>
        <v>4.5065081328970392E-7</v>
      </c>
      <c r="M180" s="554">
        <f t="shared" si="84"/>
        <v>3.2855262877323988E-7</v>
      </c>
      <c r="N180" s="554">
        <f t="shared" si="84"/>
        <v>1.5819261409007848E-6</v>
      </c>
      <c r="O180" s="554">
        <f t="shared" si="84"/>
        <v>5.677276367409721E-7</v>
      </c>
      <c r="P180" s="554">
        <f t="shared" si="84"/>
        <v>-1.1279562594350121E-6</v>
      </c>
    </row>
    <row r="181" spans="1:16" x14ac:dyDescent="0.25">
      <c r="A181" s="546">
        <v>135000</v>
      </c>
      <c r="B181" s="554">
        <f t="shared" si="49"/>
        <v>2.3332814039492064E-5</v>
      </c>
      <c r="C181" s="554">
        <f t="shared" si="50"/>
        <v>6.2068346698096883E-5</v>
      </c>
      <c r="D181" s="554">
        <f t="shared" si="51"/>
        <v>6.3773520933560883E-5</v>
      </c>
      <c r="E181" s="554">
        <f t="shared" si="52"/>
        <v>4.6608063623936392E-5</v>
      </c>
      <c r="F181" s="554">
        <f t="shared" si="53"/>
        <v>2.2801427872075502E-4</v>
      </c>
      <c r="G181" s="554">
        <f t="shared" si="54"/>
        <v>8.1734748616149703E-5</v>
      </c>
      <c r="H181" s="554">
        <f t="shared" si="55"/>
        <v>-1.5910933138619962E-4</v>
      </c>
      <c r="J181" s="554">
        <f t="shared" si="56"/>
        <v>1.1049013442363214E-7</v>
      </c>
      <c r="K181" s="554">
        <f t="shared" si="57"/>
        <v>2.9391825428848359E-7</v>
      </c>
      <c r="L181" s="554">
        <f t="shared" ref="L181:P181" si="85">($D42/$D$75)*D181</f>
        <v>3.0199293101514184E-7</v>
      </c>
      <c r="M181" s="554">
        <f t="shared" si="85"/>
        <v>2.2070767830737131E-7</v>
      </c>
      <c r="N181" s="554">
        <f t="shared" si="85"/>
        <v>1.0797381003304042E-6</v>
      </c>
      <c r="O181" s="554">
        <f t="shared" si="85"/>
        <v>3.8704647225126372E-7</v>
      </c>
      <c r="P181" s="554">
        <f t="shared" si="85"/>
        <v>-7.5344582882974582E-7</v>
      </c>
    </row>
    <row r="182" spans="1:16" x14ac:dyDescent="0.25">
      <c r="A182" s="546">
        <v>145000</v>
      </c>
      <c r="B182" s="554">
        <f t="shared" si="49"/>
        <v>2.8531176617101351E-5</v>
      </c>
      <c r="C182" s="554">
        <f t="shared" si="50"/>
        <v>7.6519973620291218E-5</v>
      </c>
      <c r="D182" s="554">
        <f t="shared" si="51"/>
        <v>7.8610575353398518E-5</v>
      </c>
      <c r="E182" s="554">
        <f t="shared" si="52"/>
        <v>5.7583749464797684E-5</v>
      </c>
      <c r="F182" s="554">
        <f t="shared" si="53"/>
        <v>2.8590933631237751E-4</v>
      </c>
      <c r="G182" s="554">
        <f t="shared" si="54"/>
        <v>1.0237803532847254E-4</v>
      </c>
      <c r="H182" s="554">
        <f t="shared" si="55"/>
        <v>-1.9552769105879233E-4</v>
      </c>
      <c r="J182" s="554">
        <f t="shared" si="56"/>
        <v>1.7966805048774461E-7</v>
      </c>
      <c r="K182" s="554">
        <f t="shared" si="57"/>
        <v>4.8186566815091721E-7</v>
      </c>
      <c r="L182" s="554">
        <f t="shared" ref="L182:P182" si="86">($D43/$D$75)*D182</f>
        <v>4.9503071713486095E-7</v>
      </c>
      <c r="M182" s="554">
        <f t="shared" si="86"/>
        <v>3.6261946518930542E-7</v>
      </c>
      <c r="N182" s="554">
        <f t="shared" si="86"/>
        <v>1.800443555513928E-6</v>
      </c>
      <c r="O182" s="554">
        <f t="shared" si="86"/>
        <v>6.4470043654655515E-7</v>
      </c>
      <c r="P182" s="554">
        <f t="shared" si="86"/>
        <v>-1.2312874277973714E-6</v>
      </c>
    </row>
    <row r="183" spans="1:16" x14ac:dyDescent="0.25">
      <c r="A183" s="546">
        <v>155000</v>
      </c>
      <c r="B183" s="554">
        <f t="shared" si="49"/>
        <v>2.5944803943469692E-5</v>
      </c>
      <c r="C183" s="554">
        <f t="shared" si="50"/>
        <v>6.9928830117212761E-5</v>
      </c>
      <c r="D183" s="554">
        <f t="shared" si="51"/>
        <v>7.1832981239637353E-5</v>
      </c>
      <c r="E183" s="554">
        <f t="shared" si="52"/>
        <v>5.269172259086197E-5</v>
      </c>
      <c r="F183" s="554">
        <f t="shared" si="53"/>
        <v>2.6392385445813256E-4</v>
      </c>
      <c r="G183" s="554">
        <f t="shared" si="54"/>
        <v>9.4446069495584685E-5</v>
      </c>
      <c r="H183" s="554">
        <f t="shared" si="55"/>
        <v>-1.7834060571026556E-4</v>
      </c>
      <c r="J183" s="554">
        <f t="shared" si="56"/>
        <v>1.5691198022554283E-7</v>
      </c>
      <c r="K183" s="554">
        <f t="shared" si="57"/>
        <v>4.2292365101141005E-7</v>
      </c>
      <c r="L183" s="554">
        <f t="shared" ref="L183:P183" si="87">($D44/$D$75)*D183</f>
        <v>4.3443979597513166E-7</v>
      </c>
      <c r="M183" s="554">
        <f t="shared" si="87"/>
        <v>3.1867508234951099E-7</v>
      </c>
      <c r="N183" s="554">
        <f t="shared" si="87"/>
        <v>1.5961891530194871E-6</v>
      </c>
      <c r="O183" s="554">
        <f t="shared" si="87"/>
        <v>5.7120184146936101E-7</v>
      </c>
      <c r="P183" s="554">
        <f t="shared" si="87"/>
        <v>-1.078588901947129E-6</v>
      </c>
    </row>
    <row r="184" spans="1:16" x14ac:dyDescent="0.25">
      <c r="A184" s="546">
        <v>165000</v>
      </c>
      <c r="B184" s="554">
        <f t="shared" si="49"/>
        <v>1.5572226469456635E-5</v>
      </c>
      <c r="C184" s="554">
        <f t="shared" si="50"/>
        <v>4.2222099676024511E-5</v>
      </c>
      <c r="D184" s="554">
        <f t="shared" si="51"/>
        <v>4.3367203501425285E-5</v>
      </c>
      <c r="E184" s="554">
        <f t="shared" si="52"/>
        <v>3.1863624249284422E-5</v>
      </c>
      <c r="F184" s="554">
        <f t="shared" si="53"/>
        <v>1.6125906842354994E-4</v>
      </c>
      <c r="G184" s="554">
        <f t="shared" si="54"/>
        <v>5.7664680295547321E-5</v>
      </c>
      <c r="H184" s="554">
        <f t="shared" si="55"/>
        <v>-1.0743080910570615E-4</v>
      </c>
      <c r="J184" s="554">
        <f t="shared" si="56"/>
        <v>6.0625752337351693E-8</v>
      </c>
      <c r="K184" s="554">
        <f t="shared" si="57"/>
        <v>1.6437897067206968E-7</v>
      </c>
      <c r="L184" s="554">
        <f t="shared" ref="L184:P184" si="88">($D45/$D$75)*D184</f>
        <v>1.6883708596184324E-7</v>
      </c>
      <c r="M184" s="554">
        <f t="shared" si="88"/>
        <v>1.2405138058430488E-7</v>
      </c>
      <c r="N184" s="554">
        <f t="shared" si="88"/>
        <v>6.2781339351657409E-7</v>
      </c>
      <c r="O184" s="554">
        <f t="shared" si="88"/>
        <v>2.2449998611742524E-7</v>
      </c>
      <c r="P184" s="554">
        <f t="shared" si="88"/>
        <v>-4.1824935175574223E-7</v>
      </c>
    </row>
    <row r="185" spans="1:16" x14ac:dyDescent="0.25">
      <c r="A185" s="546">
        <v>175000</v>
      </c>
      <c r="B185" s="554">
        <f t="shared" si="49"/>
        <v>1.6874854644461719E-5</v>
      </c>
      <c r="C185" s="554">
        <f t="shared" si="50"/>
        <v>4.5985516777453893E-5</v>
      </c>
      <c r="D185" s="554">
        <f t="shared" si="51"/>
        <v>4.7228462764590491E-5</v>
      </c>
      <c r="E185" s="554">
        <f t="shared" si="52"/>
        <v>3.4748841973804805E-5</v>
      </c>
      <c r="F185" s="554">
        <f t="shared" si="53"/>
        <v>1.7738386459635827E-4</v>
      </c>
      <c r="G185" s="554">
        <f t="shared" si="54"/>
        <v>6.3392207937522011E-5</v>
      </c>
      <c r="H185" s="554">
        <f t="shared" si="55"/>
        <v>-1.1677778613937136E-4</v>
      </c>
      <c r="J185" s="554">
        <f t="shared" si="56"/>
        <v>7.5872490319215705E-8</v>
      </c>
      <c r="K185" s="554">
        <f t="shared" si="57"/>
        <v>2.0675945067571849E-7</v>
      </c>
      <c r="L185" s="554">
        <f t="shared" ref="L185:P185" si="89">($D46/$D$75)*D185</f>
        <v>2.1234796739857398E-7</v>
      </c>
      <c r="M185" s="554">
        <f t="shared" si="89"/>
        <v>1.5623726733117356E-7</v>
      </c>
      <c r="N185" s="554">
        <f t="shared" si="89"/>
        <v>7.975509023889177E-7</v>
      </c>
      <c r="O185" s="554">
        <f t="shared" si="89"/>
        <v>2.850231770518916E-7</v>
      </c>
      <c r="P185" s="554">
        <f t="shared" si="89"/>
        <v>-5.2505468254606837E-7</v>
      </c>
    </row>
    <row r="186" spans="1:16" x14ac:dyDescent="0.25">
      <c r="A186" s="546">
        <v>185000</v>
      </c>
      <c r="B186" s="554">
        <f t="shared" ref="B186:B212" si="90">($B119/$B$147)*F119</f>
        <v>1.5580586676111578E-5</v>
      </c>
      <c r="C186" s="554">
        <f t="shared" ref="C186:C212" si="91">($B119/$B$147)*G119</f>
        <v>4.2636349923618337E-5</v>
      </c>
      <c r="D186" s="554">
        <f t="shared" ref="D186:D212" si="92">($B119/$B$147)*H119</f>
        <v>4.3785541710788872E-5</v>
      </c>
      <c r="E186" s="554">
        <f t="shared" ref="E186:E212" si="93">($B119/$B$147)*I119</f>
        <v>3.2252514477445504E-5</v>
      </c>
      <c r="F186" s="554">
        <f t="shared" ref="F186:F212" si="94">($B119/$B$147)*J119</f>
        <v>1.6580320925275665E-4</v>
      </c>
      <c r="G186" s="554">
        <f t="shared" ref="G186:G212" si="95">($B119/$B$147)*K119</f>
        <v>5.9224427205225901E-5</v>
      </c>
      <c r="H186" s="554">
        <f t="shared" ref="H186:H212" si="96">($B119/$B$147)*L119</f>
        <v>-1.0809793205563213E-4</v>
      </c>
      <c r="J186" s="554">
        <f t="shared" ref="J186:J212" si="97">($D47/$D$75)*B186</f>
        <v>6.8412186322695006E-8</v>
      </c>
      <c r="K186" s="554">
        <f t="shared" ref="K186:K212" si="98">($D47/$D$75)*C186</f>
        <v>1.8721027492285373E-7</v>
      </c>
      <c r="L186" s="554">
        <f t="shared" ref="L186:P186" si="99">($D47/$D$75)*D186</f>
        <v>1.9225621602242484E-7</v>
      </c>
      <c r="M186" s="554">
        <f t="shared" si="99"/>
        <v>1.4161629954470263E-7</v>
      </c>
      <c r="N186" s="554">
        <f t="shared" si="99"/>
        <v>7.2801880186524656E-7</v>
      </c>
      <c r="O186" s="554">
        <f t="shared" si="99"/>
        <v>2.6004621218987183E-7</v>
      </c>
      <c r="P186" s="554">
        <f t="shared" si="99"/>
        <v>-4.7464296580220572E-7</v>
      </c>
    </row>
    <row r="187" spans="1:16" x14ac:dyDescent="0.25">
      <c r="A187" s="546">
        <v>195000</v>
      </c>
      <c r="B187" s="554">
        <f t="shared" si="90"/>
        <v>1.2986621637317914E-5</v>
      </c>
      <c r="C187" s="554">
        <f t="shared" si="91"/>
        <v>3.566900290333341E-5</v>
      </c>
      <c r="D187" s="554">
        <f t="shared" si="92"/>
        <v>3.6628031576075246E-5</v>
      </c>
      <c r="E187" s="554">
        <f t="shared" si="93"/>
        <v>2.7007314919869293E-5</v>
      </c>
      <c r="F187" s="554">
        <f t="shared" si="94"/>
        <v>1.3969094226667694E-4</v>
      </c>
      <c r="G187" s="554">
        <f t="shared" si="95"/>
        <v>4.9875969102794933E-5</v>
      </c>
      <c r="H187" s="554">
        <f t="shared" si="96"/>
        <v>-9.0304995529878336E-5</v>
      </c>
      <c r="J187" s="554">
        <f t="shared" si="97"/>
        <v>5.0078113637626676E-8</v>
      </c>
      <c r="K187" s="554">
        <f t="shared" si="98"/>
        <v>1.3754434606773314E-7</v>
      </c>
      <c r="L187" s="554">
        <f t="shared" ref="L187:P187" si="100">($D48/$D$75)*D187</f>
        <v>1.412424862150753E-7</v>
      </c>
      <c r="M187" s="554">
        <f t="shared" si="100"/>
        <v>1.041437429514353E-7</v>
      </c>
      <c r="N187" s="554">
        <f t="shared" si="100"/>
        <v>5.3866656597400835E-7</v>
      </c>
      <c r="O187" s="554">
        <f t="shared" si="100"/>
        <v>1.9232826814167218E-7</v>
      </c>
      <c r="P187" s="554">
        <f t="shared" si="100"/>
        <v>-3.4822788824427419E-7</v>
      </c>
    </row>
    <row r="188" spans="1:16" x14ac:dyDescent="0.25">
      <c r="A188" s="546">
        <v>205000</v>
      </c>
      <c r="B188" s="554">
        <f t="shared" si="90"/>
        <v>6.4947442166918363E-6</v>
      </c>
      <c r="C188" s="554">
        <f t="shared" si="91"/>
        <v>1.7905526668450058E-5</v>
      </c>
      <c r="D188" s="554">
        <f t="shared" si="92"/>
        <v>1.8385741905719864E-5</v>
      </c>
      <c r="E188" s="554">
        <f t="shared" si="93"/>
        <v>1.3570334578223668E-5</v>
      </c>
      <c r="F188" s="554">
        <f t="shared" si="94"/>
        <v>7.0624586147422693E-5</v>
      </c>
      <c r="G188" s="554">
        <f t="shared" si="95"/>
        <v>2.5205410734074614E-5</v>
      </c>
      <c r="H188" s="554">
        <f t="shared" si="96"/>
        <v>-4.5266879234630167E-5</v>
      </c>
      <c r="J188" s="554">
        <f t="shared" si="97"/>
        <v>1.3251081864646695E-8</v>
      </c>
      <c r="K188" s="554">
        <f t="shared" si="98"/>
        <v>3.6532246967240996E-8</v>
      </c>
      <c r="L188" s="554">
        <f t="shared" ref="L188:P188" si="101">($D49/$D$75)*D188</f>
        <v>3.7512019412375742E-8</v>
      </c>
      <c r="M188" s="554">
        <f t="shared" si="101"/>
        <v>2.7687251172191901E-8</v>
      </c>
      <c r="N188" s="554">
        <f t="shared" si="101"/>
        <v>1.440937689726258E-7</v>
      </c>
      <c r="O188" s="554">
        <f t="shared" si="101"/>
        <v>5.1426037719987841E-8</v>
      </c>
      <c r="P188" s="554">
        <f t="shared" si="101"/>
        <v>-9.2357004753713302E-8</v>
      </c>
    </row>
    <row r="189" spans="1:16" x14ac:dyDescent="0.25">
      <c r="A189" s="546">
        <v>215000</v>
      </c>
      <c r="B189" s="554">
        <f t="shared" si="90"/>
        <v>1.2991498836433431E-5</v>
      </c>
      <c r="C189" s="554">
        <f t="shared" si="91"/>
        <v>3.5910669290847055E-5</v>
      </c>
      <c r="D189" s="554">
        <f t="shared" si="92"/>
        <v>3.6872082809364911E-5</v>
      </c>
      <c r="E189" s="554">
        <f t="shared" si="93"/>
        <v>2.7234186713247647E-5</v>
      </c>
      <c r="F189" s="554">
        <f t="shared" si="94"/>
        <v>1.42341914969593E-4</v>
      </c>
      <c r="G189" s="554">
        <f t="shared" si="95"/>
        <v>5.078589831415203E-5</v>
      </c>
      <c r="H189" s="554">
        <f t="shared" si="96"/>
        <v>-9.0694183452571178E-5</v>
      </c>
      <c r="J189" s="554">
        <f t="shared" si="97"/>
        <v>5.5262392730255044E-8</v>
      </c>
      <c r="K189" s="554">
        <f t="shared" si="98"/>
        <v>1.5275446925274934E-7</v>
      </c>
      <c r="L189" s="554">
        <f t="shared" ref="L189:P189" si="102">($D50/$D$75)*D189</f>
        <v>1.5684406754355717E-7</v>
      </c>
      <c r="M189" s="554">
        <f t="shared" si="102"/>
        <v>1.1584701201803452E-7</v>
      </c>
      <c r="N189" s="554">
        <f t="shared" si="102"/>
        <v>6.0548477939791894E-7</v>
      </c>
      <c r="O189" s="554">
        <f t="shared" si="102"/>
        <v>2.1602975092641058E-7</v>
      </c>
      <c r="P189" s="554">
        <f t="shared" si="102"/>
        <v>-3.8578901845029373E-7</v>
      </c>
    </row>
    <row r="190" spans="1:16" x14ac:dyDescent="0.25">
      <c r="A190" s="546">
        <v>225000</v>
      </c>
      <c r="B190" s="554">
        <f t="shared" si="90"/>
        <v>5.1973016300171994E-6</v>
      </c>
      <c r="C190" s="554">
        <f t="shared" si="91"/>
        <v>1.4399056714199867E-5</v>
      </c>
      <c r="D190" s="554">
        <f t="shared" si="92"/>
        <v>1.4783965431222619E-5</v>
      </c>
      <c r="E190" s="554">
        <f t="shared" si="93"/>
        <v>1.0926333932684579E-5</v>
      </c>
      <c r="F190" s="554">
        <f t="shared" si="94"/>
        <v>5.7318385809444622E-5</v>
      </c>
      <c r="G190" s="554">
        <f t="shared" si="95"/>
        <v>2.0445347857882027E-5</v>
      </c>
      <c r="H190" s="554">
        <f t="shared" si="96"/>
        <v>-3.6333698788406845E-5</v>
      </c>
      <c r="J190" s="554">
        <f t="shared" si="97"/>
        <v>9.1827814007692466E-9</v>
      </c>
      <c r="K190" s="554">
        <f t="shared" si="98"/>
        <v>2.5440776694605369E-8</v>
      </c>
      <c r="L190" s="554">
        <f t="shared" ref="L190:P190" si="103">($D51/$D$75)*D190</f>
        <v>2.6120847404232201E-8</v>
      </c>
      <c r="M190" s="554">
        <f t="shared" si="103"/>
        <v>1.9305043878186035E-8</v>
      </c>
      <c r="N190" s="554">
        <f t="shared" si="103"/>
        <v>1.0127220711862786E-7</v>
      </c>
      <c r="O190" s="554">
        <f t="shared" si="103"/>
        <v>3.6123583622179557E-8</v>
      </c>
      <c r="P190" s="554">
        <f t="shared" si="103"/>
        <v>-6.4195699462266982E-8</v>
      </c>
    </row>
    <row r="191" spans="1:16" x14ac:dyDescent="0.25">
      <c r="A191" s="546">
        <v>235000</v>
      </c>
      <c r="B191" s="554">
        <f t="shared" si="90"/>
        <v>6.4978106193142733E-6</v>
      </c>
      <c r="C191" s="554">
        <f t="shared" si="91"/>
        <v>1.8057467654838408E-5</v>
      </c>
      <c r="D191" s="554">
        <f t="shared" si="92"/>
        <v>1.8539182297231601E-5</v>
      </c>
      <c r="E191" s="554">
        <f t="shared" si="93"/>
        <v>1.3712973877069706E-5</v>
      </c>
      <c r="F191" s="554">
        <f t="shared" si="94"/>
        <v>7.2291311137661238E-5</v>
      </c>
      <c r="G191" s="554">
        <f t="shared" si="95"/>
        <v>2.5777503292496147E-5</v>
      </c>
      <c r="H191" s="554">
        <f t="shared" si="96"/>
        <v>-4.5511570262922399E-5</v>
      </c>
      <c r="J191" s="554">
        <f t="shared" si="97"/>
        <v>1.513281786614772E-8</v>
      </c>
      <c r="K191" s="554">
        <f t="shared" si="98"/>
        <v>4.2054221822389908E-8</v>
      </c>
      <c r="L191" s="554">
        <f t="shared" ref="L191:P191" si="104">($D52/$D$75)*D191</f>
        <v>4.3176091998957466E-8</v>
      </c>
      <c r="M191" s="554">
        <f t="shared" si="104"/>
        <v>3.1936285657219869E-8</v>
      </c>
      <c r="N191" s="554">
        <f t="shared" si="104"/>
        <v>1.6835997674347308E-7</v>
      </c>
      <c r="O191" s="554">
        <f t="shared" si="104"/>
        <v>6.0033492082681523E-8</v>
      </c>
      <c r="P191" s="554">
        <f t="shared" si="104"/>
        <v>-1.0599236326525489E-7</v>
      </c>
    </row>
    <row r="192" spans="1:16" x14ac:dyDescent="0.25">
      <c r="A192" s="546">
        <v>245000</v>
      </c>
      <c r="B192" s="554">
        <f t="shared" si="90"/>
        <v>6.4986704969913731E-6</v>
      </c>
      <c r="C192" s="554">
        <f t="shared" si="91"/>
        <v>1.8100074800252438E-5</v>
      </c>
      <c r="D192" s="554">
        <f t="shared" si="92"/>
        <v>1.8582209904389673E-5</v>
      </c>
      <c r="E192" s="554">
        <f t="shared" si="93"/>
        <v>1.3752972652200433E-5</v>
      </c>
      <c r="F192" s="554">
        <f t="shared" si="94"/>
        <v>7.2758692557989781E-5</v>
      </c>
      <c r="G192" s="554">
        <f t="shared" si="95"/>
        <v>2.5937928938046815E-5</v>
      </c>
      <c r="H192" s="554">
        <f t="shared" si="96"/>
        <v>-4.5580186285970388E-5</v>
      </c>
      <c r="J192" s="554">
        <f t="shared" si="97"/>
        <v>1.575743046932539E-8</v>
      </c>
      <c r="K192" s="554">
        <f t="shared" si="98"/>
        <v>4.3887541349666468E-8</v>
      </c>
      <c r="L192" s="554">
        <f t="shared" ref="L192:P192" si="105">($D53/$D$75)*D192</f>
        <v>4.5056582060959747E-8</v>
      </c>
      <c r="M192" s="554">
        <f t="shared" si="105"/>
        <v>3.3347053126314186E-8</v>
      </c>
      <c r="N192" s="554">
        <f t="shared" si="105"/>
        <v>1.7641916751315922E-7</v>
      </c>
      <c r="O192" s="554">
        <f t="shared" si="105"/>
        <v>6.2892111847922514E-8</v>
      </c>
      <c r="P192" s="554">
        <f t="shared" si="105"/>
        <v>-1.1051900792825049E-7</v>
      </c>
    </row>
    <row r="193" spans="1:16" x14ac:dyDescent="0.25">
      <c r="A193" s="546">
        <v>255000</v>
      </c>
      <c r="B193" s="554">
        <f t="shared" si="90"/>
        <v>5.1996389008876323E-6</v>
      </c>
      <c r="C193" s="554">
        <f t="shared" si="91"/>
        <v>1.4514869047163874E-5</v>
      </c>
      <c r="D193" s="554">
        <f t="shared" si="92"/>
        <v>1.4900920639519507E-5</v>
      </c>
      <c r="E193" s="554">
        <f t="shared" si="93"/>
        <v>1.1035056341064152E-5</v>
      </c>
      <c r="F193" s="554">
        <f t="shared" si="94"/>
        <v>5.8588795552840471E-5</v>
      </c>
      <c r="G193" s="554">
        <f t="shared" si="95"/>
        <v>2.0881407774544676E-5</v>
      </c>
      <c r="H193" s="554">
        <f t="shared" si="96"/>
        <v>-3.6520206981590839E-5</v>
      </c>
      <c r="J193" s="554">
        <f t="shared" si="97"/>
        <v>1.0527612302526774E-8</v>
      </c>
      <c r="K193" s="554">
        <f t="shared" si="98"/>
        <v>2.9387985755011132E-8</v>
      </c>
      <c r="L193" s="554">
        <f t="shared" ref="L193:P193" si="106">($D54/$D$75)*D193</f>
        <v>3.0169617243382257E-8</v>
      </c>
      <c r="M193" s="554">
        <f t="shared" si="106"/>
        <v>2.2342473604355709E-8</v>
      </c>
      <c r="N193" s="554">
        <f t="shared" si="106"/>
        <v>1.1862364610492761E-7</v>
      </c>
      <c r="O193" s="554">
        <f t="shared" si="106"/>
        <v>4.2278198461790736E-8</v>
      </c>
      <c r="P193" s="554">
        <f t="shared" si="106"/>
        <v>-7.3941784735202825E-8</v>
      </c>
    </row>
    <row r="194" spans="1:16" x14ac:dyDescent="0.25">
      <c r="A194" s="546">
        <v>265000</v>
      </c>
      <c r="B194" s="554">
        <f t="shared" si="90"/>
        <v>2.6001138122650214E-6</v>
      </c>
      <c r="C194" s="554">
        <f t="shared" si="91"/>
        <v>7.2720202225184848E-6</v>
      </c>
      <c r="D194" s="554">
        <f t="shared" si="92"/>
        <v>7.4651899553142875E-6</v>
      </c>
      <c r="E194" s="554">
        <f t="shared" si="93"/>
        <v>5.5312209463850053E-6</v>
      </c>
      <c r="F194" s="554">
        <f t="shared" si="94"/>
        <v>2.9454396401514772E-5</v>
      </c>
      <c r="G194" s="554">
        <f t="shared" si="95"/>
        <v>1.0495622379111332E-5</v>
      </c>
      <c r="H194" s="554">
        <f t="shared" si="96"/>
        <v>-1.8283592805666806E-5</v>
      </c>
      <c r="J194" s="554">
        <f t="shared" si="97"/>
        <v>2.7322647362173757E-9</v>
      </c>
      <c r="K194" s="554">
        <f t="shared" si="98"/>
        <v>7.6416210403260986E-9</v>
      </c>
      <c r="L194" s="554">
        <f t="shared" ref="L194:P194" si="107">($D55/$D$75)*D194</f>
        <v>7.844608635150932E-9</v>
      </c>
      <c r="M194" s="554">
        <f t="shared" si="107"/>
        <v>5.812345547624149E-9</v>
      </c>
      <c r="N194" s="554">
        <f t="shared" si="107"/>
        <v>3.0951417678259695E-8</v>
      </c>
      <c r="O194" s="554">
        <f t="shared" si="107"/>
        <v>1.1029062949409413E-8</v>
      </c>
      <c r="P194" s="554">
        <f t="shared" si="107"/>
        <v>-1.9212857390563066E-8</v>
      </c>
    </row>
    <row r="195" spans="1:16" x14ac:dyDescent="0.25">
      <c r="A195" s="546">
        <v>275000</v>
      </c>
      <c r="B195" s="554">
        <f t="shared" si="90"/>
        <v>5.2007908332490297E-6</v>
      </c>
      <c r="C195" s="554">
        <f t="shared" si="91"/>
        <v>1.4571947572326627E-5</v>
      </c>
      <c r="D195" s="554">
        <f t="shared" si="92"/>
        <v>1.4958562434903805E-5</v>
      </c>
      <c r="E195" s="554">
        <f t="shared" si="93"/>
        <v>1.1088640571375595E-5</v>
      </c>
      <c r="F195" s="554">
        <f t="shared" si="94"/>
        <v>5.9214921567657607E-5</v>
      </c>
      <c r="G195" s="554">
        <f t="shared" si="95"/>
        <v>2.1096321474050524E-5</v>
      </c>
      <c r="H195" s="554">
        <f t="shared" si="96"/>
        <v>-3.6612128215929682E-5</v>
      </c>
      <c r="J195" s="554">
        <f t="shared" si="97"/>
        <v>1.1342128200573964E-8</v>
      </c>
      <c r="K195" s="554">
        <f t="shared" si="98"/>
        <v>3.177918566552303E-8</v>
      </c>
      <c r="L195" s="554">
        <f t="shared" ref="L195:P195" si="108">($D56/$D$75)*D195</f>
        <v>3.2622333462885655E-8</v>
      </c>
      <c r="M195" s="554">
        <f t="shared" si="108"/>
        <v>2.4182626635660649E-8</v>
      </c>
      <c r="N195" s="554">
        <f t="shared" si="108"/>
        <v>1.2913867397119091E-7</v>
      </c>
      <c r="O195" s="554">
        <f t="shared" si="108"/>
        <v>4.6007845804812277E-8</v>
      </c>
      <c r="P195" s="554">
        <f t="shared" si="108"/>
        <v>-7.984544374792815E-8</v>
      </c>
    </row>
    <row r="196" spans="1:16" x14ac:dyDescent="0.25">
      <c r="A196" s="546">
        <v>285000</v>
      </c>
      <c r="B196" s="554">
        <f t="shared" si="90"/>
        <v>1.0402815913608577E-5</v>
      </c>
      <c r="C196" s="554">
        <f t="shared" si="91"/>
        <v>2.9205052385403638E-5</v>
      </c>
      <c r="D196" s="554">
        <f t="shared" si="92"/>
        <v>2.9978885630926627E-5</v>
      </c>
      <c r="E196" s="554">
        <f t="shared" si="93"/>
        <v>2.2234694393430608E-5</v>
      </c>
      <c r="F196" s="554">
        <f t="shared" si="94"/>
        <v>1.1910071084465193E-4</v>
      </c>
      <c r="G196" s="554">
        <f t="shared" si="95"/>
        <v>4.2422913944482948E-5</v>
      </c>
      <c r="H196" s="554">
        <f t="shared" si="96"/>
        <v>-7.3322746171082713E-5</v>
      </c>
      <c r="J196" s="554">
        <f t="shared" si="97"/>
        <v>4.7325053816228485E-8</v>
      </c>
      <c r="K196" s="554">
        <f t="shared" si="98"/>
        <v>1.3286120674662206E-7</v>
      </c>
      <c r="L196" s="554">
        <f t="shared" ref="L196:P196" si="109">($D57/$D$75)*D196</f>
        <v>1.3638157087622807E-7</v>
      </c>
      <c r="M196" s="554">
        <f t="shared" si="109"/>
        <v>1.0115127649043298E-7</v>
      </c>
      <c r="N196" s="554">
        <f t="shared" si="109"/>
        <v>5.4181940708004158E-7</v>
      </c>
      <c r="O196" s="554">
        <f t="shared" si="109"/>
        <v>1.9299261874253974E-7</v>
      </c>
      <c r="P196" s="554">
        <f t="shared" si="109"/>
        <v>-3.3356380977200815E-7</v>
      </c>
    </row>
    <row r="197" spans="1:16" x14ac:dyDescent="0.25">
      <c r="A197" s="546">
        <v>295000</v>
      </c>
      <c r="B197" s="554">
        <f t="shared" si="90"/>
        <v>6.5023616673690257E-6</v>
      </c>
      <c r="C197" s="554">
        <f t="shared" si="91"/>
        <v>1.8282973178960183E-5</v>
      </c>
      <c r="D197" s="554">
        <f t="shared" si="92"/>
        <v>1.8766913186254966E-5</v>
      </c>
      <c r="E197" s="554">
        <f t="shared" si="93"/>
        <v>1.3924674160260071E-5</v>
      </c>
      <c r="F197" s="554">
        <f t="shared" si="94"/>
        <v>7.4765006362529474E-5</v>
      </c>
      <c r="G197" s="554">
        <f t="shared" si="95"/>
        <v>2.6626583157643806E-5</v>
      </c>
      <c r="H197" s="554">
        <f t="shared" si="96"/>
        <v>-4.5874732171335348E-5</v>
      </c>
      <c r="J197" s="554">
        <f t="shared" si="97"/>
        <v>1.9128803818956643E-8</v>
      </c>
      <c r="K197" s="554">
        <f t="shared" si="98"/>
        <v>5.3785289877467414E-8</v>
      </c>
      <c r="L197" s="554">
        <f t="shared" ref="L197:P197" si="110">($D58/$D$75)*D197</f>
        <v>5.5208956221057925E-8</v>
      </c>
      <c r="M197" s="554">
        <f t="shared" si="110"/>
        <v>4.0963941084852756E-8</v>
      </c>
      <c r="N197" s="554">
        <f t="shared" si="110"/>
        <v>2.1994549248297079E-7</v>
      </c>
      <c r="O197" s="554">
        <f t="shared" si="110"/>
        <v>7.8330722227850102E-8</v>
      </c>
      <c r="P197" s="554">
        <f t="shared" si="110"/>
        <v>-1.3495538957120433E-7</v>
      </c>
    </row>
    <row r="198" spans="1:16" x14ac:dyDescent="0.25">
      <c r="A198" s="546">
        <v>305000</v>
      </c>
      <c r="B198" s="554">
        <f t="shared" si="90"/>
        <v>6.5028727553568681E-6</v>
      </c>
      <c r="C198" s="554">
        <f t="shared" si="91"/>
        <v>1.8308297711504383E-5</v>
      </c>
      <c r="D198" s="554">
        <f t="shared" si="92"/>
        <v>1.879248762986497E-5</v>
      </c>
      <c r="E198" s="554">
        <f t="shared" si="93"/>
        <v>1.394844834819695E-5</v>
      </c>
      <c r="F198" s="554">
        <f t="shared" si="94"/>
        <v>7.5042805212338664E-5</v>
      </c>
      <c r="G198" s="554">
        <f t="shared" si="95"/>
        <v>2.6721935813687657E-5</v>
      </c>
      <c r="H198" s="554">
        <f t="shared" si="96"/>
        <v>-4.5915515675882478E-5</v>
      </c>
      <c r="J198" s="554">
        <f t="shared" si="97"/>
        <v>1.9709853978492959E-8</v>
      </c>
      <c r="K198" s="554">
        <f t="shared" si="98"/>
        <v>5.5491455555741539E-8</v>
      </c>
      <c r="L198" s="554">
        <f t="shared" ref="L198:P198" si="111">($D59/$D$75)*D198</f>
        <v>5.6959008889133175E-8</v>
      </c>
      <c r="M198" s="554">
        <f t="shared" si="111"/>
        <v>4.2276989034275805E-8</v>
      </c>
      <c r="N198" s="554">
        <f t="shared" si="111"/>
        <v>2.2745066503927238E-7</v>
      </c>
      <c r="O198" s="554">
        <f t="shared" si="111"/>
        <v>8.099273547626743E-8</v>
      </c>
      <c r="P198" s="554">
        <f t="shared" si="111"/>
        <v>-1.39167433127666E-7</v>
      </c>
    </row>
    <row r="199" spans="1:16" x14ac:dyDescent="0.25">
      <c r="A199" s="546">
        <v>315000</v>
      </c>
      <c r="B199" s="554">
        <f t="shared" si="90"/>
        <v>9.1049317715157838E-6</v>
      </c>
      <c r="C199" s="554">
        <f t="shared" si="91"/>
        <v>2.5676703254137954E-5</v>
      </c>
      <c r="D199" s="554">
        <f t="shared" si="92"/>
        <v>2.6355014068283577E-5</v>
      </c>
      <c r="E199" s="554">
        <f t="shared" si="93"/>
        <v>1.9570153993984435E-5</v>
      </c>
      <c r="F199" s="554">
        <f t="shared" si="94"/>
        <v>1.0555450567345299E-4</v>
      </c>
      <c r="G199" s="554">
        <f t="shared" si="95"/>
        <v>3.7580470963669013E-5</v>
      </c>
      <c r="H199" s="554">
        <f t="shared" si="96"/>
        <v>-6.4354330740215937E-5</v>
      </c>
      <c r="J199" s="554">
        <f t="shared" si="97"/>
        <v>4.018134903773671E-8</v>
      </c>
      <c r="K199" s="554">
        <f t="shared" si="98"/>
        <v>1.1331491563952118E-7</v>
      </c>
      <c r="L199" s="554">
        <f t="shared" ref="L199:P199" si="112">($D60/$D$75)*D199</f>
        <v>1.1630839700360165E-7</v>
      </c>
      <c r="M199" s="554">
        <f t="shared" si="112"/>
        <v>8.6365851835881874E-8</v>
      </c>
      <c r="N199" s="554">
        <f t="shared" si="112"/>
        <v>4.658269321950868E-7</v>
      </c>
      <c r="O199" s="554">
        <f t="shared" si="112"/>
        <v>1.658479227178574E-7</v>
      </c>
      <c r="P199" s="554">
        <f t="shared" si="112"/>
        <v>-2.8400474495066706E-7</v>
      </c>
    </row>
    <row r="200" spans="1:16" x14ac:dyDescent="0.25">
      <c r="A200" s="546">
        <v>325000</v>
      </c>
      <c r="B200" s="554">
        <f t="shared" si="90"/>
        <v>3.9024156040315702E-6</v>
      </c>
      <c r="C200" s="554">
        <f t="shared" si="91"/>
        <v>1.1019264956090611E-5</v>
      </c>
      <c r="D200" s="554">
        <f t="shared" si="92"/>
        <v>1.1310117256217812E-5</v>
      </c>
      <c r="E200" s="554">
        <f t="shared" si="93"/>
        <v>8.4012563605447866E-6</v>
      </c>
      <c r="F200" s="554">
        <f t="shared" si="94"/>
        <v>4.5401788897409781E-5</v>
      </c>
      <c r="G200" s="554">
        <f t="shared" si="95"/>
        <v>1.616225735793335E-5</v>
      </c>
      <c r="H200" s="554">
        <f t="shared" si="96"/>
        <v>-2.760452529786238E-5</v>
      </c>
      <c r="J200" s="554">
        <f t="shared" si="97"/>
        <v>7.6165932244567188E-9</v>
      </c>
      <c r="K200" s="554">
        <f t="shared" si="98"/>
        <v>2.1507001641841048E-8</v>
      </c>
      <c r="L200" s="554">
        <f t="shared" ref="L200:P200" si="113">($D61/$D$75)*D200</f>
        <v>2.2074676611205634E-8</v>
      </c>
      <c r="M200" s="554">
        <f t="shared" si="113"/>
        <v>1.6397267427524276E-8</v>
      </c>
      <c r="N200" s="554">
        <f t="shared" si="113"/>
        <v>8.8613564720521782E-8</v>
      </c>
      <c r="O200" s="554">
        <f t="shared" si="113"/>
        <v>3.1544907661086996E-8</v>
      </c>
      <c r="P200" s="554">
        <f t="shared" si="113"/>
        <v>-5.3877511183286509E-8</v>
      </c>
    </row>
    <row r="201" spans="1:16" x14ac:dyDescent="0.25">
      <c r="A201" s="546">
        <v>335000</v>
      </c>
      <c r="B201" s="554">
        <f t="shared" si="90"/>
        <v>9.1062074842615771E-6</v>
      </c>
      <c r="C201" s="554">
        <f t="shared" si="91"/>
        <v>2.573991512707471E-5</v>
      </c>
      <c r="D201" s="554">
        <f t="shared" si="92"/>
        <v>2.641884973739537E-5</v>
      </c>
      <c r="E201" s="554">
        <f t="shared" si="93"/>
        <v>1.9629496094156136E-5</v>
      </c>
      <c r="F201" s="554">
        <f t="shared" si="94"/>
        <v>1.0624791178333684E-4</v>
      </c>
      <c r="G201" s="554">
        <f t="shared" si="95"/>
        <v>3.7818478120069675E-5</v>
      </c>
      <c r="H201" s="554">
        <f t="shared" si="96"/>
        <v>-6.4456129330292455E-5</v>
      </c>
      <c r="J201" s="554">
        <f t="shared" si="97"/>
        <v>4.2571858861362065E-8</v>
      </c>
      <c r="K201" s="554">
        <f t="shared" si="98"/>
        <v>1.2033506108741174E-7</v>
      </c>
      <c r="L201" s="554">
        <f t="shared" ref="L201:P201" si="114">($D62/$D$75)*D201</f>
        <v>1.2350910565608862E-7</v>
      </c>
      <c r="M201" s="554">
        <f t="shared" si="114"/>
        <v>9.1768624719386901E-8</v>
      </c>
      <c r="N201" s="554">
        <f t="shared" si="114"/>
        <v>4.9671294142727823E-7</v>
      </c>
      <c r="O201" s="554">
        <f t="shared" si="114"/>
        <v>1.7680279256339291E-7</v>
      </c>
      <c r="P201" s="554">
        <f t="shared" si="114"/>
        <v>-3.013348032472843E-7</v>
      </c>
    </row>
    <row r="202" spans="1:16" x14ac:dyDescent="0.25">
      <c r="A202" s="546">
        <v>345000</v>
      </c>
      <c r="B202" s="554">
        <f t="shared" si="90"/>
        <v>5.2040162407811195E-6</v>
      </c>
      <c r="C202" s="554">
        <f t="shared" si="91"/>
        <v>1.4731767290176095E-5</v>
      </c>
      <c r="D202" s="554">
        <f t="shared" si="92"/>
        <v>1.5119959307867639E-5</v>
      </c>
      <c r="E202" s="554">
        <f t="shared" si="93"/>
        <v>1.1238676272983805E-5</v>
      </c>
      <c r="F202" s="554">
        <f t="shared" si="94"/>
        <v>6.0968072735123036E-5</v>
      </c>
      <c r="G202" s="554">
        <f t="shared" si="95"/>
        <v>2.169807925806952E-5</v>
      </c>
      <c r="H202" s="554">
        <f t="shared" si="96"/>
        <v>-3.6869507426316056E-5</v>
      </c>
      <c r="J202" s="554">
        <f t="shared" si="97"/>
        <v>1.4453395907573313E-8</v>
      </c>
      <c r="K202" s="554">
        <f t="shared" si="98"/>
        <v>4.091533446697964E-8</v>
      </c>
      <c r="L202" s="554">
        <f t="shared" ref="L202:P202" si="115">($D63/$D$75)*D202</f>
        <v>4.1993481163734263E-8</v>
      </c>
      <c r="M202" s="554">
        <f t="shared" si="115"/>
        <v>3.1213783765229699E-8</v>
      </c>
      <c r="N202" s="554">
        <f t="shared" si="115"/>
        <v>1.6932992753884882E-7</v>
      </c>
      <c r="O202" s="554">
        <f t="shared" si="115"/>
        <v>6.0263249659595718E-8</v>
      </c>
      <c r="P202" s="554">
        <f t="shared" si="115"/>
        <v>-1.0239967807436626E-7</v>
      </c>
    </row>
    <row r="203" spans="1:16" x14ac:dyDescent="0.25">
      <c r="A203" s="546">
        <v>355000</v>
      </c>
      <c r="B203" s="554">
        <f t="shared" si="90"/>
        <v>0</v>
      </c>
      <c r="C203" s="554">
        <f t="shared" si="91"/>
        <v>0</v>
      </c>
      <c r="D203" s="554">
        <f t="shared" si="92"/>
        <v>0</v>
      </c>
      <c r="E203" s="554">
        <f t="shared" si="93"/>
        <v>0</v>
      </c>
      <c r="F203" s="554">
        <f t="shared" si="94"/>
        <v>0</v>
      </c>
      <c r="G203" s="554">
        <f t="shared" si="95"/>
        <v>0</v>
      </c>
      <c r="H203" s="554">
        <f t="shared" si="96"/>
        <v>0</v>
      </c>
      <c r="J203" s="554">
        <f t="shared" si="97"/>
        <v>0</v>
      </c>
      <c r="K203" s="554">
        <f t="shared" si="98"/>
        <v>0</v>
      </c>
      <c r="L203" s="554">
        <f t="shared" ref="L203:P203" si="116">($D64/$D$75)*D203</f>
        <v>0</v>
      </c>
      <c r="M203" s="554">
        <f t="shared" si="116"/>
        <v>0</v>
      </c>
      <c r="N203" s="554">
        <f t="shared" si="116"/>
        <v>0</v>
      </c>
      <c r="O203" s="554">
        <f t="shared" si="116"/>
        <v>0</v>
      </c>
      <c r="P203" s="554">
        <f t="shared" si="116"/>
        <v>0</v>
      </c>
    </row>
    <row r="204" spans="1:16" x14ac:dyDescent="0.25">
      <c r="A204" s="546">
        <v>375000</v>
      </c>
      <c r="B204" s="554">
        <f t="shared" si="90"/>
        <v>5.2047202315412902E-6</v>
      </c>
      <c r="C204" s="554">
        <f t="shared" si="91"/>
        <v>1.4766650201417374E-5</v>
      </c>
      <c r="D204" s="554">
        <f t="shared" si="92"/>
        <v>1.5155186455493577E-5</v>
      </c>
      <c r="E204" s="554">
        <f t="shared" si="93"/>
        <v>1.1271423684458732E-5</v>
      </c>
      <c r="F204" s="554">
        <f t="shared" si="94"/>
        <v>6.1350722744709797E-5</v>
      </c>
      <c r="G204" s="554">
        <f t="shared" si="95"/>
        <v>2.1829421395642665E-5</v>
      </c>
      <c r="H204" s="554">
        <f t="shared" si="96"/>
        <v>-3.6925684075055455E-5</v>
      </c>
      <c r="J204" s="554">
        <f t="shared" si="97"/>
        <v>1.5368298490909272E-8</v>
      </c>
      <c r="K204" s="554">
        <f t="shared" si="98"/>
        <v>4.3602398959112502E-8</v>
      </c>
      <c r="L204" s="554">
        <f t="shared" ref="L204:P204" si="117">($D65/$D$75)*D204</f>
        <v>4.4749653924133862E-8</v>
      </c>
      <c r="M204" s="554">
        <f t="shared" si="117"/>
        <v>3.3281828012678639E-8</v>
      </c>
      <c r="N204" s="554">
        <f t="shared" si="117"/>
        <v>1.8115406358633532E-7</v>
      </c>
      <c r="O204" s="554">
        <f t="shared" si="117"/>
        <v>6.4457079145007317E-8</v>
      </c>
      <c r="P204" s="554">
        <f t="shared" si="117"/>
        <v>-1.0903274520068031E-7</v>
      </c>
    </row>
    <row r="205" spans="1:16" x14ac:dyDescent="0.25">
      <c r="A205" s="546">
        <v>385000</v>
      </c>
      <c r="B205" s="554">
        <f t="shared" si="90"/>
        <v>2.6025501924672336E-6</v>
      </c>
      <c r="C205" s="554">
        <f t="shared" si="91"/>
        <v>7.3927434466746954E-6</v>
      </c>
      <c r="D205" s="554">
        <f t="shared" si="92"/>
        <v>7.5871045171412325E-6</v>
      </c>
      <c r="E205" s="554">
        <f t="shared" si="93"/>
        <v>5.644553605711458E-6</v>
      </c>
      <c r="F205" s="554">
        <f t="shared" si="94"/>
        <v>3.0778676435402716E-5</v>
      </c>
      <c r="G205" s="554">
        <f t="shared" si="95"/>
        <v>1.0950172924096612E-5</v>
      </c>
      <c r="H205" s="554">
        <f t="shared" si="96"/>
        <v>-1.847800966815864E-5</v>
      </c>
      <c r="J205" s="554">
        <f t="shared" si="97"/>
        <v>3.9778313491329262E-9</v>
      </c>
      <c r="K205" s="554">
        <f t="shared" si="98"/>
        <v>1.1299335061200683E-8</v>
      </c>
      <c r="L205" s="554">
        <f t="shared" ref="L205:P205" si="118">($D66/$D$75)*D205</f>
        <v>1.1596403514055338E-8</v>
      </c>
      <c r="M205" s="554">
        <f t="shared" si="118"/>
        <v>8.6273388116194877E-9</v>
      </c>
      <c r="N205" s="554">
        <f t="shared" si="118"/>
        <v>4.704323642400039E-8</v>
      </c>
      <c r="O205" s="554">
        <f t="shared" si="118"/>
        <v>1.673663826425759E-8</v>
      </c>
      <c r="P205" s="554">
        <f t="shared" si="118"/>
        <v>-2.8242454781593278E-8</v>
      </c>
    </row>
    <row r="206" spans="1:16" x14ac:dyDescent="0.25">
      <c r="A206" s="546">
        <v>405000</v>
      </c>
      <c r="B206" s="554">
        <f t="shared" si="90"/>
        <v>3.9041664291490642E-6</v>
      </c>
      <c r="C206" s="554">
        <f t="shared" si="91"/>
        <v>1.1106018761151681E-5</v>
      </c>
      <c r="D206" s="554">
        <f t="shared" si="92"/>
        <v>1.1397727177214917E-5</v>
      </c>
      <c r="E206" s="554">
        <f t="shared" si="93"/>
        <v>8.4826991773928327E-6</v>
      </c>
      <c r="F206" s="554">
        <f t="shared" si="94"/>
        <v>4.6353439523949755E-5</v>
      </c>
      <c r="G206" s="554">
        <f t="shared" si="95"/>
        <v>1.6488905272165924E-5</v>
      </c>
      <c r="H206" s="554">
        <f t="shared" si="96"/>
        <v>-2.7744236631013795E-5</v>
      </c>
      <c r="J206" s="554">
        <f t="shared" si="97"/>
        <v>9.3447139009802935E-9</v>
      </c>
      <c r="K206" s="554">
        <f t="shared" si="98"/>
        <v>2.6582516341267263E-8</v>
      </c>
      <c r="L206" s="554">
        <f t="shared" ref="L206:P206" si="119">($D67/$D$75)*D206</f>
        <v>2.7280727275685137E-8</v>
      </c>
      <c r="M206" s="554">
        <f t="shared" si="119"/>
        <v>2.0303539400622814E-8</v>
      </c>
      <c r="N206" s="554">
        <f t="shared" si="119"/>
        <v>1.1094804449002763E-7</v>
      </c>
      <c r="O206" s="554">
        <f t="shared" si="119"/>
        <v>3.9466581434219159E-8</v>
      </c>
      <c r="P206" s="554">
        <f t="shared" si="119"/>
        <v>-6.6406480979456847E-8</v>
      </c>
    </row>
    <row r="207" spans="1:16" x14ac:dyDescent="0.25">
      <c r="A207" s="546">
        <v>425000</v>
      </c>
      <c r="B207" s="554">
        <f t="shared" si="90"/>
        <v>1.3015126577630397E-6</v>
      </c>
      <c r="C207" s="554">
        <f t="shared" si="91"/>
        <v>3.7081429541745518E-6</v>
      </c>
      <c r="D207" s="554">
        <f t="shared" si="92"/>
        <v>3.8054396519012015E-6</v>
      </c>
      <c r="E207" s="554">
        <f t="shared" si="93"/>
        <v>2.8333274097596584E-6</v>
      </c>
      <c r="F207" s="554">
        <f t="shared" si="94"/>
        <v>1.5518463380493745E-5</v>
      </c>
      <c r="G207" s="554">
        <f t="shared" si="95"/>
        <v>5.519407837902835E-6</v>
      </c>
      <c r="H207" s="554">
        <f t="shared" si="96"/>
        <v>-9.2579616320196629E-6</v>
      </c>
      <c r="J207" s="554">
        <f t="shared" si="97"/>
        <v>1.0905971747158073E-9</v>
      </c>
      <c r="K207" s="554">
        <f t="shared" si="98"/>
        <v>3.1072231262167117E-9</v>
      </c>
      <c r="L207" s="554">
        <f t="shared" ref="L207:P207" si="120">($D68/$D$75)*D207</f>
        <v>3.1887524936162114E-9</v>
      </c>
      <c r="M207" s="554">
        <f t="shared" si="120"/>
        <v>2.3741750414011918E-9</v>
      </c>
      <c r="N207" s="554">
        <f t="shared" si="120"/>
        <v>1.3003632517708897E-8</v>
      </c>
      <c r="O207" s="554">
        <f t="shared" si="120"/>
        <v>4.6249650806062671E-9</v>
      </c>
      <c r="P207" s="554">
        <f t="shared" si="120"/>
        <v>-7.7576708449855493E-9</v>
      </c>
    </row>
    <row r="208" spans="1:16" x14ac:dyDescent="0.25">
      <c r="A208" s="546">
        <v>465000</v>
      </c>
      <c r="B208" s="554">
        <f t="shared" si="90"/>
        <v>6.5082863788719784E-6</v>
      </c>
      <c r="C208" s="554">
        <f t="shared" si="91"/>
        <v>1.8576544056847872E-5</v>
      </c>
      <c r="D208" s="554">
        <f t="shared" si="92"/>
        <v>1.9063381121012225E-5</v>
      </c>
      <c r="E208" s="554">
        <f t="shared" si="93"/>
        <v>1.4200272898815638E-5</v>
      </c>
      <c r="F208" s="554">
        <f t="shared" si="94"/>
        <v>7.7985348221645047E-5</v>
      </c>
      <c r="G208" s="554">
        <f t="shared" si="95"/>
        <v>2.7731944644369786E-5</v>
      </c>
      <c r="H208" s="554">
        <f t="shared" si="96"/>
        <v>-4.6347508883495119E-5</v>
      </c>
      <c r="J208" s="554">
        <f t="shared" si="97"/>
        <v>2.896586228377704E-8</v>
      </c>
      <c r="K208" s="554">
        <f t="shared" si="98"/>
        <v>8.2677003674265745E-8</v>
      </c>
      <c r="L208" s="554">
        <f t="shared" ref="L208:P208" si="121">($D69/$D$75)*D208</f>
        <v>8.484372691511784E-8</v>
      </c>
      <c r="M208" s="554">
        <f t="shared" si="121"/>
        <v>6.3199915497639182E-8</v>
      </c>
      <c r="N208" s="554">
        <f t="shared" si="121"/>
        <v>3.4708258445321881E-7</v>
      </c>
      <c r="O208" s="554">
        <f t="shared" si="121"/>
        <v>1.2342414618352558E-7</v>
      </c>
      <c r="P208" s="554">
        <f t="shared" si="121"/>
        <v>-2.0627481357821489E-7</v>
      </c>
    </row>
    <row r="209" spans="1:16" x14ac:dyDescent="0.25">
      <c r="A209" s="546">
        <v>625000</v>
      </c>
      <c r="B209" s="554">
        <f t="shared" si="90"/>
        <v>1.6927567903380056E-5</v>
      </c>
      <c r="C209" s="554">
        <f t="shared" si="91"/>
        <v>4.8597471416809481E-5</v>
      </c>
      <c r="D209" s="554">
        <f t="shared" si="92"/>
        <v>4.9866193057121857E-5</v>
      </c>
      <c r="E209" s="554">
        <f t="shared" si="93"/>
        <v>3.7200895150707915E-5</v>
      </c>
      <c r="F209" s="554">
        <f t="shared" si="94"/>
        <v>2.0603584438314644E-4</v>
      </c>
      <c r="G209" s="554">
        <f t="shared" si="95"/>
        <v>7.3226814435934119E-5</v>
      </c>
      <c r="H209" s="554">
        <f t="shared" si="96"/>
        <v>-1.2098416837861168E-4</v>
      </c>
      <c r="J209" s="554">
        <f t="shared" si="97"/>
        <v>2.4450836556270115E-7</v>
      </c>
      <c r="K209" s="554">
        <f t="shared" si="98"/>
        <v>7.0196075268624423E-7</v>
      </c>
      <c r="L209" s="554">
        <f t="shared" ref="L209:P209" si="122">($D70/$D$75)*D209</f>
        <v>7.2028666083781427E-7</v>
      </c>
      <c r="M209" s="554">
        <f t="shared" si="122"/>
        <v>5.3734417860186252E-7</v>
      </c>
      <c r="N209" s="554">
        <f t="shared" si="122"/>
        <v>2.9760617617959711E-6</v>
      </c>
      <c r="O209" s="554">
        <f t="shared" si="122"/>
        <v>1.0577165494352157E-6</v>
      </c>
      <c r="P209" s="554">
        <f t="shared" si="122"/>
        <v>-1.7475423190185628E-6</v>
      </c>
    </row>
    <row r="210" spans="1:16" x14ac:dyDescent="0.25">
      <c r="A210" s="546">
        <v>655000</v>
      </c>
      <c r="B210" s="554">
        <f t="shared" si="90"/>
        <v>2.6047817257599793E-6</v>
      </c>
      <c r="C210" s="554">
        <f t="shared" si="91"/>
        <v>7.5033164572696289E-6</v>
      </c>
      <c r="D210" s="554">
        <f t="shared" si="92"/>
        <v>7.6987686996611109E-6</v>
      </c>
      <c r="E210" s="554">
        <f t="shared" si="93"/>
        <v>5.7483574382220843E-6</v>
      </c>
      <c r="F210" s="554">
        <f t="shared" si="94"/>
        <v>3.1991613144484349E-5</v>
      </c>
      <c r="G210" s="554">
        <f t="shared" si="95"/>
        <v>1.1366505593952722E-5</v>
      </c>
      <c r="H210" s="554">
        <f t="shared" si="96"/>
        <v>-1.8656080275089482E-5</v>
      </c>
      <c r="J210" s="554">
        <f t="shared" si="97"/>
        <v>6.7643128845712211E-9</v>
      </c>
      <c r="K210" s="554">
        <f t="shared" si="98"/>
        <v>1.9485233517643735E-8</v>
      </c>
      <c r="L210" s="554">
        <f t="shared" ref="L210:P210" si="123">($D71/$D$75)*D210</f>
        <v>1.9992800085871748E-8</v>
      </c>
      <c r="M210" s="554">
        <f t="shared" si="123"/>
        <v>1.4927810610749595E-8</v>
      </c>
      <c r="N210" s="554">
        <f t="shared" si="123"/>
        <v>8.3078470203992078E-8</v>
      </c>
      <c r="O210" s="554">
        <f t="shared" si="123"/>
        <v>2.9517482974237537E-8</v>
      </c>
      <c r="P210" s="554">
        <f t="shared" si="123"/>
        <v>-4.8447654147897392E-8</v>
      </c>
    </row>
    <row r="211" spans="1:16" x14ac:dyDescent="0.25">
      <c r="A211" s="546">
        <v>715000</v>
      </c>
      <c r="B211" s="554">
        <f t="shared" si="90"/>
        <v>1.0419921929764353E-5</v>
      </c>
      <c r="C211" s="554">
        <f t="shared" si="91"/>
        <v>3.0052659594212704E-5</v>
      </c>
      <c r="D211" s="554">
        <f t="shared" si="92"/>
        <v>3.0834857314797526E-5</v>
      </c>
      <c r="E211" s="554">
        <f t="shared" si="93"/>
        <v>2.3030411867926644E-5</v>
      </c>
      <c r="F211" s="554">
        <f t="shared" si="94"/>
        <v>1.2839858464690351E-4</v>
      </c>
      <c r="G211" s="554">
        <f t="shared" si="95"/>
        <v>4.5614348909797404E-5</v>
      </c>
      <c r="H211" s="554">
        <f t="shared" si="96"/>
        <v>-7.4687762184479564E-5</v>
      </c>
      <c r="J211" s="554">
        <f t="shared" si="97"/>
        <v>1.1537724318324395E-7</v>
      </c>
      <c r="K211" s="554">
        <f t="shared" si="98"/>
        <v>3.327657383305504E-7</v>
      </c>
      <c r="L211" s="554">
        <f t="shared" ref="L211:P211" si="124">($D72/$D$75)*D211</f>
        <v>3.4142682209236849E-7</v>
      </c>
      <c r="M211" s="554">
        <f t="shared" si="124"/>
        <v>2.5501010934696437E-7</v>
      </c>
      <c r="N211" s="554">
        <f t="shared" si="124"/>
        <v>1.4217260767447175E-6</v>
      </c>
      <c r="O211" s="554">
        <f t="shared" si="124"/>
        <v>5.0507651230838476E-7</v>
      </c>
      <c r="P211" s="554">
        <f t="shared" si="124"/>
        <v>-8.2699929600776482E-7</v>
      </c>
    </row>
    <row r="212" spans="1:16" x14ac:dyDescent="0.25">
      <c r="A212" s="546">
        <v>845000</v>
      </c>
      <c r="B212" s="554">
        <f t="shared" si="90"/>
        <v>2.8667095934203864E-5</v>
      </c>
      <c r="C212" s="554">
        <f t="shared" si="91"/>
        <v>8.3254808425969979E-5</v>
      </c>
      <c r="D212" s="554">
        <f t="shared" si="92"/>
        <v>8.5411871790352012E-5</v>
      </c>
      <c r="E212" s="554">
        <f t="shared" si="93"/>
        <v>6.3906283873456691E-5</v>
      </c>
      <c r="F212" s="554">
        <f t="shared" si="94"/>
        <v>3.5978747638883645E-4</v>
      </c>
      <c r="G212" s="554">
        <f t="shared" si="95"/>
        <v>1.277362284408929E-4</v>
      </c>
      <c r="H212" s="554">
        <f t="shared" si="96"/>
        <v>-2.0637370235009655E-4</v>
      </c>
      <c r="J212" s="554">
        <f t="shared" si="97"/>
        <v>1.3860571104097378E-6</v>
      </c>
      <c r="K212" s="554">
        <f t="shared" si="98"/>
        <v>4.0253787638437674E-6</v>
      </c>
      <c r="L212" s="554">
        <f t="shared" ref="L212:P212" si="125">($D73/$D$75)*D212</f>
        <v>4.129673004902165E-6</v>
      </c>
      <c r="M212" s="554">
        <f t="shared" si="125"/>
        <v>3.0898755620719194E-6</v>
      </c>
      <c r="N212" s="554">
        <f t="shared" si="125"/>
        <v>1.7395762411012834E-5</v>
      </c>
      <c r="O212" s="554">
        <f t="shared" si="125"/>
        <v>6.1760601106503099E-6</v>
      </c>
      <c r="P212" s="554">
        <f t="shared" si="125"/>
        <v>-9.9781902638642052E-6</v>
      </c>
    </row>
    <row r="214" spans="1:16" x14ac:dyDescent="0.25">
      <c r="B214" s="555">
        <f>SUM(B154:B212)</f>
        <v>0.11665939674229682</v>
      </c>
      <c r="C214" s="555">
        <f>SUM(C154:C212)</f>
        <v>2.7577615626808719E-2</v>
      </c>
      <c r="D214" s="555">
        <f>SUM(D154:D212)</f>
        <v>3.2651289597430043E-2</v>
      </c>
      <c r="E214" s="555">
        <f>SUM(E154:E212)</f>
        <v>9.6798826311864566E-2</v>
      </c>
      <c r="F214" s="555">
        <f t="shared" ref="F214:G214" si="126">SUM(F154:F212)</f>
        <v>-0.12425387103021326</v>
      </c>
      <c r="G214" s="555">
        <f t="shared" si="126"/>
        <v>6.6421100765751166E-3</v>
      </c>
      <c r="H214" s="555">
        <f t="shared" ref="H214" si="127">SUM(H154:H212)</f>
        <v>0.66904176519555958</v>
      </c>
      <c r="J214" s="555">
        <f t="shared" ref="J214:P214" si="128">SUM(J154:J212)</f>
        <v>7.4873538646733698E-3</v>
      </c>
      <c r="K214" s="555">
        <f t="shared" si="128"/>
        <v>8.8348059050952447E-3</v>
      </c>
      <c r="L214" s="555">
        <f t="shared" si="128"/>
        <v>9.2186062093424243E-3</v>
      </c>
      <c r="M214" s="555">
        <f t="shared" si="128"/>
        <v>5.8859988792793723E-3</v>
      </c>
      <c r="N214" s="555">
        <f t="shared" si="128"/>
        <v>-1.2838750451420834E-2</v>
      </c>
      <c r="O214" s="555">
        <f t="shared" si="128"/>
        <v>7.2034752086823205E-3</v>
      </c>
      <c r="P214" s="555">
        <f t="shared" si="128"/>
        <v>3.6665670564746781E-2</v>
      </c>
    </row>
    <row r="217" spans="1:16" x14ac:dyDescent="0.25">
      <c r="A217" s="416" t="s">
        <v>1456</v>
      </c>
    </row>
    <row r="218" spans="1:16" x14ac:dyDescent="0.25">
      <c r="A218" s="416"/>
    </row>
    <row r="219" spans="1:16" x14ac:dyDescent="0.25">
      <c r="B219" s="499" t="s">
        <v>1457</v>
      </c>
      <c r="E219" s="512" t="s">
        <v>1458</v>
      </c>
      <c r="F219" s="512" t="s">
        <v>1459</v>
      </c>
    </row>
    <row r="220" spans="1:16" x14ac:dyDescent="0.25">
      <c r="B220" s="561">
        <v>6217100</v>
      </c>
      <c r="C220" t="s">
        <v>1446</v>
      </c>
      <c r="E220" s="561">
        <f>+B220/12</f>
        <v>518091.66666666669</v>
      </c>
      <c r="F220" s="417">
        <f>22.69+((E220/1000)*4.47)</f>
        <v>2338.5597499999999</v>
      </c>
    </row>
    <row r="221" spans="1:16" x14ac:dyDescent="0.25">
      <c r="B221" s="561">
        <v>4553300</v>
      </c>
      <c r="C221" t="s">
        <v>1447</v>
      </c>
      <c r="E221" s="561">
        <f t="shared" ref="E221:E229" si="129">+B221/12</f>
        <v>379441.66666666669</v>
      </c>
      <c r="F221" s="417">
        <f t="shared" ref="F221:F229" si="130">22.69+((E221/1000)*4.47)</f>
        <v>1718.7942499999999</v>
      </c>
    </row>
    <row r="222" spans="1:16" x14ac:dyDescent="0.25">
      <c r="B222" s="561">
        <v>3543000</v>
      </c>
      <c r="C222" t="s">
        <v>1448</v>
      </c>
      <c r="E222" s="561">
        <f t="shared" si="129"/>
        <v>295250</v>
      </c>
      <c r="F222" s="417">
        <f t="shared" si="130"/>
        <v>1342.4575</v>
      </c>
    </row>
    <row r="223" spans="1:16" x14ac:dyDescent="0.25">
      <c r="B223" s="561">
        <v>3339200</v>
      </c>
      <c r="C223" t="s">
        <v>1449</v>
      </c>
      <c r="E223" s="561">
        <f t="shared" si="129"/>
        <v>278266.66666666669</v>
      </c>
      <c r="F223" s="417">
        <f t="shared" si="130"/>
        <v>1266.5420000000001</v>
      </c>
    </row>
    <row r="224" spans="1:16" x14ac:dyDescent="0.25">
      <c r="B224" s="561">
        <v>2690900</v>
      </c>
      <c r="C224" t="s">
        <v>1450</v>
      </c>
      <c r="E224" s="561">
        <f t="shared" si="129"/>
        <v>224241.66666666666</v>
      </c>
      <c r="F224" s="417">
        <f t="shared" si="130"/>
        <v>1025.0502499999998</v>
      </c>
    </row>
    <row r="225" spans="2:7" x14ac:dyDescent="0.25">
      <c r="B225" s="561">
        <v>2213900</v>
      </c>
      <c r="C225" t="s">
        <v>1451</v>
      </c>
      <c r="E225" s="561">
        <f t="shared" si="129"/>
        <v>184491.66666666666</v>
      </c>
      <c r="F225" s="417">
        <f t="shared" si="130"/>
        <v>847.36774999999989</v>
      </c>
    </row>
    <row r="226" spans="2:7" x14ac:dyDescent="0.25">
      <c r="B226" s="561">
        <v>1933800</v>
      </c>
      <c r="C226" t="s">
        <v>1452</v>
      </c>
      <c r="E226" s="561">
        <f t="shared" si="129"/>
        <v>161150</v>
      </c>
      <c r="F226" s="417">
        <f t="shared" si="130"/>
        <v>743.03050000000007</v>
      </c>
    </row>
    <row r="227" spans="2:7" x14ac:dyDescent="0.25">
      <c r="B227" s="561">
        <v>1761100</v>
      </c>
      <c r="C227" t="s">
        <v>1453</v>
      </c>
      <c r="E227" s="561">
        <f t="shared" si="129"/>
        <v>146758.33333333334</v>
      </c>
      <c r="F227" s="417">
        <f t="shared" si="130"/>
        <v>678.69975000000011</v>
      </c>
    </row>
    <row r="228" spans="2:7" x14ac:dyDescent="0.25">
      <c r="B228" s="561">
        <v>1519400</v>
      </c>
      <c r="C228" t="s">
        <v>1454</v>
      </c>
      <c r="E228" s="561">
        <f t="shared" si="129"/>
        <v>126616.66666666667</v>
      </c>
      <c r="F228" s="417">
        <f t="shared" si="130"/>
        <v>588.66650000000004</v>
      </c>
    </row>
    <row r="229" spans="2:7" x14ac:dyDescent="0.25">
      <c r="B229" s="561">
        <v>1480200</v>
      </c>
      <c r="C229" t="s">
        <v>1455</v>
      </c>
      <c r="E229" s="561">
        <f t="shared" si="129"/>
        <v>123350</v>
      </c>
      <c r="F229" s="417">
        <f t="shared" si="130"/>
        <v>574.06449999999995</v>
      </c>
    </row>
    <row r="231" spans="2:7" x14ac:dyDescent="0.25">
      <c r="B231" s="562">
        <f>SUM(B220:B230)</f>
        <v>29251900</v>
      </c>
      <c r="F231" s="418">
        <f>SUM(F220:F230)*12</f>
        <v>133478.79300000001</v>
      </c>
    </row>
    <row r="232" spans="2:7" x14ac:dyDescent="0.25">
      <c r="B232" s="520">
        <f>(B231/1000)/D75</f>
        <v>6.1879350794015638E-2</v>
      </c>
      <c r="C232" s="485" t="s">
        <v>1460</v>
      </c>
      <c r="F232" s="520">
        <f>+F231/3296577</f>
        <v>4.0490118386435389E-2</v>
      </c>
      <c r="G232" s="485" t="s">
        <v>1461</v>
      </c>
    </row>
  </sheetData>
  <pageMargins left="0.7" right="0.7" top="0.75" bottom="0.75" header="0.3" footer="0.3"/>
  <pageSetup scale="17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0" tint="-0.14999847407452621"/>
  </sheetPr>
  <dimension ref="A1:AB45"/>
  <sheetViews>
    <sheetView zoomScale="75" zoomScaleNormal="75" workbookViewId="0">
      <pane xSplit="3" topLeftCell="D1" activePane="topRight" state="frozen"/>
      <selection pane="topRight" activeCell="J10" sqref="J10"/>
    </sheetView>
  </sheetViews>
  <sheetFormatPr defaultColWidth="8.7265625" defaultRowHeight="15.5" x14ac:dyDescent="0.35"/>
  <cols>
    <col min="1" max="1" width="2.54296875" style="26" customWidth="1"/>
    <col min="2" max="2" width="2.7265625" style="26" customWidth="1"/>
    <col min="3" max="3" width="32.7265625" style="26" customWidth="1"/>
    <col min="4" max="4" width="8.26953125" style="26" customWidth="1"/>
    <col min="5" max="5" width="3.453125" style="26" customWidth="1"/>
    <col min="6" max="6" width="15.7265625" style="26" bestFit="1" customWidth="1"/>
    <col min="7" max="7" width="14" style="26" customWidth="1"/>
    <col min="8" max="8" width="14.26953125" style="26" customWidth="1"/>
    <col min="9" max="9" width="12.7265625" style="26" customWidth="1"/>
    <col min="10" max="10" width="15.7265625" style="26" bestFit="1" customWidth="1"/>
    <col min="11" max="11" width="2.26953125" style="26" customWidth="1"/>
    <col min="12" max="12" width="15.7265625" style="26" bestFit="1" customWidth="1"/>
    <col min="13" max="13" width="13.7265625" style="26" customWidth="1"/>
    <col min="14" max="15" width="12.7265625" style="26" customWidth="1"/>
    <col min="16" max="16" width="15.7265625" style="26" bestFit="1" customWidth="1"/>
    <col min="17" max="17" width="2.7265625" style="26" customWidth="1"/>
    <col min="18" max="18" width="14.26953125" style="26" customWidth="1"/>
    <col min="19" max="19" width="2.26953125" style="26" customWidth="1"/>
    <col min="20" max="20" width="32.7265625" style="26" customWidth="1"/>
    <col min="21" max="21" width="5.26953125" style="26" customWidth="1"/>
    <col min="22" max="22" width="12.453125" style="26" customWidth="1"/>
    <col min="23" max="23" width="1.7265625" style="26" customWidth="1"/>
    <col min="24" max="24" width="9.7265625" style="26" customWidth="1"/>
    <col min="25" max="26" width="8.7265625" style="26"/>
    <col min="27" max="27" width="13.54296875" style="26" bestFit="1" customWidth="1"/>
    <col min="28" max="28" width="8.7265625" style="26"/>
    <col min="29" max="29" width="25.453125" style="26" customWidth="1"/>
    <col min="30" max="30" width="2.54296875" style="26" customWidth="1"/>
    <col min="31" max="35" width="8.7265625" style="26"/>
    <col min="36" max="36" width="24" style="26" customWidth="1"/>
    <col min="37" max="16384" width="8.7265625" style="26"/>
  </cols>
  <sheetData>
    <row r="1" spans="1:27" x14ac:dyDescent="0.35">
      <c r="A1" s="25" t="s">
        <v>4</v>
      </c>
    </row>
    <row r="2" spans="1:27" x14ac:dyDescent="0.35">
      <c r="A2" s="25" t="s">
        <v>109</v>
      </c>
      <c r="F2" s="477" t="s">
        <v>1165</v>
      </c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27" x14ac:dyDescent="0.35">
      <c r="A3" s="25" t="s">
        <v>784</v>
      </c>
    </row>
    <row r="4" spans="1:27" x14ac:dyDescent="0.35">
      <c r="A4" s="25"/>
      <c r="T4" s="50" t="s">
        <v>154</v>
      </c>
      <c r="U4" s="50"/>
    </row>
    <row r="5" spans="1:27" x14ac:dyDescent="0.35">
      <c r="F5" s="261" t="s">
        <v>737</v>
      </c>
      <c r="G5" s="319"/>
      <c r="H5" s="319"/>
      <c r="I5" s="86"/>
      <c r="J5" s="85"/>
      <c r="L5" s="261" t="s">
        <v>1039</v>
      </c>
      <c r="M5" s="86"/>
      <c r="N5" s="86"/>
      <c r="O5" s="86"/>
      <c r="P5" s="85"/>
      <c r="Q5" s="52"/>
    </row>
    <row r="6" spans="1:27" ht="31" x14ac:dyDescent="0.35">
      <c r="D6" s="52"/>
      <c r="F6" s="318" t="s">
        <v>44</v>
      </c>
      <c r="G6" s="272" t="s">
        <v>730</v>
      </c>
      <c r="H6" s="272" t="s">
        <v>729</v>
      </c>
      <c r="I6" s="272" t="s">
        <v>731</v>
      </c>
      <c r="J6" s="272" t="s">
        <v>732</v>
      </c>
      <c r="L6" s="318" t="s">
        <v>44</v>
      </c>
      <c r="M6" s="272" t="s">
        <v>730</v>
      </c>
      <c r="N6" s="272" t="s">
        <v>729</v>
      </c>
      <c r="O6" s="272" t="s">
        <v>731</v>
      </c>
      <c r="P6" s="272" t="s">
        <v>732</v>
      </c>
      <c r="R6" s="427" t="s">
        <v>783</v>
      </c>
      <c r="T6" s="205" t="s">
        <v>835</v>
      </c>
      <c r="U6" s="370"/>
      <c r="V6" s="114" t="s">
        <v>943</v>
      </c>
    </row>
    <row r="7" spans="1:27" s="262" customFormat="1" x14ac:dyDescent="0.25">
      <c r="A7" s="322" t="s">
        <v>720</v>
      </c>
      <c r="G7" s="331"/>
      <c r="M7" s="331"/>
      <c r="R7" s="441"/>
    </row>
    <row r="8" spans="1:27" s="262" customFormat="1" x14ac:dyDescent="0.25">
      <c r="B8" s="262" t="s">
        <v>721</v>
      </c>
      <c r="G8" s="332"/>
      <c r="M8" s="332"/>
      <c r="R8" s="441"/>
    </row>
    <row r="9" spans="1:27" s="262" customFormat="1" x14ac:dyDescent="0.25">
      <c r="C9" s="262" t="s">
        <v>722</v>
      </c>
      <c r="F9" s="324">
        <v>122641.44</v>
      </c>
      <c r="G9" s="333">
        <v>22862.57</v>
      </c>
      <c r="H9" s="324">
        <v>28300.43</v>
      </c>
      <c r="I9" s="324">
        <v>13877.51</v>
      </c>
      <c r="J9" s="324">
        <v>57600.93</v>
      </c>
      <c r="L9" s="324">
        <v>122641.44</v>
      </c>
      <c r="M9" s="333">
        <v>22862.57</v>
      </c>
      <c r="N9" s="324">
        <v>28300.43</v>
      </c>
      <c r="O9" s="324">
        <v>13877.51</v>
      </c>
      <c r="P9" s="324">
        <v>57600.93</v>
      </c>
      <c r="R9" s="442">
        <v>0</v>
      </c>
    </row>
    <row r="10" spans="1:27" s="262" customFormat="1" ht="67.150000000000006" customHeight="1" x14ac:dyDescent="0.25">
      <c r="C10" s="320" t="s">
        <v>723</v>
      </c>
      <c r="F10" s="325">
        <v>155744.27000000002</v>
      </c>
      <c r="G10" s="334">
        <v>68220.800000000003</v>
      </c>
      <c r="H10" s="325">
        <v>2367.09</v>
      </c>
      <c r="I10" s="325">
        <v>0</v>
      </c>
      <c r="J10" s="325">
        <v>85156.38</v>
      </c>
      <c r="L10" s="325">
        <v>155744.27000000002</v>
      </c>
      <c r="M10" s="334">
        <v>73319.740944595527</v>
      </c>
      <c r="N10" s="325">
        <v>0</v>
      </c>
      <c r="O10" s="325">
        <v>0</v>
      </c>
      <c r="P10" s="325">
        <v>82424.529055404491</v>
      </c>
      <c r="R10" s="443">
        <v>0</v>
      </c>
      <c r="T10" s="262" t="s">
        <v>18</v>
      </c>
      <c r="V10" s="369" t="e">
        <f>R10/$R$41</f>
        <v>#DIV/0!</v>
      </c>
    </row>
    <row r="11" spans="1:27" s="262" customFormat="1" ht="48" customHeight="1" x14ac:dyDescent="0.25">
      <c r="C11" s="320" t="s">
        <v>724</v>
      </c>
      <c r="F11" s="325">
        <v>36712.42</v>
      </c>
      <c r="G11" s="334">
        <v>15824.97</v>
      </c>
      <c r="H11" s="325">
        <v>3522.9</v>
      </c>
      <c r="I11" s="325">
        <v>0</v>
      </c>
      <c r="J11" s="325">
        <v>17364.550000000003</v>
      </c>
      <c r="L11" s="325">
        <v>36712.42</v>
      </c>
      <c r="M11" s="334">
        <v>7232.34674</v>
      </c>
      <c r="N11" s="325">
        <v>1431.7843799999998</v>
      </c>
      <c r="O11" s="325">
        <v>367.12419999999997</v>
      </c>
      <c r="P11" s="325">
        <v>27681.164679999998</v>
      </c>
      <c r="R11" s="443">
        <v>0</v>
      </c>
      <c r="T11" s="262" t="s">
        <v>20</v>
      </c>
      <c r="V11" s="369" t="e">
        <f t="shared" ref="V11:V18" si="0">R11/$R$41</f>
        <v>#DIV/0!</v>
      </c>
    </row>
    <row r="12" spans="1:27" s="262" customFormat="1" x14ac:dyDescent="0.25">
      <c r="C12" s="320" t="s">
        <v>725</v>
      </c>
      <c r="F12" s="325">
        <v>37507.53</v>
      </c>
      <c r="G12" s="334">
        <v>17412.810000000001</v>
      </c>
      <c r="H12" s="325">
        <v>1922.3</v>
      </c>
      <c r="I12" s="325"/>
      <c r="J12" s="325">
        <v>18172.419999999998</v>
      </c>
      <c r="L12" s="325">
        <v>37507.53</v>
      </c>
      <c r="M12" s="334">
        <v>7388.9834099999998</v>
      </c>
      <c r="N12" s="325">
        <v>1462.79367</v>
      </c>
      <c r="O12" s="325">
        <v>375.07529999999997</v>
      </c>
      <c r="P12" s="325">
        <v>28280.677619999999</v>
      </c>
      <c r="R12" s="443">
        <v>0</v>
      </c>
      <c r="T12" s="262" t="s">
        <v>29</v>
      </c>
      <c r="V12" s="369" t="e">
        <f t="shared" si="0"/>
        <v>#DIV/0!</v>
      </c>
    </row>
    <row r="13" spans="1:27" s="262" customFormat="1" x14ac:dyDescent="0.25">
      <c r="C13" s="320" t="s">
        <v>56</v>
      </c>
      <c r="F13" s="325">
        <v>17843.080000000002</v>
      </c>
      <c r="G13" s="334">
        <v>8386.24</v>
      </c>
      <c r="H13" s="325">
        <v>0</v>
      </c>
      <c r="I13" s="325">
        <v>0</v>
      </c>
      <c r="J13" s="325">
        <v>9456.84</v>
      </c>
      <c r="L13" s="325">
        <v>17843.080000000002</v>
      </c>
      <c r="M13" s="334">
        <v>1324.1443578947367</v>
      </c>
      <c r="N13" s="325">
        <v>0</v>
      </c>
      <c r="O13" s="325">
        <v>0</v>
      </c>
      <c r="P13" s="325">
        <v>16518.935642105265</v>
      </c>
      <c r="R13" s="443">
        <v>0</v>
      </c>
      <c r="T13" s="262" t="s">
        <v>21</v>
      </c>
      <c r="V13" s="369" t="e">
        <f t="shared" si="0"/>
        <v>#DIV/0!</v>
      </c>
    </row>
    <row r="14" spans="1:27" s="262" customFormat="1" ht="31" x14ac:dyDescent="0.25">
      <c r="C14" s="320" t="s">
        <v>726</v>
      </c>
      <c r="F14" s="325">
        <v>94246.819999999992</v>
      </c>
      <c r="G14" s="334">
        <v>12417.02</v>
      </c>
      <c r="H14" s="325">
        <v>3241.15</v>
      </c>
      <c r="I14" s="325">
        <v>0</v>
      </c>
      <c r="J14" s="325">
        <v>78588.649999999994</v>
      </c>
      <c r="L14" s="325">
        <v>94246.819999999992</v>
      </c>
      <c r="M14" s="334">
        <v>12417.02</v>
      </c>
      <c r="N14" s="325">
        <v>3241.15</v>
      </c>
      <c r="O14" s="325">
        <v>0</v>
      </c>
      <c r="P14" s="325">
        <v>78588.649999999994</v>
      </c>
      <c r="R14" s="443">
        <v>0</v>
      </c>
      <c r="V14" s="369" t="e">
        <f t="shared" si="0"/>
        <v>#DIV/0!</v>
      </c>
    </row>
    <row r="15" spans="1:27" s="262" customFormat="1" ht="31" x14ac:dyDescent="0.25">
      <c r="C15" s="320" t="s">
        <v>727</v>
      </c>
      <c r="F15" s="325">
        <v>20871.2</v>
      </c>
      <c r="G15" s="334">
        <v>9770.0300000000007</v>
      </c>
      <c r="H15" s="325">
        <v>3496.7</v>
      </c>
      <c r="I15" s="325">
        <v>0</v>
      </c>
      <c r="J15" s="325">
        <v>7604.47</v>
      </c>
      <c r="L15" s="325">
        <v>20871.2</v>
      </c>
      <c r="M15" s="334">
        <v>4111.6264000000001</v>
      </c>
      <c r="N15" s="325">
        <v>813.97680000000003</v>
      </c>
      <c r="O15" s="325">
        <v>208.71200000000002</v>
      </c>
      <c r="P15" s="325">
        <v>15736.8848</v>
      </c>
      <c r="R15" s="443">
        <v>0</v>
      </c>
      <c r="T15" s="262" t="s">
        <v>23</v>
      </c>
      <c r="V15" s="369" t="e">
        <f t="shared" si="0"/>
        <v>#DIV/0!</v>
      </c>
      <c r="X15" s="262" t="s">
        <v>944</v>
      </c>
      <c r="AA15" s="328" t="e">
        <f>R15*COS!#REF!</f>
        <v>#REF!</v>
      </c>
    </row>
    <row r="16" spans="1:27" s="262" customFormat="1" x14ac:dyDescent="0.25">
      <c r="C16" s="320" t="s">
        <v>728</v>
      </c>
      <c r="F16" s="325">
        <v>42364.06</v>
      </c>
      <c r="G16" s="334">
        <v>19911.11</v>
      </c>
      <c r="H16" s="325">
        <v>6477.47</v>
      </c>
      <c r="I16" s="325">
        <v>0</v>
      </c>
      <c r="J16" s="325">
        <v>15975.48</v>
      </c>
      <c r="L16" s="325">
        <v>42364.06</v>
      </c>
      <c r="M16" s="334">
        <v>8345.7198200000003</v>
      </c>
      <c r="N16" s="325">
        <v>1652.1983399999999</v>
      </c>
      <c r="O16" s="325">
        <v>423.64060000000001</v>
      </c>
      <c r="P16" s="325">
        <v>31942.501239999998</v>
      </c>
      <c r="R16" s="443">
        <v>0</v>
      </c>
      <c r="T16" s="262" t="s">
        <v>12</v>
      </c>
      <c r="V16" s="369" t="e">
        <f t="shared" si="0"/>
        <v>#DIV/0!</v>
      </c>
    </row>
    <row r="17" spans="2:27" s="262" customFormat="1" x14ac:dyDescent="0.25">
      <c r="C17" s="320" t="s">
        <v>13</v>
      </c>
      <c r="F17" s="325">
        <v>4388.6399999999994</v>
      </c>
      <c r="G17" s="334">
        <v>2062.69</v>
      </c>
      <c r="H17" s="325">
        <v>0</v>
      </c>
      <c r="I17" s="325">
        <v>0</v>
      </c>
      <c r="J17" s="325">
        <v>2325.9499999999998</v>
      </c>
      <c r="L17" s="325">
        <v>4388.6399999999994</v>
      </c>
      <c r="M17" s="334">
        <v>864.56207999999992</v>
      </c>
      <c r="N17" s="325">
        <v>171.15695999999997</v>
      </c>
      <c r="O17" s="325">
        <v>43.886399999999995</v>
      </c>
      <c r="P17" s="325">
        <v>3309.0345599999996</v>
      </c>
      <c r="R17" s="443">
        <v>0</v>
      </c>
      <c r="T17" s="262" t="s">
        <v>13</v>
      </c>
      <c r="V17" s="369" t="e">
        <f t="shared" si="0"/>
        <v>#DIV/0!</v>
      </c>
    </row>
    <row r="18" spans="2:27" s="262" customFormat="1" ht="18" customHeight="1" x14ac:dyDescent="0.25">
      <c r="C18" s="320" t="s">
        <v>14</v>
      </c>
      <c r="F18" s="326">
        <v>17541.96</v>
      </c>
      <c r="G18" s="335">
        <v>8258.82</v>
      </c>
      <c r="H18" s="326">
        <v>1698.5</v>
      </c>
      <c r="I18" s="326">
        <v>0</v>
      </c>
      <c r="J18" s="326">
        <v>7584.64</v>
      </c>
      <c r="L18" s="326">
        <v>17541.96</v>
      </c>
      <c r="M18" s="335">
        <v>3455.7661199999998</v>
      </c>
      <c r="N18" s="326">
        <v>684.13643999999999</v>
      </c>
      <c r="O18" s="326">
        <v>175.4196</v>
      </c>
      <c r="P18" s="326">
        <v>13226.637839999999</v>
      </c>
      <c r="R18" s="444">
        <v>0</v>
      </c>
      <c r="T18" s="262" t="s">
        <v>14</v>
      </c>
      <c r="V18" s="369" t="e">
        <f t="shared" si="0"/>
        <v>#DIV/0!</v>
      </c>
    </row>
    <row r="19" spans="2:27" s="262" customFormat="1" ht="19.899999999999999" customHeight="1" x14ac:dyDescent="0.25">
      <c r="C19" s="323" t="s">
        <v>746</v>
      </c>
      <c r="F19" s="324">
        <f>SUM(F9:F18)</f>
        <v>549861.42000000004</v>
      </c>
      <c r="G19" s="333">
        <f>SUM(G9:G18)</f>
        <v>185127.06</v>
      </c>
      <c r="H19" s="324">
        <f>SUM(H9:H18)</f>
        <v>51026.54</v>
      </c>
      <c r="I19" s="324">
        <f>SUM(I9:I18)</f>
        <v>13877.51</v>
      </c>
      <c r="J19" s="324">
        <f>SUM(J9:J18)</f>
        <v>299830.30999999994</v>
      </c>
      <c r="L19" s="324">
        <f>SUM(L9:L18)</f>
        <v>549861.42000000004</v>
      </c>
      <c r="M19" s="333">
        <f>SUM(M9:M18)</f>
        <v>141322.47987249025</v>
      </c>
      <c r="N19" s="324">
        <f>SUM(N9:N18)</f>
        <v>37757.62659</v>
      </c>
      <c r="O19" s="324">
        <f>SUM(O9:O18)</f>
        <v>15471.3681</v>
      </c>
      <c r="P19" s="324">
        <f>SUM(P9:P18)</f>
        <v>355309.94543750974</v>
      </c>
      <c r="R19" s="442">
        <f>SUM(R9:R18)</f>
        <v>0</v>
      </c>
    </row>
    <row r="20" spans="2:27" s="262" customFormat="1" ht="10.15" customHeight="1" x14ac:dyDescent="0.25">
      <c r="C20" s="320"/>
      <c r="G20" s="332"/>
      <c r="M20" s="332"/>
      <c r="R20" s="441"/>
    </row>
    <row r="21" spans="2:27" s="262" customFormat="1" x14ac:dyDescent="0.25">
      <c r="B21" s="262" t="s">
        <v>740</v>
      </c>
      <c r="G21" s="332"/>
      <c r="M21" s="332"/>
      <c r="R21" s="441"/>
    </row>
    <row r="22" spans="2:27" s="262" customFormat="1" x14ac:dyDescent="0.25">
      <c r="C22" s="262" t="s">
        <v>741</v>
      </c>
      <c r="F22" s="327">
        <v>537005.51</v>
      </c>
      <c r="G22" s="336">
        <v>76462.55</v>
      </c>
      <c r="H22" s="327"/>
      <c r="I22" s="327"/>
      <c r="J22" s="327">
        <v>460542.95999999996</v>
      </c>
      <c r="L22" s="327">
        <v>537005.51</v>
      </c>
      <c r="M22" s="336">
        <v>39851.461531578942</v>
      </c>
      <c r="N22" s="327">
        <v>0</v>
      </c>
      <c r="O22" s="327">
        <v>0</v>
      </c>
      <c r="P22" s="327">
        <v>497154.04846842104</v>
      </c>
      <c r="R22" s="442">
        <v>0</v>
      </c>
      <c r="T22" s="262" t="s">
        <v>7</v>
      </c>
      <c r="V22" s="369" t="e">
        <f>R22/$R$41</f>
        <v>#DIV/0!</v>
      </c>
      <c r="X22" s="262" t="s">
        <v>944</v>
      </c>
      <c r="AA22" s="327">
        <f>R22*COS!I259</f>
        <v>0</v>
      </c>
    </row>
    <row r="23" spans="2:27" s="262" customFormat="1" x14ac:dyDescent="0.25">
      <c r="C23" s="262" t="s">
        <v>742</v>
      </c>
      <c r="F23" s="328">
        <v>300461.96999999997</v>
      </c>
      <c r="G23" s="337">
        <v>114282.17</v>
      </c>
      <c r="H23" s="328">
        <v>4645.0200000000004</v>
      </c>
      <c r="I23" s="328"/>
      <c r="J23" s="328">
        <v>181534.78</v>
      </c>
      <c r="L23" s="328">
        <v>300461.96999999997</v>
      </c>
      <c r="M23" s="337">
        <v>114282.17</v>
      </c>
      <c r="N23" s="328">
        <v>4645.0200000000004</v>
      </c>
      <c r="O23" s="328">
        <v>0</v>
      </c>
      <c r="P23" s="328">
        <v>181534.78</v>
      </c>
      <c r="R23" s="443">
        <v>0</v>
      </c>
      <c r="V23" s="369" t="e">
        <f>R23/$R$41</f>
        <v>#DIV/0!</v>
      </c>
    </row>
    <row r="24" spans="2:27" s="262" customFormat="1" x14ac:dyDescent="0.25">
      <c r="C24" s="262" t="s">
        <v>743</v>
      </c>
      <c r="F24" s="328">
        <v>32070.720000000001</v>
      </c>
      <c r="G24" s="337">
        <v>7313.43</v>
      </c>
      <c r="H24" s="328"/>
      <c r="I24" s="328"/>
      <c r="J24" s="328">
        <v>24757.29</v>
      </c>
      <c r="L24" s="328">
        <v>32070.720000000001</v>
      </c>
      <c r="M24" s="337">
        <v>0</v>
      </c>
      <c r="N24" s="328">
        <v>1603.5360000000001</v>
      </c>
      <c r="O24" s="328">
        <v>0</v>
      </c>
      <c r="P24" s="328">
        <v>30467.184000000001</v>
      </c>
      <c r="R24" s="443">
        <v>0</v>
      </c>
      <c r="T24" s="262" t="s">
        <v>7</v>
      </c>
      <c r="V24" s="369" t="e">
        <f>R24/$R$41</f>
        <v>#DIV/0!</v>
      </c>
      <c r="X24" s="262" t="s">
        <v>944</v>
      </c>
      <c r="AA24" s="328">
        <f>R24*COS!I259</f>
        <v>0</v>
      </c>
    </row>
    <row r="25" spans="2:27" s="262" customFormat="1" ht="35.65" customHeight="1" x14ac:dyDescent="0.25">
      <c r="C25" s="320" t="s">
        <v>744</v>
      </c>
      <c r="F25" s="328">
        <v>514551.79000000004</v>
      </c>
      <c r="G25" s="337">
        <v>102284.65</v>
      </c>
      <c r="H25" s="328">
        <v>73995.75</v>
      </c>
      <c r="I25" s="328"/>
      <c r="J25" s="328">
        <v>338271.39</v>
      </c>
      <c r="L25" s="328">
        <v>514551.79000000004</v>
      </c>
      <c r="M25" s="337">
        <v>102284.65</v>
      </c>
      <c r="N25" s="328">
        <v>73995.75</v>
      </c>
      <c r="O25" s="328">
        <v>0</v>
      </c>
      <c r="P25" s="328">
        <v>338271.39</v>
      </c>
      <c r="R25" s="443">
        <v>0</v>
      </c>
      <c r="V25" s="369" t="e">
        <f>R25/$R$41</f>
        <v>#DIV/0!</v>
      </c>
    </row>
    <row r="26" spans="2:27" s="262" customFormat="1" x14ac:dyDescent="0.25">
      <c r="C26" s="262" t="s">
        <v>745</v>
      </c>
      <c r="F26" s="329">
        <v>26237.350000000002</v>
      </c>
      <c r="G26" s="338">
        <v>4485.17</v>
      </c>
      <c r="H26" s="329">
        <v>4340.8</v>
      </c>
      <c r="I26" s="329"/>
      <c r="J26" s="329">
        <v>17411.38</v>
      </c>
      <c r="L26" s="329">
        <v>26237.350000000002</v>
      </c>
      <c r="M26" s="338">
        <v>4485.17</v>
      </c>
      <c r="N26" s="329">
        <v>4340.8</v>
      </c>
      <c r="O26" s="329"/>
      <c r="P26" s="329">
        <v>17411.38</v>
      </c>
      <c r="R26" s="444">
        <v>0</v>
      </c>
      <c r="V26" s="369" t="e">
        <f>R26/$R$41</f>
        <v>#DIV/0!</v>
      </c>
    </row>
    <row r="27" spans="2:27" s="262" customFormat="1" x14ac:dyDescent="0.25">
      <c r="C27" s="321" t="s">
        <v>747</v>
      </c>
      <c r="F27" s="327">
        <f>SUM(F22:F26)</f>
        <v>1410327.34</v>
      </c>
      <c r="G27" s="336">
        <f>SUM(G22:G26)</f>
        <v>304827.96999999997</v>
      </c>
      <c r="H27" s="327">
        <f>SUM(H22:H26)</f>
        <v>82981.570000000007</v>
      </c>
      <c r="I27" s="327">
        <f>SUM(I22:I26)</f>
        <v>0</v>
      </c>
      <c r="J27" s="327">
        <f>SUM(J22:J26)</f>
        <v>1022517.8</v>
      </c>
      <c r="L27" s="327">
        <f>SUM(L22:L26)</f>
        <v>1410327.34</v>
      </c>
      <c r="M27" s="336">
        <f>SUM(M22:M26)</f>
        <v>260903.45153157896</v>
      </c>
      <c r="N27" s="327">
        <f>SUM(N22:N26)</f>
        <v>84585.106</v>
      </c>
      <c r="O27" s="327">
        <f>SUM(O22:O26)</f>
        <v>0</v>
      </c>
      <c r="P27" s="327">
        <f>SUM(P22:P26)</f>
        <v>1064838.7824684209</v>
      </c>
      <c r="R27" s="442">
        <f>SUM(R22:R26)</f>
        <v>0</v>
      </c>
    </row>
    <row r="28" spans="2:27" s="262" customFormat="1" ht="9" customHeight="1" x14ac:dyDescent="0.25">
      <c r="G28" s="332"/>
      <c r="M28" s="332"/>
      <c r="R28" s="441"/>
    </row>
    <row r="29" spans="2:27" s="262" customFormat="1" x14ac:dyDescent="0.25">
      <c r="B29" s="262" t="s">
        <v>641</v>
      </c>
      <c r="G29" s="332"/>
      <c r="M29" s="332"/>
      <c r="R29" s="441"/>
    </row>
    <row r="30" spans="2:27" s="262" customFormat="1" ht="31" x14ac:dyDescent="0.25">
      <c r="C30" s="320" t="s">
        <v>748</v>
      </c>
      <c r="F30" s="327">
        <v>288.39999999999998</v>
      </c>
      <c r="G30" s="336">
        <v>129.78</v>
      </c>
      <c r="H30" s="327">
        <v>14.42</v>
      </c>
      <c r="I30" s="327"/>
      <c r="J30" s="327">
        <v>144.19999999999999</v>
      </c>
      <c r="L30" s="327">
        <v>288.39999999999998</v>
      </c>
      <c r="M30" s="336">
        <v>129.78</v>
      </c>
      <c r="N30" s="327">
        <v>14.42</v>
      </c>
      <c r="O30" s="327"/>
      <c r="P30" s="327">
        <v>144.19999999999999</v>
      </c>
      <c r="R30" s="442">
        <v>0</v>
      </c>
      <c r="V30" s="369" t="e">
        <f t="shared" ref="V30:V38" si="1">R30/$R$41</f>
        <v>#DIV/0!</v>
      </c>
    </row>
    <row r="31" spans="2:27" s="262" customFormat="1" ht="37.9" customHeight="1" x14ac:dyDescent="0.25">
      <c r="C31" s="320" t="s">
        <v>749</v>
      </c>
      <c r="F31" s="328">
        <v>44758.009999999995</v>
      </c>
      <c r="G31" s="337">
        <v>9846.76</v>
      </c>
      <c r="H31" s="328">
        <v>3133.06</v>
      </c>
      <c r="I31" s="328"/>
      <c r="J31" s="328">
        <v>31778.19</v>
      </c>
      <c r="L31" s="328">
        <v>44758.009999999995</v>
      </c>
      <c r="M31" s="337">
        <v>9846.76</v>
      </c>
      <c r="N31" s="328">
        <v>3133.06</v>
      </c>
      <c r="O31" s="328"/>
      <c r="P31" s="328">
        <v>31778.19</v>
      </c>
      <c r="R31" s="443">
        <v>0</v>
      </c>
      <c r="V31" s="369" t="e">
        <f t="shared" si="1"/>
        <v>#DIV/0!</v>
      </c>
    </row>
    <row r="32" spans="2:27" s="262" customFormat="1" x14ac:dyDescent="0.25">
      <c r="C32" s="262" t="s">
        <v>750</v>
      </c>
      <c r="F32" s="328">
        <v>645.71</v>
      </c>
      <c r="G32" s="337">
        <v>226</v>
      </c>
      <c r="H32" s="328">
        <v>161.43</v>
      </c>
      <c r="I32" s="328"/>
      <c r="J32" s="328">
        <v>258.27999999999997</v>
      </c>
      <c r="L32" s="328">
        <v>645.71</v>
      </c>
      <c r="M32" s="337">
        <v>226</v>
      </c>
      <c r="N32" s="328">
        <v>161.43</v>
      </c>
      <c r="O32" s="328"/>
      <c r="P32" s="328">
        <v>258.27999999999997</v>
      </c>
      <c r="R32" s="443">
        <v>0</v>
      </c>
      <c r="V32" s="369" t="e">
        <f t="shared" si="1"/>
        <v>#DIV/0!</v>
      </c>
    </row>
    <row r="33" spans="1:28" s="262" customFormat="1" ht="72" customHeight="1" x14ac:dyDescent="0.25">
      <c r="C33" s="320" t="s">
        <v>751</v>
      </c>
      <c r="F33" s="328">
        <v>89884.86</v>
      </c>
      <c r="G33" s="337">
        <v>42245.88</v>
      </c>
      <c r="H33" s="328">
        <v>0</v>
      </c>
      <c r="I33" s="328"/>
      <c r="J33" s="328">
        <v>47638.98</v>
      </c>
      <c r="L33" s="328">
        <v>89884.86</v>
      </c>
      <c r="M33" s="337">
        <v>42245.88</v>
      </c>
      <c r="N33" s="328">
        <v>0</v>
      </c>
      <c r="O33" s="328"/>
      <c r="P33" s="328">
        <v>47638.98</v>
      </c>
      <c r="R33" s="443">
        <v>0</v>
      </c>
      <c r="V33" s="369" t="e">
        <f t="shared" si="1"/>
        <v>#DIV/0!</v>
      </c>
    </row>
    <row r="34" spans="1:28" s="262" customFormat="1" x14ac:dyDescent="0.25">
      <c r="C34" s="262" t="s">
        <v>752</v>
      </c>
      <c r="F34" s="328">
        <v>172.02</v>
      </c>
      <c r="G34" s="337">
        <v>17.2</v>
      </c>
      <c r="H34" s="328">
        <v>17.2</v>
      </c>
      <c r="I34" s="328"/>
      <c r="J34" s="328">
        <v>137.62</v>
      </c>
      <c r="L34" s="328">
        <v>172.02</v>
      </c>
      <c r="M34" s="337">
        <v>17.2</v>
      </c>
      <c r="N34" s="328">
        <v>17.2</v>
      </c>
      <c r="O34" s="328"/>
      <c r="P34" s="328">
        <v>137.62</v>
      </c>
      <c r="R34" s="443">
        <v>0</v>
      </c>
      <c r="V34" s="369" t="e">
        <f t="shared" si="1"/>
        <v>#DIV/0!</v>
      </c>
    </row>
    <row r="35" spans="1:28" s="262" customFormat="1" x14ac:dyDescent="0.25">
      <c r="C35" s="262" t="s">
        <v>753</v>
      </c>
      <c r="F35" s="328">
        <v>3397.88</v>
      </c>
      <c r="G35" s="337">
        <v>1698.94</v>
      </c>
      <c r="H35" s="328"/>
      <c r="I35" s="328"/>
      <c r="J35" s="328">
        <v>1698.94</v>
      </c>
      <c r="L35" s="328">
        <v>3397.88</v>
      </c>
      <c r="M35" s="337">
        <v>1698.94</v>
      </c>
      <c r="N35" s="328"/>
      <c r="O35" s="328"/>
      <c r="P35" s="328">
        <v>1698.94</v>
      </c>
      <c r="R35" s="443">
        <v>0</v>
      </c>
      <c r="V35" s="369" t="e">
        <f t="shared" si="1"/>
        <v>#DIV/0!</v>
      </c>
    </row>
    <row r="36" spans="1:28" s="262" customFormat="1" x14ac:dyDescent="0.25">
      <c r="C36" s="262" t="s">
        <v>754</v>
      </c>
      <c r="F36" s="328">
        <v>12490.4</v>
      </c>
      <c r="G36" s="337">
        <v>2622.98</v>
      </c>
      <c r="H36" s="328"/>
      <c r="I36" s="328"/>
      <c r="J36" s="328">
        <v>9867.42</v>
      </c>
      <c r="L36" s="328">
        <v>12490.4</v>
      </c>
      <c r="M36" s="337">
        <v>2622.98</v>
      </c>
      <c r="N36" s="328"/>
      <c r="O36" s="328"/>
      <c r="P36" s="328">
        <v>9867.42</v>
      </c>
      <c r="R36" s="443">
        <v>0</v>
      </c>
      <c r="V36" s="369" t="e">
        <f t="shared" si="1"/>
        <v>#DIV/0!</v>
      </c>
    </row>
    <row r="37" spans="1:28" s="262" customFormat="1" x14ac:dyDescent="0.25">
      <c r="C37" s="262" t="s">
        <v>755</v>
      </c>
      <c r="F37" s="328">
        <v>579.12</v>
      </c>
      <c r="G37" s="337">
        <v>277.98</v>
      </c>
      <c r="H37" s="328"/>
      <c r="I37" s="328"/>
      <c r="J37" s="328">
        <v>301.14</v>
      </c>
      <c r="L37" s="328">
        <v>579.12</v>
      </c>
      <c r="M37" s="337">
        <v>277.98</v>
      </c>
      <c r="N37" s="328"/>
      <c r="O37" s="328"/>
      <c r="P37" s="328">
        <v>301.14</v>
      </c>
      <c r="R37" s="443">
        <v>0</v>
      </c>
      <c r="V37" s="369" t="e">
        <f t="shared" si="1"/>
        <v>#DIV/0!</v>
      </c>
    </row>
    <row r="38" spans="1:28" s="262" customFormat="1" x14ac:dyDescent="0.25">
      <c r="C38" s="262" t="s">
        <v>756</v>
      </c>
      <c r="F38" s="329">
        <v>115</v>
      </c>
      <c r="G38" s="338">
        <v>34.5</v>
      </c>
      <c r="H38" s="329">
        <v>11.5</v>
      </c>
      <c r="I38" s="329"/>
      <c r="J38" s="329">
        <v>69</v>
      </c>
      <c r="L38" s="329">
        <v>115</v>
      </c>
      <c r="M38" s="338">
        <v>34.5</v>
      </c>
      <c r="N38" s="329">
        <v>11.5</v>
      </c>
      <c r="O38" s="329"/>
      <c r="P38" s="329">
        <v>69</v>
      </c>
      <c r="R38" s="444">
        <v>0</v>
      </c>
      <c r="V38" s="369" t="e">
        <f t="shared" si="1"/>
        <v>#DIV/0!</v>
      </c>
    </row>
    <row r="39" spans="1:28" s="262" customFormat="1" x14ac:dyDescent="0.25">
      <c r="C39" s="321" t="s">
        <v>757</v>
      </c>
      <c r="F39" s="327">
        <f>SUM(F30:F38)</f>
        <v>152331.39999999997</v>
      </c>
      <c r="G39" s="336">
        <f>SUM(G30:G38)</f>
        <v>57100.020000000004</v>
      </c>
      <c r="H39" s="327">
        <f>SUM(H30:H38)</f>
        <v>3337.6099999999997</v>
      </c>
      <c r="I39" s="327">
        <f>SUM(I30:I38)</f>
        <v>0</v>
      </c>
      <c r="J39" s="327">
        <f>SUM(J30:J38)</f>
        <v>91893.76999999999</v>
      </c>
      <c r="L39" s="327">
        <f>SUM(L30:L38)</f>
        <v>152331.39999999997</v>
      </c>
      <c r="M39" s="336">
        <f>SUM(M30:M38)</f>
        <v>57100.020000000004</v>
      </c>
      <c r="N39" s="327">
        <f>SUM(N30:N38)</f>
        <v>3337.6099999999997</v>
      </c>
      <c r="O39" s="327">
        <f>SUM(O30:O38)</f>
        <v>0</v>
      </c>
      <c r="P39" s="327">
        <f>SUM(P30:P38)</f>
        <v>91893.76999999999</v>
      </c>
      <c r="R39" s="442">
        <f>SUM(R30:R38)</f>
        <v>0</v>
      </c>
    </row>
    <row r="40" spans="1:28" x14ac:dyDescent="0.35">
      <c r="G40" s="339"/>
      <c r="M40" s="339"/>
      <c r="R40" s="436"/>
    </row>
    <row r="41" spans="1:28" x14ac:dyDescent="0.35">
      <c r="A41" s="26" t="s">
        <v>758</v>
      </c>
      <c r="F41" s="117">
        <f>F39+F27+F19</f>
        <v>2112520.16</v>
      </c>
      <c r="G41" s="340">
        <f>G39+G27+G19</f>
        <v>547055.05000000005</v>
      </c>
      <c r="H41" s="117">
        <f>H39+H27+H19</f>
        <v>137345.72</v>
      </c>
      <c r="I41" s="117">
        <f>I39+I27+I19</f>
        <v>13877.51</v>
      </c>
      <c r="J41" s="117">
        <f>J39+J27+J19</f>
        <v>1414241.88</v>
      </c>
      <c r="L41" s="117">
        <f>L39+L27+L19</f>
        <v>2112520.16</v>
      </c>
      <c r="M41" s="340">
        <f>M39+M27+M19</f>
        <v>459325.9514040692</v>
      </c>
      <c r="N41" s="117">
        <f>N39+N27+N19</f>
        <v>125680.34259</v>
      </c>
      <c r="O41" s="117">
        <f>O39+O27+O19</f>
        <v>15471.3681</v>
      </c>
      <c r="P41" s="117">
        <f>P39+P27+P19</f>
        <v>1512042.4979059307</v>
      </c>
      <c r="R41" s="445">
        <f>R19+R27+R39</f>
        <v>0</v>
      </c>
      <c r="V41" s="345" t="e">
        <f>SUM(V10:V40)</f>
        <v>#DIV/0!</v>
      </c>
      <c r="AA41" s="33" t="e">
        <f>SUM(AA10:AA40)</f>
        <v>#REF!</v>
      </c>
      <c r="AB41" s="168" t="e">
        <f>AA41/R41</f>
        <v>#REF!</v>
      </c>
    </row>
    <row r="42" spans="1:28" ht="8.65" customHeight="1" x14ac:dyDescent="0.35">
      <c r="G42" s="339"/>
      <c r="M42" s="339"/>
    </row>
    <row r="43" spans="1:28" x14ac:dyDescent="0.35">
      <c r="A43" s="40" t="s">
        <v>759</v>
      </c>
      <c r="F43" s="330">
        <f>SUM(G43:J43)</f>
        <v>1</v>
      </c>
      <c r="G43" s="341">
        <f>G41/$F$41</f>
        <v>0.25895849912267821</v>
      </c>
      <c r="H43" s="41">
        <f>H41/$F$41</f>
        <v>6.501510499194478E-2</v>
      </c>
      <c r="I43" s="41">
        <f>I41/$F$41</f>
        <v>6.5691728120596963E-3</v>
      </c>
      <c r="J43" s="41">
        <f>J41/$F$41</f>
        <v>0.66945722307331723</v>
      </c>
      <c r="L43" s="330">
        <f>SUM(M43:P43)</f>
        <v>0.99999999999999989</v>
      </c>
      <c r="M43" s="341">
        <f>M41/$F$41</f>
        <v>0.21743032805143464</v>
      </c>
      <c r="N43" s="41">
        <f>N41/$F$41</f>
        <v>5.9493085542909087E-2</v>
      </c>
      <c r="O43" s="41">
        <f>O41/$F$41</f>
        <v>7.3236546533122782E-3</v>
      </c>
      <c r="P43" s="41">
        <f>P41/$F$41</f>
        <v>0.71575293175234389</v>
      </c>
    </row>
    <row r="44" spans="1:28" ht="16" thickBot="1" x14ac:dyDescent="0.4"/>
    <row r="45" spans="1:28" ht="16" thickBot="1" x14ac:dyDescent="0.4">
      <c r="A45" s="25" t="s">
        <v>760</v>
      </c>
      <c r="F45" s="298">
        <v>0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14999847407452621"/>
  </sheetPr>
  <dimension ref="A1:P46"/>
  <sheetViews>
    <sheetView zoomScale="75" zoomScaleNormal="75" workbookViewId="0">
      <pane xSplit="3" topLeftCell="D1" activePane="topRight" state="frozen"/>
      <selection activeCell="A5" sqref="A5"/>
      <selection pane="topRight" activeCell="W11" sqref="W11"/>
    </sheetView>
  </sheetViews>
  <sheetFormatPr defaultColWidth="8.7265625" defaultRowHeight="15.5" x14ac:dyDescent="0.35"/>
  <cols>
    <col min="1" max="1" width="3" style="26" customWidth="1"/>
    <col min="2" max="2" width="2.453125" style="26" customWidth="1"/>
    <col min="3" max="3" width="28.26953125" style="26" customWidth="1"/>
    <col min="4" max="4" width="3.54296875" style="26" customWidth="1"/>
    <col min="5" max="5" width="2.7265625" style="26" customWidth="1"/>
    <col min="6" max="6" width="13.26953125" style="26" customWidth="1"/>
    <col min="7" max="7" width="12.26953125" style="26" customWidth="1"/>
    <col min="8" max="8" width="12.7265625" style="26" customWidth="1"/>
    <col min="9" max="9" width="8.7265625" style="26"/>
    <col min="10" max="10" width="33" style="26" customWidth="1"/>
    <col min="11" max="11" width="2.7265625" style="26" customWidth="1"/>
    <col min="12" max="12" width="13.26953125" style="26" customWidth="1"/>
    <col min="13" max="13" width="12.26953125" style="26" customWidth="1"/>
    <col min="14" max="14" width="12.7265625" style="26" customWidth="1"/>
    <col min="15" max="15" width="8.7265625" style="26"/>
    <col min="16" max="16" width="33" style="26" customWidth="1"/>
    <col min="17" max="16384" width="8.7265625" style="26"/>
  </cols>
  <sheetData>
    <row r="1" spans="1:16" x14ac:dyDescent="0.35">
      <c r="A1" s="25" t="s">
        <v>4</v>
      </c>
    </row>
    <row r="2" spans="1:16" x14ac:dyDescent="0.35">
      <c r="A2" s="25" t="s">
        <v>109</v>
      </c>
      <c r="F2" s="477" t="s">
        <v>1165</v>
      </c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x14ac:dyDescent="0.35">
      <c r="A3" s="25" t="s">
        <v>785</v>
      </c>
      <c r="P3" s="50" t="s">
        <v>154</v>
      </c>
    </row>
    <row r="4" spans="1:16" x14ac:dyDescent="0.35">
      <c r="A4" s="25"/>
    </row>
    <row r="5" spans="1:16" x14ac:dyDescent="0.35">
      <c r="F5" s="261" t="s">
        <v>738</v>
      </c>
      <c r="G5" s="319"/>
      <c r="H5" s="86"/>
      <c r="I5" s="85"/>
      <c r="J5" s="85"/>
      <c r="L5" s="261" t="s">
        <v>1040</v>
      </c>
      <c r="M5" s="319"/>
      <c r="N5" s="86"/>
      <c r="O5" s="85"/>
      <c r="P5" s="85"/>
    </row>
    <row r="6" spans="1:16" ht="31" x14ac:dyDescent="0.35">
      <c r="D6" s="52"/>
      <c r="F6" s="272" t="s">
        <v>733</v>
      </c>
      <c r="G6" s="272" t="s">
        <v>734</v>
      </c>
      <c r="H6" s="272" t="s">
        <v>735</v>
      </c>
      <c r="I6" s="272" t="s">
        <v>736</v>
      </c>
      <c r="J6" s="114" t="s">
        <v>739</v>
      </c>
      <c r="K6" s="343"/>
      <c r="L6" s="272" t="s">
        <v>733</v>
      </c>
      <c r="M6" s="272" t="s">
        <v>734</v>
      </c>
      <c r="N6" s="272" t="s">
        <v>735</v>
      </c>
      <c r="O6" s="272" t="s">
        <v>736</v>
      </c>
      <c r="P6" s="114" t="s">
        <v>739</v>
      </c>
    </row>
    <row r="7" spans="1:16" x14ac:dyDescent="0.35">
      <c r="A7" s="322" t="s">
        <v>720</v>
      </c>
      <c r="B7" s="262"/>
      <c r="C7" s="262"/>
      <c r="D7" s="262"/>
      <c r="E7" s="262"/>
      <c r="F7" s="331"/>
      <c r="G7" s="262"/>
      <c r="H7" s="262"/>
      <c r="I7" s="262"/>
      <c r="J7" s="262"/>
      <c r="K7" s="262"/>
      <c r="L7" s="331"/>
      <c r="M7" s="262"/>
      <c r="N7" s="262"/>
      <c r="O7" s="262"/>
      <c r="P7" s="262"/>
    </row>
    <row r="8" spans="1:16" x14ac:dyDescent="0.35">
      <c r="A8" s="262"/>
      <c r="B8" s="262" t="s">
        <v>721</v>
      </c>
      <c r="C8" s="262"/>
      <c r="D8" s="262"/>
      <c r="E8" s="262"/>
      <c r="F8" s="332"/>
      <c r="G8" s="262"/>
      <c r="H8" s="262"/>
      <c r="I8" s="262"/>
      <c r="J8" s="262"/>
      <c r="K8" s="262"/>
      <c r="L8" s="332"/>
      <c r="M8" s="262"/>
      <c r="N8" s="262"/>
      <c r="O8" s="262"/>
      <c r="P8" s="262"/>
    </row>
    <row r="9" spans="1:16" ht="43.15" customHeight="1" x14ac:dyDescent="0.35">
      <c r="A9" s="262"/>
      <c r="B9" s="262"/>
      <c r="C9" s="262" t="s">
        <v>722</v>
      </c>
      <c r="D9" s="262"/>
      <c r="E9" s="262"/>
      <c r="F9" s="348">
        <v>0.1864179840027971</v>
      </c>
      <c r="G9" s="344">
        <v>0.2307574829519288</v>
      </c>
      <c r="H9" s="344">
        <v>0.11315514560168244</v>
      </c>
      <c r="I9" s="344">
        <v>0.46966938744359166</v>
      </c>
      <c r="J9" s="320" t="s">
        <v>762</v>
      </c>
      <c r="K9" s="262"/>
      <c r="L9" s="348">
        <v>0.1864179840027971</v>
      </c>
      <c r="M9" s="344">
        <v>0.2307574829519288</v>
      </c>
      <c r="N9" s="344">
        <v>0.11315514560168244</v>
      </c>
      <c r="O9" s="344">
        <v>0.46966938744359166</v>
      </c>
      <c r="P9" s="320" t="s">
        <v>779</v>
      </c>
    </row>
    <row r="10" spans="1:16" ht="85.9" customHeight="1" x14ac:dyDescent="0.35">
      <c r="A10" s="262"/>
      <c r="B10" s="262"/>
      <c r="C10" s="320" t="s">
        <v>723</v>
      </c>
      <c r="D10" s="262"/>
      <c r="E10" s="262"/>
      <c r="F10" s="348">
        <v>0.43803088229184928</v>
      </c>
      <c r="G10" s="344">
        <v>1.5198568782016827E-2</v>
      </c>
      <c r="H10" s="344">
        <v>0</v>
      </c>
      <c r="I10" s="344">
        <v>0.54677054892613386</v>
      </c>
      <c r="J10" s="320" t="s">
        <v>761</v>
      </c>
      <c r="K10" s="262"/>
      <c r="L10" s="348">
        <v>0.47077007035055296</v>
      </c>
      <c r="M10" s="344">
        <v>0</v>
      </c>
      <c r="N10" s="344">
        <v>0</v>
      </c>
      <c r="O10" s="344">
        <v>0.52922992964944704</v>
      </c>
      <c r="P10" s="320" t="s">
        <v>778</v>
      </c>
    </row>
    <row r="11" spans="1:16" ht="54" customHeight="1" x14ac:dyDescent="0.35">
      <c r="A11" s="262"/>
      <c r="B11" s="262"/>
      <c r="C11" s="320" t="s">
        <v>724</v>
      </c>
      <c r="D11" s="262"/>
      <c r="E11" s="262"/>
      <c r="F11" s="348">
        <v>0.43105221611650774</v>
      </c>
      <c r="G11" s="344">
        <v>9.5959351086090217E-2</v>
      </c>
      <c r="H11" s="344">
        <v>0</v>
      </c>
      <c r="I11" s="344">
        <v>0.47298843279740216</v>
      </c>
      <c r="J11" s="320" t="s">
        <v>761</v>
      </c>
      <c r="K11" s="262"/>
      <c r="L11" s="348">
        <v>0.19700000000000001</v>
      </c>
      <c r="M11" s="344">
        <v>3.9E-2</v>
      </c>
      <c r="N11" s="344">
        <v>0.01</v>
      </c>
      <c r="O11" s="344">
        <v>0.754</v>
      </c>
      <c r="P11" s="320" t="s">
        <v>780</v>
      </c>
    </row>
    <row r="12" spans="1:16" ht="57" customHeight="1" x14ac:dyDescent="0.35">
      <c r="A12" s="262"/>
      <c r="B12" s="262"/>
      <c r="C12" s="320" t="s">
        <v>725</v>
      </c>
      <c r="D12" s="262"/>
      <c r="E12" s="262"/>
      <c r="F12" s="348">
        <v>0.4642483789255118</v>
      </c>
      <c r="G12" s="344">
        <v>5.1251042124074817E-2</v>
      </c>
      <c r="H12" s="344">
        <v>0</v>
      </c>
      <c r="I12" s="344">
        <v>0.48450057895041337</v>
      </c>
      <c r="J12" s="320" t="s">
        <v>761</v>
      </c>
      <c r="K12" s="262"/>
      <c r="L12" s="348">
        <v>0.19700000000000001</v>
      </c>
      <c r="M12" s="344">
        <v>3.9E-2</v>
      </c>
      <c r="N12" s="344">
        <v>0.01</v>
      </c>
      <c r="O12" s="344">
        <v>0.754</v>
      </c>
      <c r="P12" s="320" t="s">
        <v>780</v>
      </c>
    </row>
    <row r="13" spans="1:16" ht="65.25" customHeight="1" x14ac:dyDescent="0.35">
      <c r="A13" s="262"/>
      <c r="B13" s="262"/>
      <c r="C13" s="320" t="s">
        <v>56</v>
      </c>
      <c r="D13" s="262"/>
      <c r="E13" s="262"/>
      <c r="F13" s="348">
        <v>0.46999957406456727</v>
      </c>
      <c r="G13" s="344">
        <v>0</v>
      </c>
      <c r="H13" s="344">
        <v>0</v>
      </c>
      <c r="I13" s="344">
        <v>0.53000042593543262</v>
      </c>
      <c r="J13" s="320" t="s">
        <v>763</v>
      </c>
      <c r="K13" s="262"/>
      <c r="L13" s="348">
        <v>7.4210526315789463E-2</v>
      </c>
      <c r="M13" s="344">
        <v>0</v>
      </c>
      <c r="N13" s="344">
        <v>0</v>
      </c>
      <c r="O13" s="344">
        <v>0.9257894736842105</v>
      </c>
      <c r="P13" s="347" t="s">
        <v>781</v>
      </c>
    </row>
    <row r="14" spans="1:16" ht="103.15" customHeight="1" x14ac:dyDescent="0.35">
      <c r="A14" s="262"/>
      <c r="B14" s="262"/>
      <c r="C14" s="320" t="s">
        <v>726</v>
      </c>
      <c r="D14" s="262"/>
      <c r="E14" s="262"/>
      <c r="F14" s="348">
        <v>0.13175001554429105</v>
      </c>
      <c r="G14" s="344">
        <v>3.4390019737535978E-2</v>
      </c>
      <c r="H14" s="344">
        <v>0</v>
      </c>
      <c r="I14" s="344">
        <v>0.83385996471817303</v>
      </c>
      <c r="J14" s="320" t="s">
        <v>764</v>
      </c>
      <c r="K14" s="262"/>
      <c r="L14" s="348">
        <v>0.13175001554429105</v>
      </c>
      <c r="M14" s="344">
        <v>3.4390019737535978E-2</v>
      </c>
      <c r="N14" s="344">
        <v>0</v>
      </c>
      <c r="O14" s="344">
        <v>0.83385996471817303</v>
      </c>
      <c r="P14" s="320" t="s">
        <v>779</v>
      </c>
    </row>
    <row r="15" spans="1:16" ht="50.65" customHeight="1" x14ac:dyDescent="0.35">
      <c r="A15" s="262"/>
      <c r="B15" s="262"/>
      <c r="C15" s="320" t="s">
        <v>727</v>
      </c>
      <c r="D15" s="262"/>
      <c r="E15" s="262"/>
      <c r="F15" s="348">
        <v>0.46811060216949674</v>
      </c>
      <c r="G15" s="344">
        <v>0.16753708459504005</v>
      </c>
      <c r="H15" s="344">
        <v>0</v>
      </c>
      <c r="I15" s="344">
        <v>0.36435231323546324</v>
      </c>
      <c r="J15" s="320" t="s">
        <v>765</v>
      </c>
      <c r="K15" s="262"/>
      <c r="L15" s="348">
        <v>0.19700000000000001</v>
      </c>
      <c r="M15" s="344">
        <v>3.9E-2</v>
      </c>
      <c r="N15" s="344">
        <v>0.01</v>
      </c>
      <c r="O15" s="344">
        <v>0.754</v>
      </c>
      <c r="P15" s="320" t="s">
        <v>780</v>
      </c>
    </row>
    <row r="16" spans="1:16" ht="47.65" customHeight="1" x14ac:dyDescent="0.35">
      <c r="A16" s="262"/>
      <c r="B16" s="262"/>
      <c r="C16" s="320" t="s">
        <v>728</v>
      </c>
      <c r="D16" s="262"/>
      <c r="E16" s="262"/>
      <c r="F16" s="348">
        <v>0.47000004248884553</v>
      </c>
      <c r="G16" s="344">
        <v>0.15290012335928144</v>
      </c>
      <c r="H16" s="344">
        <v>0</v>
      </c>
      <c r="I16" s="344">
        <v>0.37709983415187309</v>
      </c>
      <c r="J16" s="320" t="s">
        <v>765</v>
      </c>
      <c r="K16" s="262"/>
      <c r="L16" s="348">
        <v>0.19700000000000001</v>
      </c>
      <c r="M16" s="344">
        <v>3.9E-2</v>
      </c>
      <c r="N16" s="344">
        <v>0.01</v>
      </c>
      <c r="O16" s="344">
        <v>0.754</v>
      </c>
      <c r="P16" s="320" t="s">
        <v>780</v>
      </c>
    </row>
    <row r="17" spans="1:16" ht="48.65" customHeight="1" x14ac:dyDescent="0.35">
      <c r="A17" s="262"/>
      <c r="B17" s="262"/>
      <c r="C17" s="320" t="s">
        <v>13</v>
      </c>
      <c r="D17" s="262"/>
      <c r="E17" s="262"/>
      <c r="F17" s="348">
        <v>0.47000665354187182</v>
      </c>
      <c r="G17" s="344">
        <v>0</v>
      </c>
      <c r="H17" s="344">
        <v>0</v>
      </c>
      <c r="I17" s="344">
        <v>0.52999334645812823</v>
      </c>
      <c r="J17" s="320" t="s">
        <v>763</v>
      </c>
      <c r="K17" s="262"/>
      <c r="L17" s="348">
        <v>0.19700000000000001</v>
      </c>
      <c r="M17" s="344">
        <v>3.9E-2</v>
      </c>
      <c r="N17" s="344">
        <v>0.01</v>
      </c>
      <c r="O17" s="344">
        <v>0.754</v>
      </c>
      <c r="P17" s="320" t="s">
        <v>780</v>
      </c>
    </row>
    <row r="18" spans="1:16" ht="46.9" customHeight="1" x14ac:dyDescent="0.35">
      <c r="A18" s="262"/>
      <c r="B18" s="262"/>
      <c r="C18" s="320" t="s">
        <v>14</v>
      </c>
      <c r="D18" s="262"/>
      <c r="E18" s="262"/>
      <c r="F18" s="348">
        <v>0.47080371862665288</v>
      </c>
      <c r="G18" s="344">
        <v>9.6824984209290185E-2</v>
      </c>
      <c r="H18" s="344">
        <v>0</v>
      </c>
      <c r="I18" s="344">
        <v>0.43237129716405698</v>
      </c>
      <c r="J18" s="320" t="s">
        <v>765</v>
      </c>
      <c r="K18" s="262"/>
      <c r="L18" s="348">
        <v>0.19700000000000001</v>
      </c>
      <c r="M18" s="344">
        <v>3.9E-2</v>
      </c>
      <c r="N18" s="344">
        <v>0.01</v>
      </c>
      <c r="O18" s="344">
        <v>0.754</v>
      </c>
      <c r="P18" s="320" t="s">
        <v>780</v>
      </c>
    </row>
    <row r="19" spans="1:16" ht="9.65" customHeight="1" x14ac:dyDescent="0.35">
      <c r="A19" s="262"/>
      <c r="B19" s="262"/>
      <c r="C19" s="320"/>
      <c r="D19" s="262"/>
      <c r="E19" s="262"/>
      <c r="F19" s="348"/>
      <c r="G19" s="344"/>
      <c r="H19" s="344"/>
      <c r="I19" s="344"/>
      <c r="J19" s="320"/>
      <c r="K19" s="262"/>
      <c r="L19" s="348"/>
      <c r="M19" s="344"/>
      <c r="N19" s="344"/>
      <c r="O19" s="344"/>
      <c r="P19" s="320"/>
    </row>
    <row r="20" spans="1:16" x14ac:dyDescent="0.35">
      <c r="A20" s="262"/>
      <c r="B20" s="262" t="s">
        <v>740</v>
      </c>
      <c r="C20" s="262"/>
      <c r="D20" s="262"/>
      <c r="E20" s="262"/>
      <c r="F20" s="348"/>
      <c r="G20" s="344"/>
      <c r="H20" s="344"/>
      <c r="I20" s="344"/>
      <c r="J20" s="320"/>
      <c r="K20" s="262"/>
      <c r="L20" s="348"/>
      <c r="M20" s="344"/>
      <c r="N20" s="344"/>
      <c r="O20" s="344"/>
      <c r="P20" s="320"/>
    </row>
    <row r="21" spans="1:16" ht="46.5" x14ac:dyDescent="0.35">
      <c r="A21" s="262"/>
      <c r="B21" s="262"/>
      <c r="C21" s="262" t="s">
        <v>741</v>
      </c>
      <c r="D21" s="262"/>
      <c r="E21" s="262"/>
      <c r="F21" s="348">
        <v>0.14238690027593945</v>
      </c>
      <c r="G21" s="344">
        <v>0</v>
      </c>
      <c r="H21" s="344">
        <v>0</v>
      </c>
      <c r="I21" s="344">
        <v>0.85761309972406052</v>
      </c>
      <c r="J21" s="320" t="s">
        <v>766</v>
      </c>
      <c r="K21" s="262"/>
      <c r="L21" s="348">
        <v>7.4210526315789463E-2</v>
      </c>
      <c r="M21" s="344">
        <v>0</v>
      </c>
      <c r="N21" s="344">
        <v>0</v>
      </c>
      <c r="O21" s="344">
        <v>0.9257894736842105</v>
      </c>
      <c r="P21" s="347" t="s">
        <v>781</v>
      </c>
    </row>
    <row r="22" spans="1:16" ht="31" x14ac:dyDescent="0.35">
      <c r="A22" s="262"/>
      <c r="B22" s="262"/>
      <c r="C22" s="262" t="s">
        <v>742</v>
      </c>
      <c r="D22" s="262"/>
      <c r="E22" s="262"/>
      <c r="F22" s="348">
        <v>0.38035485822049298</v>
      </c>
      <c r="G22" s="344">
        <v>1.5459593771551192E-2</v>
      </c>
      <c r="H22" s="344">
        <v>0</v>
      </c>
      <c r="I22" s="344">
        <v>0.60418554800795599</v>
      </c>
      <c r="J22" s="320" t="s">
        <v>766</v>
      </c>
      <c r="K22" s="262"/>
      <c r="L22" s="348">
        <v>0.38035485822049298</v>
      </c>
      <c r="M22" s="344">
        <v>1.5459593771551192E-2</v>
      </c>
      <c r="N22" s="344">
        <v>0</v>
      </c>
      <c r="O22" s="344">
        <v>0.60418554800795599</v>
      </c>
      <c r="P22" s="320" t="s">
        <v>779</v>
      </c>
    </row>
    <row r="23" spans="1:16" ht="31" x14ac:dyDescent="0.35">
      <c r="A23" s="262"/>
      <c r="B23" s="262"/>
      <c r="C23" s="262" t="s">
        <v>743</v>
      </c>
      <c r="D23" s="262"/>
      <c r="E23" s="262"/>
      <c r="F23" s="348">
        <v>0.22804071751429342</v>
      </c>
      <c r="G23" s="344">
        <v>0</v>
      </c>
      <c r="H23" s="344">
        <v>0</v>
      </c>
      <c r="I23" s="344">
        <v>0.77195928248570655</v>
      </c>
      <c r="J23" s="320" t="s">
        <v>766</v>
      </c>
      <c r="K23" s="262"/>
      <c r="L23" s="348">
        <v>0</v>
      </c>
      <c r="M23" s="344">
        <v>0.05</v>
      </c>
      <c r="N23" s="344">
        <v>0</v>
      </c>
      <c r="O23" s="344">
        <v>0.95</v>
      </c>
      <c r="P23" s="320" t="s">
        <v>782</v>
      </c>
    </row>
    <row r="24" spans="1:16" ht="105" customHeight="1" x14ac:dyDescent="0.35">
      <c r="A24" s="262"/>
      <c r="B24" s="262"/>
      <c r="C24" s="320" t="s">
        <v>744</v>
      </c>
      <c r="D24" s="262"/>
      <c r="E24" s="262"/>
      <c r="F24" s="348">
        <v>0.19878397468989464</v>
      </c>
      <c r="G24" s="344">
        <v>0.14380622405375365</v>
      </c>
      <c r="H24" s="344">
        <v>0</v>
      </c>
      <c r="I24" s="344">
        <v>0.65740980125635162</v>
      </c>
      <c r="J24" s="320" t="s">
        <v>767</v>
      </c>
      <c r="K24" s="262"/>
      <c r="L24" s="348">
        <v>0.19878397468989464</v>
      </c>
      <c r="M24" s="344">
        <v>0.14380622405375365</v>
      </c>
      <c r="N24" s="344">
        <v>0</v>
      </c>
      <c r="O24" s="344">
        <v>0.65740980125635162</v>
      </c>
      <c r="P24" s="320" t="s">
        <v>779</v>
      </c>
    </row>
    <row r="25" spans="1:16" ht="31" x14ac:dyDescent="0.35">
      <c r="A25" s="262"/>
      <c r="B25" s="262"/>
      <c r="C25" s="262" t="s">
        <v>745</v>
      </c>
      <c r="D25" s="262"/>
      <c r="E25" s="262"/>
      <c r="F25" s="348">
        <v>0.17094599873843966</v>
      </c>
      <c r="G25" s="344">
        <v>0.16544353755238239</v>
      </c>
      <c r="H25" s="344">
        <v>0</v>
      </c>
      <c r="I25" s="344">
        <v>0.66361046370917798</v>
      </c>
      <c r="J25" s="320" t="s">
        <v>768</v>
      </c>
      <c r="K25" s="262"/>
      <c r="L25" s="348">
        <v>0.17094599873843966</v>
      </c>
      <c r="M25" s="344">
        <v>0.16544353755238239</v>
      </c>
      <c r="N25" s="344">
        <v>0</v>
      </c>
      <c r="O25" s="344">
        <v>0.66361046370917798</v>
      </c>
      <c r="P25" s="320" t="s">
        <v>779</v>
      </c>
    </row>
    <row r="26" spans="1:16" ht="8.65" customHeight="1" x14ac:dyDescent="0.35">
      <c r="A26" s="262"/>
      <c r="B26" s="262"/>
      <c r="C26" s="321"/>
      <c r="D26" s="262"/>
      <c r="E26" s="262"/>
      <c r="F26" s="348"/>
      <c r="G26" s="344"/>
      <c r="H26" s="344"/>
      <c r="I26" s="344"/>
      <c r="J26" s="320"/>
      <c r="K26" s="262"/>
      <c r="L26" s="348"/>
      <c r="M26" s="344"/>
      <c r="N26" s="344"/>
      <c r="O26" s="344"/>
      <c r="P26" s="320"/>
    </row>
    <row r="27" spans="1:16" x14ac:dyDescent="0.35">
      <c r="A27" s="262"/>
      <c r="B27" s="262" t="s">
        <v>641</v>
      </c>
      <c r="C27" s="262"/>
      <c r="D27" s="262"/>
      <c r="E27" s="262"/>
      <c r="F27" s="348"/>
      <c r="G27" s="344"/>
      <c r="H27" s="344"/>
      <c r="I27" s="344"/>
      <c r="J27" s="320"/>
      <c r="K27" s="262"/>
      <c r="L27" s="348"/>
      <c r="M27" s="344"/>
      <c r="N27" s="344"/>
      <c r="O27" s="344"/>
      <c r="P27" s="320"/>
    </row>
    <row r="28" spans="1:16" ht="32.65" customHeight="1" x14ac:dyDescent="0.35">
      <c r="A28" s="262"/>
      <c r="B28" s="262"/>
      <c r="C28" s="320" t="s">
        <v>748</v>
      </c>
      <c r="D28" s="262"/>
      <c r="E28" s="262"/>
      <c r="F28" s="348">
        <v>0.45000000000000007</v>
      </c>
      <c r="G28" s="344">
        <v>0.05</v>
      </c>
      <c r="H28" s="344">
        <v>0</v>
      </c>
      <c r="I28" s="344">
        <v>0.5</v>
      </c>
      <c r="J28" s="320" t="s">
        <v>771</v>
      </c>
      <c r="K28" s="262"/>
      <c r="L28" s="348">
        <v>0.45000000000000007</v>
      </c>
      <c r="M28" s="344">
        <v>0.05</v>
      </c>
      <c r="N28" s="344">
        <v>0</v>
      </c>
      <c r="O28" s="344">
        <v>0.5</v>
      </c>
      <c r="P28" s="320" t="s">
        <v>779</v>
      </c>
    </row>
    <row r="29" spans="1:16" ht="47.65" customHeight="1" x14ac:dyDescent="0.35">
      <c r="A29" s="262"/>
      <c r="B29" s="262"/>
      <c r="C29" s="320" t="s">
        <v>749</v>
      </c>
      <c r="D29" s="262"/>
      <c r="E29" s="262"/>
      <c r="F29" s="348">
        <v>0.219999950846787</v>
      </c>
      <c r="G29" s="344">
        <v>6.9999984360341314E-2</v>
      </c>
      <c r="H29" s="344">
        <v>0</v>
      </c>
      <c r="I29" s="344">
        <v>0.71000006479287181</v>
      </c>
      <c r="J29" s="320" t="s">
        <v>769</v>
      </c>
      <c r="K29" s="262"/>
      <c r="L29" s="348">
        <v>0.219999950846787</v>
      </c>
      <c r="M29" s="344">
        <v>6.9999984360341314E-2</v>
      </c>
      <c r="N29" s="344">
        <v>0</v>
      </c>
      <c r="O29" s="344">
        <v>0.71000006479287181</v>
      </c>
      <c r="P29" s="320" t="s">
        <v>779</v>
      </c>
    </row>
    <row r="30" spans="1:16" ht="31" x14ac:dyDescent="0.35">
      <c r="A30" s="262"/>
      <c r="B30" s="262"/>
      <c r="C30" s="262" t="s">
        <v>750</v>
      </c>
      <c r="D30" s="262"/>
      <c r="E30" s="262"/>
      <c r="F30" s="348">
        <v>0.35000232302426781</v>
      </c>
      <c r="G30" s="344">
        <v>0.25000387170711308</v>
      </c>
      <c r="H30" s="344">
        <v>0</v>
      </c>
      <c r="I30" s="344">
        <v>0.399993805268619</v>
      </c>
      <c r="J30" s="320" t="s">
        <v>770</v>
      </c>
      <c r="K30" s="262"/>
      <c r="L30" s="348">
        <v>0.35000232302426781</v>
      </c>
      <c r="M30" s="344">
        <v>0.25000387170711308</v>
      </c>
      <c r="N30" s="344">
        <v>0</v>
      </c>
      <c r="O30" s="344">
        <v>0.399993805268619</v>
      </c>
      <c r="P30" s="320" t="s">
        <v>779</v>
      </c>
    </row>
    <row r="31" spans="1:16" ht="82.9" customHeight="1" x14ac:dyDescent="0.35">
      <c r="A31" s="262"/>
      <c r="B31" s="262"/>
      <c r="C31" s="320" t="s">
        <v>751</v>
      </c>
      <c r="D31" s="262"/>
      <c r="E31" s="262"/>
      <c r="F31" s="348">
        <v>0.46999995327355459</v>
      </c>
      <c r="G31" s="344">
        <v>0</v>
      </c>
      <c r="H31" s="344">
        <v>0</v>
      </c>
      <c r="I31" s="344">
        <v>0.53000004672644541</v>
      </c>
      <c r="J31" s="320" t="s">
        <v>772</v>
      </c>
      <c r="K31" s="262"/>
      <c r="L31" s="348">
        <v>0.46999995327355459</v>
      </c>
      <c r="M31" s="344">
        <v>0</v>
      </c>
      <c r="N31" s="344">
        <v>0</v>
      </c>
      <c r="O31" s="344">
        <v>0.53000004672644541</v>
      </c>
      <c r="P31" s="320" t="s">
        <v>779</v>
      </c>
    </row>
    <row r="32" spans="1:16" ht="31" x14ac:dyDescent="0.35">
      <c r="A32" s="262"/>
      <c r="B32" s="262"/>
      <c r="C32" s="262" t="s">
        <v>752</v>
      </c>
      <c r="D32" s="262"/>
      <c r="E32" s="262"/>
      <c r="F32" s="348">
        <v>9.998837344494825E-2</v>
      </c>
      <c r="G32" s="344">
        <v>9.998837344494825E-2</v>
      </c>
      <c r="H32" s="344">
        <v>0</v>
      </c>
      <c r="I32" s="344">
        <v>0.80002325311010347</v>
      </c>
      <c r="J32" s="320" t="s">
        <v>773</v>
      </c>
      <c r="K32" s="262"/>
      <c r="L32" s="348">
        <v>9.998837344494825E-2</v>
      </c>
      <c r="M32" s="344">
        <v>9.998837344494825E-2</v>
      </c>
      <c r="N32" s="344">
        <v>0</v>
      </c>
      <c r="O32" s="344">
        <v>0.80002325311010347</v>
      </c>
      <c r="P32" s="320" t="s">
        <v>779</v>
      </c>
    </row>
    <row r="33" spans="1:16" ht="31" x14ac:dyDescent="0.35">
      <c r="A33" s="262"/>
      <c r="B33" s="262"/>
      <c r="C33" s="262" t="s">
        <v>753</v>
      </c>
      <c r="D33" s="262"/>
      <c r="E33" s="262"/>
      <c r="F33" s="348">
        <v>0.5</v>
      </c>
      <c r="G33" s="344">
        <v>0</v>
      </c>
      <c r="H33" s="344">
        <v>0</v>
      </c>
      <c r="I33" s="344">
        <v>0.5</v>
      </c>
      <c r="J33" s="320" t="s">
        <v>774</v>
      </c>
      <c r="K33" s="262"/>
      <c r="L33" s="348">
        <v>0.5</v>
      </c>
      <c r="M33" s="344">
        <v>0</v>
      </c>
      <c r="N33" s="344">
        <v>0</v>
      </c>
      <c r="O33" s="344">
        <v>0.5</v>
      </c>
      <c r="P33" s="320" t="s">
        <v>779</v>
      </c>
    </row>
    <row r="34" spans="1:16" ht="31" x14ac:dyDescent="0.35">
      <c r="A34" s="262"/>
      <c r="B34" s="262"/>
      <c r="C34" s="262" t="s">
        <v>754</v>
      </c>
      <c r="D34" s="262"/>
      <c r="E34" s="262"/>
      <c r="F34" s="348">
        <v>0.20999967975405112</v>
      </c>
      <c r="G34" s="344">
        <v>0</v>
      </c>
      <c r="H34" s="344">
        <v>0</v>
      </c>
      <c r="I34" s="344">
        <v>0.79000032024594891</v>
      </c>
      <c r="J34" s="320" t="s">
        <v>775</v>
      </c>
      <c r="K34" s="262"/>
      <c r="L34" s="348">
        <v>0.20999967975405112</v>
      </c>
      <c r="M34" s="344">
        <v>0</v>
      </c>
      <c r="N34" s="344">
        <v>0</v>
      </c>
      <c r="O34" s="344">
        <v>0.79000032024594891</v>
      </c>
      <c r="P34" s="320" t="s">
        <v>779</v>
      </c>
    </row>
    <row r="35" spans="1:16" ht="31" x14ac:dyDescent="0.35">
      <c r="A35" s="262"/>
      <c r="B35" s="262"/>
      <c r="C35" s="262" t="s">
        <v>755</v>
      </c>
      <c r="D35" s="262"/>
      <c r="E35" s="262"/>
      <c r="F35" s="348">
        <v>0.48000414421881477</v>
      </c>
      <c r="G35" s="344">
        <v>0</v>
      </c>
      <c r="H35" s="344">
        <v>0</v>
      </c>
      <c r="I35" s="344">
        <v>0.51999585578118523</v>
      </c>
      <c r="J35" s="320" t="s">
        <v>776</v>
      </c>
      <c r="K35" s="262"/>
      <c r="L35" s="348">
        <v>0.48000414421881477</v>
      </c>
      <c r="M35" s="344">
        <v>0</v>
      </c>
      <c r="N35" s="344">
        <v>0</v>
      </c>
      <c r="O35" s="344">
        <v>0.51999585578118523</v>
      </c>
      <c r="P35" s="320" t="s">
        <v>779</v>
      </c>
    </row>
    <row r="36" spans="1:16" ht="31" x14ac:dyDescent="0.35">
      <c r="A36" s="262"/>
      <c r="B36" s="262"/>
      <c r="C36" s="262" t="s">
        <v>756</v>
      </c>
      <c r="D36" s="262"/>
      <c r="E36" s="262"/>
      <c r="F36" s="349">
        <v>0.3</v>
      </c>
      <c r="G36" s="344">
        <v>0.1</v>
      </c>
      <c r="H36" s="344">
        <v>0</v>
      </c>
      <c r="I36" s="344">
        <v>0.6</v>
      </c>
      <c r="J36" s="320" t="s">
        <v>777</v>
      </c>
      <c r="K36" s="262"/>
      <c r="L36" s="349">
        <v>0.3</v>
      </c>
      <c r="M36" s="344">
        <v>0.1</v>
      </c>
      <c r="N36" s="344">
        <v>0</v>
      </c>
      <c r="O36" s="344">
        <v>0.6</v>
      </c>
      <c r="P36" s="320" t="s">
        <v>779</v>
      </c>
    </row>
    <row r="37" spans="1:16" x14ac:dyDescent="0.35">
      <c r="A37" s="262"/>
      <c r="B37" s="262"/>
      <c r="C37" s="321"/>
      <c r="D37" s="262"/>
      <c r="E37" s="262"/>
      <c r="F37" s="344"/>
      <c r="G37" s="344"/>
      <c r="H37" s="344"/>
      <c r="I37" s="344"/>
      <c r="J37" s="262"/>
      <c r="K37" s="262"/>
      <c r="L37" s="344"/>
      <c r="M37" s="344"/>
      <c r="N37" s="344"/>
      <c r="O37" s="344"/>
      <c r="P37" s="262"/>
    </row>
    <row r="38" spans="1:16" x14ac:dyDescent="0.35">
      <c r="F38" s="345"/>
      <c r="G38" s="345"/>
      <c r="H38" s="345"/>
      <c r="I38" s="345"/>
      <c r="L38" s="345"/>
      <c r="M38" s="345"/>
      <c r="N38" s="345"/>
      <c r="O38" s="345"/>
    </row>
    <row r="39" spans="1:16" x14ac:dyDescent="0.35">
      <c r="F39" s="345"/>
      <c r="G39" s="345"/>
      <c r="H39" s="345"/>
      <c r="I39" s="345"/>
      <c r="L39" s="345"/>
      <c r="M39" s="345"/>
      <c r="N39" s="345"/>
      <c r="O39" s="345"/>
    </row>
    <row r="40" spans="1:16" x14ac:dyDescent="0.35">
      <c r="F40" s="345"/>
      <c r="G40" s="345"/>
      <c r="H40" s="345"/>
      <c r="I40" s="345"/>
      <c r="L40" s="345"/>
      <c r="M40" s="345"/>
      <c r="N40" s="345"/>
      <c r="O40" s="345"/>
    </row>
    <row r="41" spans="1:16" x14ac:dyDescent="0.35">
      <c r="A41" s="40"/>
      <c r="F41" s="346"/>
      <c r="G41" s="346"/>
      <c r="H41" s="346"/>
      <c r="I41" s="346"/>
      <c r="L41" s="346"/>
      <c r="M41" s="346"/>
      <c r="N41" s="346"/>
      <c r="O41" s="346"/>
    </row>
    <row r="42" spans="1:16" x14ac:dyDescent="0.35">
      <c r="F42" s="345"/>
      <c r="G42" s="345"/>
      <c r="H42" s="345"/>
      <c r="I42" s="345"/>
      <c r="L42" s="345"/>
      <c r="M42" s="345"/>
      <c r="N42" s="345"/>
      <c r="O42" s="345"/>
    </row>
    <row r="43" spans="1:16" x14ac:dyDescent="0.35">
      <c r="F43" s="345"/>
      <c r="G43" s="345"/>
      <c r="H43" s="345"/>
      <c r="I43" s="345"/>
      <c r="L43" s="345"/>
      <c r="M43" s="345"/>
      <c r="N43" s="345"/>
      <c r="O43" s="345"/>
    </row>
    <row r="44" spans="1:16" x14ac:dyDescent="0.35">
      <c r="F44" s="345"/>
      <c r="G44" s="345"/>
      <c r="H44" s="345"/>
      <c r="I44" s="345"/>
      <c r="L44" s="345"/>
      <c r="M44" s="345"/>
      <c r="N44" s="345"/>
      <c r="O44" s="345"/>
    </row>
    <row r="45" spans="1:16" x14ac:dyDescent="0.35">
      <c r="F45" s="345"/>
      <c r="G45" s="345"/>
      <c r="H45" s="345"/>
      <c r="I45" s="345"/>
      <c r="L45" s="345"/>
      <c r="M45" s="345"/>
      <c r="N45" s="345"/>
      <c r="O45" s="345"/>
    </row>
    <row r="46" spans="1:16" x14ac:dyDescent="0.35">
      <c r="F46" s="345"/>
      <c r="G46" s="345"/>
      <c r="H46" s="345"/>
      <c r="I46" s="345"/>
      <c r="L46" s="345"/>
      <c r="M46" s="345"/>
      <c r="N46" s="345"/>
      <c r="O46" s="345"/>
    </row>
  </sheetData>
  <pageMargins left="0.7" right="0.7" top="0.75" bottom="0.75" header="0.3" footer="0.3"/>
  <pageSetup scale="4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0" tint="-0.14999847407452621"/>
  </sheetPr>
  <dimension ref="A1:N63"/>
  <sheetViews>
    <sheetView zoomScale="75" zoomScaleNormal="75" workbookViewId="0">
      <selection activeCell="S14" sqref="S14"/>
    </sheetView>
  </sheetViews>
  <sheetFormatPr defaultColWidth="8.7265625" defaultRowHeight="15.5" x14ac:dyDescent="0.35"/>
  <cols>
    <col min="1" max="1" width="3.54296875" style="26" customWidth="1"/>
    <col min="2" max="2" width="2.7265625" style="26" customWidth="1"/>
    <col min="3" max="3" width="10.54296875" style="26" customWidth="1"/>
    <col min="4" max="4" width="8.7265625" style="26"/>
    <col min="5" max="5" width="14.54296875" style="26" customWidth="1"/>
    <col min="6" max="6" width="16.7265625" style="26" customWidth="1"/>
    <col min="7" max="7" width="15.7265625" style="26" customWidth="1"/>
    <col min="8" max="8" width="13.7265625" style="26" customWidth="1"/>
    <col min="9" max="9" width="13.26953125" style="26" customWidth="1"/>
    <col min="10" max="10" width="2.26953125" style="26" customWidth="1"/>
    <col min="11" max="11" width="8.7265625" style="26"/>
    <col min="12" max="12" width="8.7265625" style="26" customWidth="1"/>
    <col min="13" max="13" width="4.26953125" style="26" customWidth="1"/>
    <col min="14" max="14" width="47.54296875" style="26" customWidth="1"/>
    <col min="15" max="16384" width="8.7265625" style="26"/>
  </cols>
  <sheetData>
    <row r="1" spans="1:14" x14ac:dyDescent="0.35">
      <c r="A1" s="25" t="s">
        <v>4</v>
      </c>
    </row>
    <row r="2" spans="1:14" x14ac:dyDescent="0.35">
      <c r="A2" s="25" t="s">
        <v>109</v>
      </c>
    </row>
    <row r="3" spans="1:14" x14ac:dyDescent="0.35">
      <c r="A3" s="25" t="s">
        <v>787</v>
      </c>
      <c r="N3" s="50" t="s">
        <v>154</v>
      </c>
    </row>
    <row r="5" spans="1:14" x14ac:dyDescent="0.35">
      <c r="A5" s="25" t="s">
        <v>788</v>
      </c>
      <c r="H5" s="367" t="s">
        <v>91</v>
      </c>
      <c r="I5" s="367"/>
    </row>
    <row r="6" spans="1:14" ht="15.65" customHeight="1" x14ac:dyDescent="0.35">
      <c r="F6" s="51" t="s">
        <v>171</v>
      </c>
      <c r="G6" s="51" t="s">
        <v>932</v>
      </c>
      <c r="H6" s="51" t="s">
        <v>799</v>
      </c>
      <c r="I6" s="51" t="s">
        <v>800</v>
      </c>
      <c r="K6" s="66" t="s">
        <v>739</v>
      </c>
      <c r="N6" s="66" t="s">
        <v>810</v>
      </c>
    </row>
    <row r="7" spans="1:14" ht="15.65" customHeight="1" x14ac:dyDescent="0.35">
      <c r="A7" s="26" t="s">
        <v>929</v>
      </c>
    </row>
    <row r="8" spans="1:14" ht="15.65" customHeight="1" x14ac:dyDescent="0.35">
      <c r="B8" s="26" t="s">
        <v>792</v>
      </c>
      <c r="F8" s="52">
        <v>10</v>
      </c>
      <c r="G8" s="352">
        <v>61065</v>
      </c>
      <c r="H8" s="33">
        <f>(G8/F8)*$E$56</f>
        <v>3229.7610845778245</v>
      </c>
      <c r="I8" s="33">
        <f>(G8/F8)*$E$57</f>
        <v>2876.7389154221764</v>
      </c>
      <c r="K8" s="26" t="s">
        <v>801</v>
      </c>
      <c r="N8" s="26" t="s">
        <v>933</v>
      </c>
    </row>
    <row r="9" spans="1:14" ht="15.65" customHeight="1" x14ac:dyDescent="0.35">
      <c r="B9" s="26" t="s">
        <v>793</v>
      </c>
      <c r="F9" s="52">
        <v>7</v>
      </c>
      <c r="G9" s="353">
        <v>51800</v>
      </c>
      <c r="H9" s="34">
        <f>(G9/F9)*$E$56</f>
        <v>3913.9002744413169</v>
      </c>
      <c r="I9" s="34">
        <f>(G9/F9)*$E$57</f>
        <v>3486.0997255586844</v>
      </c>
      <c r="K9" s="26" t="s">
        <v>801</v>
      </c>
      <c r="N9" s="26" t="s">
        <v>934</v>
      </c>
    </row>
    <row r="10" spans="1:14" ht="15.65" customHeight="1" x14ac:dyDescent="0.35">
      <c r="B10" s="26" t="s">
        <v>930</v>
      </c>
      <c r="F10" s="52">
        <v>35</v>
      </c>
      <c r="G10" s="354">
        <v>3820960.1799999997</v>
      </c>
      <c r="H10" s="35">
        <f>(G10/F10)*$E$56</f>
        <v>57740.760992785101</v>
      </c>
      <c r="I10" s="35">
        <f>(G10/F10)*$E$57</f>
        <v>51429.529864357763</v>
      </c>
      <c r="K10" s="26" t="s">
        <v>801</v>
      </c>
      <c r="N10" s="26" t="s">
        <v>935</v>
      </c>
    </row>
    <row r="11" spans="1:14" ht="15.65" customHeight="1" x14ac:dyDescent="0.35">
      <c r="B11" s="40" t="s">
        <v>931</v>
      </c>
      <c r="G11" s="33">
        <f>SUM(G8:G10)</f>
        <v>3933825.1799999997</v>
      </c>
      <c r="H11" s="33">
        <f>SUM(H8:H10)</f>
        <v>64884.422351804242</v>
      </c>
      <c r="I11" s="33">
        <f>SUM(I8:I10)</f>
        <v>57792.368505338622</v>
      </c>
    </row>
    <row r="12" spans="1:14" ht="15.65" customHeight="1" x14ac:dyDescent="0.35"/>
    <row r="13" spans="1:14" x14ac:dyDescent="0.35">
      <c r="A13" s="26" t="s">
        <v>789</v>
      </c>
      <c r="G13" s="51" t="s">
        <v>798</v>
      </c>
      <c r="H13" s="51" t="s">
        <v>799</v>
      </c>
      <c r="I13" s="51" t="s">
        <v>800</v>
      </c>
      <c r="K13" s="66"/>
      <c r="N13" s="66"/>
    </row>
    <row r="14" spans="1:14" x14ac:dyDescent="0.35">
      <c r="B14" s="26" t="s">
        <v>790</v>
      </c>
    </row>
    <row r="15" spans="1:14" x14ac:dyDescent="0.35">
      <c r="B15" s="26" t="s">
        <v>791</v>
      </c>
    </row>
    <row r="16" spans="1:14" x14ac:dyDescent="0.35">
      <c r="C16" s="26" t="s">
        <v>792</v>
      </c>
      <c r="G16" s="352">
        <v>750</v>
      </c>
      <c r="H16" s="128">
        <f t="shared" ref="H16:H22" si="0">G16*$E$56</f>
        <v>396.67908186905237</v>
      </c>
      <c r="I16" s="128">
        <f t="shared" ref="I16:I22" si="1">G16*$E$57</f>
        <v>353.32091813094775</v>
      </c>
      <c r="K16" s="26" t="s">
        <v>801</v>
      </c>
      <c r="N16" s="26" t="s">
        <v>811</v>
      </c>
    </row>
    <row r="17" spans="2:14" x14ac:dyDescent="0.35">
      <c r="C17" s="26" t="s">
        <v>793</v>
      </c>
      <c r="G17" s="353">
        <v>1800</v>
      </c>
      <c r="H17" s="34">
        <f t="shared" si="0"/>
        <v>952.02979648572568</v>
      </c>
      <c r="I17" s="34">
        <f t="shared" si="1"/>
        <v>847.97020351427454</v>
      </c>
      <c r="K17" s="26" t="s">
        <v>801</v>
      </c>
      <c r="N17" s="26" t="s">
        <v>812</v>
      </c>
    </row>
    <row r="18" spans="2:14" x14ac:dyDescent="0.35">
      <c r="C18" s="26" t="s">
        <v>794</v>
      </c>
      <c r="G18" s="353">
        <v>8050.77</v>
      </c>
      <c r="H18" s="34">
        <f t="shared" si="0"/>
        <v>4258.0960692518811</v>
      </c>
      <c r="I18" s="34">
        <f t="shared" si="1"/>
        <v>3792.6739307481207</v>
      </c>
      <c r="K18" s="26" t="s">
        <v>801</v>
      </c>
      <c r="N18" s="26" t="s">
        <v>812</v>
      </c>
    </row>
    <row r="19" spans="2:14" x14ac:dyDescent="0.35">
      <c r="C19" s="26" t="s">
        <v>722</v>
      </c>
      <c r="G19" s="353">
        <v>19589.052</v>
      </c>
      <c r="H19" s="34">
        <f t="shared" si="0"/>
        <v>10360.756216060165</v>
      </c>
      <c r="I19" s="34">
        <f t="shared" si="1"/>
        <v>9228.2957839398368</v>
      </c>
      <c r="K19" s="26" t="s">
        <v>801</v>
      </c>
      <c r="N19" s="26" t="s">
        <v>813</v>
      </c>
    </row>
    <row r="20" spans="2:14" x14ac:dyDescent="0.35">
      <c r="C20" s="26" t="s">
        <v>795</v>
      </c>
      <c r="G20" s="353">
        <v>327.15025906735752</v>
      </c>
      <c r="H20" s="34">
        <f t="shared" si="0"/>
        <v>173.031552533416</v>
      </c>
      <c r="I20" s="34">
        <f t="shared" si="1"/>
        <v>154.11870653394158</v>
      </c>
      <c r="K20" s="26" t="s">
        <v>801</v>
      </c>
      <c r="N20" s="26" t="s">
        <v>814</v>
      </c>
    </row>
    <row r="21" spans="2:14" x14ac:dyDescent="0.35">
      <c r="C21" s="26" t="s">
        <v>796</v>
      </c>
      <c r="G21" s="353">
        <v>1500</v>
      </c>
      <c r="H21" s="34">
        <f t="shared" si="0"/>
        <v>793.35816373810474</v>
      </c>
      <c r="I21" s="34">
        <f t="shared" si="1"/>
        <v>706.64183626189549</v>
      </c>
      <c r="K21" s="26" t="s">
        <v>801</v>
      </c>
      <c r="N21" s="26" t="s">
        <v>815</v>
      </c>
    </row>
    <row r="22" spans="2:14" x14ac:dyDescent="0.35">
      <c r="C22" s="26" t="s">
        <v>797</v>
      </c>
      <c r="G22" s="354">
        <v>3264.75</v>
      </c>
      <c r="H22" s="35">
        <f t="shared" si="0"/>
        <v>1726.744043375985</v>
      </c>
      <c r="I22" s="35">
        <f t="shared" si="1"/>
        <v>1538.0059566240157</v>
      </c>
      <c r="K22" s="26" t="s">
        <v>801</v>
      </c>
      <c r="N22" s="26" t="s">
        <v>816</v>
      </c>
    </row>
    <row r="23" spans="2:14" ht="15" customHeight="1" x14ac:dyDescent="0.35">
      <c r="C23" s="40" t="s">
        <v>828</v>
      </c>
      <c r="G23" s="33">
        <f>SUM(G16:G22)</f>
        <v>35281.722259067363</v>
      </c>
      <c r="H23" s="128">
        <f>SUM(H16:H22)</f>
        <v>18660.694923314328</v>
      </c>
      <c r="I23" s="133">
        <f>SUM(I16:I22)</f>
        <v>16621.027335753031</v>
      </c>
    </row>
    <row r="25" spans="2:14" x14ac:dyDescent="0.35">
      <c r="G25" s="51" t="s">
        <v>806</v>
      </c>
      <c r="H25" s="51" t="s">
        <v>807</v>
      </c>
      <c r="I25" s="51" t="s">
        <v>808</v>
      </c>
    </row>
    <row r="26" spans="2:14" x14ac:dyDescent="0.35">
      <c r="B26" s="26" t="s">
        <v>803</v>
      </c>
    </row>
    <row r="27" spans="2:14" x14ac:dyDescent="0.35">
      <c r="C27" s="26" t="s">
        <v>927</v>
      </c>
      <c r="G27" s="351">
        <v>14.12</v>
      </c>
      <c r="H27" s="117">
        <f>G27*0.38</f>
        <v>5.3655999999999997</v>
      </c>
      <c r="I27" s="117">
        <f>G27+H27</f>
        <v>19.485599999999998</v>
      </c>
      <c r="N27" s="26" t="s">
        <v>817</v>
      </c>
    </row>
    <row r="28" spans="2:14" x14ac:dyDescent="0.35">
      <c r="C28" s="26" t="s">
        <v>804</v>
      </c>
      <c r="G28" s="351">
        <v>14.72</v>
      </c>
      <c r="H28" s="117">
        <f>G28*0.38</f>
        <v>5.5936000000000003</v>
      </c>
      <c r="I28" s="117">
        <f>G28+H28</f>
        <v>20.313600000000001</v>
      </c>
      <c r="N28" s="26" t="s">
        <v>821</v>
      </c>
    </row>
    <row r="29" spans="2:14" x14ac:dyDescent="0.35">
      <c r="C29" s="26" t="s">
        <v>805</v>
      </c>
      <c r="G29" s="351">
        <v>17.34</v>
      </c>
      <c r="H29" s="117">
        <f>G29*0.38</f>
        <v>6.5891999999999999</v>
      </c>
      <c r="I29" s="117">
        <f>G29+H29</f>
        <v>23.929200000000002</v>
      </c>
    </row>
    <row r="31" spans="2:14" x14ac:dyDescent="0.35">
      <c r="B31" s="26" t="s">
        <v>818</v>
      </c>
      <c r="F31" s="51" t="s">
        <v>805</v>
      </c>
      <c r="G31" s="51" t="s">
        <v>819</v>
      </c>
      <c r="H31" s="51" t="s">
        <v>820</v>
      </c>
      <c r="I31" s="51" t="s">
        <v>44</v>
      </c>
    </row>
    <row r="32" spans="2:14" x14ac:dyDescent="0.35">
      <c r="C32" s="26" t="s">
        <v>822</v>
      </c>
      <c r="F32" s="52"/>
      <c r="G32" s="52">
        <v>120</v>
      </c>
      <c r="H32" s="52"/>
      <c r="I32" s="52">
        <f>SUM(F32:H32)</f>
        <v>120</v>
      </c>
    </row>
    <row r="33" spans="1:11" x14ac:dyDescent="0.35">
      <c r="C33" s="26" t="s">
        <v>823</v>
      </c>
      <c r="F33" s="52">
        <v>15</v>
      </c>
      <c r="G33" s="52"/>
      <c r="H33" s="52"/>
      <c r="I33" s="52">
        <f>SUM(F33:H33)</f>
        <v>15</v>
      </c>
    </row>
    <row r="34" spans="1:11" x14ac:dyDescent="0.35">
      <c r="C34" s="26" t="s">
        <v>824</v>
      </c>
      <c r="F34" s="52"/>
      <c r="G34" s="52"/>
      <c r="H34" s="52">
        <v>9.3000000000000007</v>
      </c>
      <c r="I34" s="52">
        <f>SUM(F34:H34)</f>
        <v>9.3000000000000007</v>
      </c>
    </row>
    <row r="36" spans="1:11" x14ac:dyDescent="0.35">
      <c r="B36" s="26" t="s">
        <v>825</v>
      </c>
    </row>
    <row r="37" spans="1:11" x14ac:dyDescent="0.35">
      <c r="C37" s="26" t="s">
        <v>822</v>
      </c>
      <c r="F37" s="117"/>
      <c r="G37" s="117">
        <f>G32*I27</f>
        <v>2338.2719999999999</v>
      </c>
    </row>
    <row r="38" spans="1:11" x14ac:dyDescent="0.35">
      <c r="C38" s="26" t="s">
        <v>823</v>
      </c>
      <c r="F38" s="117">
        <f>F33*I29</f>
        <v>358.93800000000005</v>
      </c>
    </row>
    <row r="39" spans="1:11" x14ac:dyDescent="0.35">
      <c r="C39" s="26" t="s">
        <v>824</v>
      </c>
      <c r="H39" s="117">
        <f>H34*I28</f>
        <v>188.91648000000004</v>
      </c>
    </row>
    <row r="40" spans="1:11" ht="10.15" customHeight="1" x14ac:dyDescent="0.35"/>
    <row r="41" spans="1:11" x14ac:dyDescent="0.35">
      <c r="C41" s="26" t="s">
        <v>826</v>
      </c>
      <c r="F41" s="128">
        <f>F38</f>
        <v>358.93800000000005</v>
      </c>
      <c r="G41" s="128">
        <f>G37</f>
        <v>2338.2719999999999</v>
      </c>
      <c r="H41" s="128">
        <f>H39</f>
        <v>188.91648000000004</v>
      </c>
      <c r="I41" s="128">
        <f>SUM(F41:H41)</f>
        <v>2886.1264799999999</v>
      </c>
    </row>
    <row r="42" spans="1:11" x14ac:dyDescent="0.35">
      <c r="C42" s="26" t="s">
        <v>827</v>
      </c>
      <c r="F42" s="128">
        <f>F41*52</f>
        <v>18664.776000000002</v>
      </c>
      <c r="G42" s="128">
        <f>G41*52</f>
        <v>121590.144</v>
      </c>
      <c r="H42" s="128">
        <f>H41*52</f>
        <v>9823.6569600000021</v>
      </c>
      <c r="I42" s="133">
        <f>SUM(F42:H42)</f>
        <v>150078.57696000001</v>
      </c>
    </row>
    <row r="44" spans="1:11" x14ac:dyDescent="0.35">
      <c r="G44" s="51" t="s">
        <v>799</v>
      </c>
      <c r="H44" s="51" t="s">
        <v>800</v>
      </c>
      <c r="I44" s="51" t="s">
        <v>44</v>
      </c>
    </row>
    <row r="45" spans="1:11" ht="5.65" customHeight="1" x14ac:dyDescent="0.35"/>
    <row r="46" spans="1:11" x14ac:dyDescent="0.35">
      <c r="A46" s="26" t="s">
        <v>829</v>
      </c>
    </row>
    <row r="47" spans="1:11" x14ac:dyDescent="0.35">
      <c r="B47" s="26" t="s">
        <v>720</v>
      </c>
    </row>
    <row r="48" spans="1:11" x14ac:dyDescent="0.35">
      <c r="C48" s="26" t="s">
        <v>790</v>
      </c>
      <c r="G48" s="128">
        <f>H23</f>
        <v>18660.694923314328</v>
      </c>
      <c r="H48" s="128">
        <f>I23</f>
        <v>16621.027335753031</v>
      </c>
      <c r="I48" s="128">
        <f>SUM(G48:H48)</f>
        <v>35281.722259067363</v>
      </c>
      <c r="K48" s="26" t="s">
        <v>801</v>
      </c>
    </row>
    <row r="49" spans="1:11" x14ac:dyDescent="0.35">
      <c r="C49" s="26" t="s">
        <v>830</v>
      </c>
      <c r="G49" s="35">
        <f>I42*E56</f>
        <v>79377.376155608959</v>
      </c>
      <c r="H49" s="35">
        <f>I42*E57</f>
        <v>70701.200804391076</v>
      </c>
      <c r="I49" s="35">
        <f>SUM(G49:H49)</f>
        <v>150078.57696000003</v>
      </c>
      <c r="K49" s="26" t="s">
        <v>801</v>
      </c>
    </row>
    <row r="50" spans="1:11" ht="7.15" customHeight="1" thickBot="1" x14ac:dyDescent="0.4">
      <c r="G50" s="34"/>
      <c r="H50" s="34"/>
    </row>
    <row r="51" spans="1:11" ht="16" thickBot="1" x14ac:dyDescent="0.4">
      <c r="B51" s="26" t="s">
        <v>831</v>
      </c>
      <c r="G51" s="128">
        <f>SUM(G48:G49)</f>
        <v>98038.071078923283</v>
      </c>
      <c r="H51" s="368">
        <f>SUM(H48:H49)</f>
        <v>87322.228140144114</v>
      </c>
    </row>
    <row r="52" spans="1:11" x14ac:dyDescent="0.35">
      <c r="H52" s="128"/>
    </row>
    <row r="54" spans="1:11" x14ac:dyDescent="0.35">
      <c r="A54" s="66" t="s">
        <v>739</v>
      </c>
      <c r="G54" s="66" t="s">
        <v>834</v>
      </c>
    </row>
    <row r="55" spans="1:11" x14ac:dyDescent="0.35">
      <c r="C55" s="66" t="s">
        <v>266</v>
      </c>
      <c r="G55" s="26" t="s">
        <v>7</v>
      </c>
      <c r="I55" s="33">
        <f>(G42+H42)*E57</f>
        <v>61908.326413686431</v>
      </c>
    </row>
    <row r="56" spans="1:11" x14ac:dyDescent="0.35">
      <c r="C56" s="26" t="s">
        <v>802</v>
      </c>
      <c r="D56" s="165">
        <v>9893</v>
      </c>
      <c r="E56" s="169">
        <f>D56/D58</f>
        <v>0.52890544249206983</v>
      </c>
      <c r="G56" s="26" t="s">
        <v>8</v>
      </c>
      <c r="I56" s="34">
        <f>F42*E57</f>
        <v>8792.8743907046392</v>
      </c>
    </row>
    <row r="57" spans="1:11" x14ac:dyDescent="0.35">
      <c r="C57" s="26" t="s">
        <v>832</v>
      </c>
      <c r="D57" s="203">
        <f>AVERAGE('Billing Data'!C68:N68)</f>
        <v>8811.6666666666661</v>
      </c>
      <c r="E57" s="350">
        <f>D57/D58</f>
        <v>0.47109455750793033</v>
      </c>
      <c r="G57" s="26" t="s">
        <v>185</v>
      </c>
      <c r="I57" s="34">
        <f>I19</f>
        <v>9228.2957839398368</v>
      </c>
    </row>
    <row r="58" spans="1:11" x14ac:dyDescent="0.35">
      <c r="C58" s="26" t="s">
        <v>44</v>
      </c>
      <c r="D58" s="165">
        <f>SUM(D56:D57)</f>
        <v>18704.666666666664</v>
      </c>
      <c r="E58" s="169">
        <f>SUM(E56:E57)</f>
        <v>1.0000000000000002</v>
      </c>
      <c r="G58" s="26" t="s">
        <v>657</v>
      </c>
      <c r="I58" s="34">
        <f>I18+I17</f>
        <v>4640.6441342623948</v>
      </c>
    </row>
    <row r="59" spans="1:11" x14ac:dyDescent="0.35">
      <c r="G59" s="26" t="s">
        <v>942</v>
      </c>
      <c r="I59" s="34">
        <v>0</v>
      </c>
    </row>
    <row r="60" spans="1:11" x14ac:dyDescent="0.35">
      <c r="C60" s="26" t="s">
        <v>809</v>
      </c>
      <c r="E60" s="355">
        <v>0.38</v>
      </c>
      <c r="G60" s="26" t="s">
        <v>941</v>
      </c>
      <c r="I60" s="128">
        <f>I16+I21</f>
        <v>1059.9627543928432</v>
      </c>
    </row>
    <row r="61" spans="1:11" x14ac:dyDescent="0.35">
      <c r="G61" s="26" t="s">
        <v>29</v>
      </c>
      <c r="I61" s="34">
        <f>I20</f>
        <v>154.11870653394158</v>
      </c>
    </row>
    <row r="62" spans="1:11" x14ac:dyDescent="0.35">
      <c r="A62" s="84">
        <v>-1</v>
      </c>
      <c r="B62" s="26" t="s">
        <v>833</v>
      </c>
      <c r="G62" s="26" t="s">
        <v>658</v>
      </c>
      <c r="I62" s="35">
        <f>I22</f>
        <v>1538.0059566240157</v>
      </c>
    </row>
    <row r="63" spans="1:11" x14ac:dyDescent="0.35">
      <c r="G63" s="26" t="s">
        <v>44</v>
      </c>
      <c r="I63" s="128">
        <f>SUM(I55:I62)</f>
        <v>87322.228140144114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9"/>
  </sheetPr>
  <dimension ref="A1:L378"/>
  <sheetViews>
    <sheetView topLeftCell="A24" zoomScaleNormal="100" zoomScaleSheetLayoutView="85" workbookViewId="0">
      <selection activeCell="J313" sqref="J313"/>
    </sheetView>
  </sheetViews>
  <sheetFormatPr defaultColWidth="8.7265625" defaultRowHeight="15.5" outlineLevelRow="1" x14ac:dyDescent="0.35"/>
  <cols>
    <col min="1" max="1" width="9.1796875" style="26" customWidth="1"/>
    <col min="2" max="3" width="10.7265625" style="26" bestFit="1" customWidth="1"/>
    <col min="4" max="4" width="10.54296875" style="26" customWidth="1"/>
    <col min="5" max="5" width="9.7265625" style="26" customWidth="1"/>
    <col min="6" max="9" width="17.26953125" style="26" customWidth="1"/>
    <col min="10" max="11" width="15.453125" style="26" customWidth="1"/>
    <col min="12" max="12" width="17.26953125" style="26" customWidth="1"/>
    <col min="13" max="16384" width="8.7265625" style="26"/>
  </cols>
  <sheetData>
    <row r="1" spans="1:12" x14ac:dyDescent="0.35">
      <c r="A1" s="25" t="s">
        <v>4</v>
      </c>
      <c r="B1" s="25"/>
      <c r="C1" s="25"/>
    </row>
    <row r="2" spans="1:12" x14ac:dyDescent="0.35">
      <c r="A2" s="25" t="s">
        <v>109</v>
      </c>
      <c r="B2" s="25"/>
      <c r="C2" s="25"/>
    </row>
    <row r="3" spans="1:12" x14ac:dyDescent="0.35">
      <c r="A3" s="25" t="s">
        <v>402</v>
      </c>
      <c r="B3" s="25"/>
      <c r="C3" s="25"/>
      <c r="K3" s="50" t="s">
        <v>1651</v>
      </c>
      <c r="L3" s="589"/>
    </row>
    <row r="4" spans="1:12" x14ac:dyDescent="0.35">
      <c r="A4" s="25"/>
      <c r="B4" s="25"/>
      <c r="C4" s="25"/>
    </row>
    <row r="6" spans="1:12" ht="62.65" customHeight="1" x14ac:dyDescent="0.35">
      <c r="A6" s="205" t="s">
        <v>317</v>
      </c>
      <c r="B6" s="205" t="s">
        <v>318</v>
      </c>
      <c r="C6" s="114" t="s">
        <v>319</v>
      </c>
      <c r="D6" s="205" t="s">
        <v>320</v>
      </c>
      <c r="E6" s="205" t="s">
        <v>266</v>
      </c>
      <c r="F6" s="114" t="s">
        <v>312</v>
      </c>
      <c r="G6" s="114" t="s">
        <v>330</v>
      </c>
      <c r="H6" s="114" t="s">
        <v>321</v>
      </c>
      <c r="I6" s="114" t="s">
        <v>323</v>
      </c>
      <c r="J6" s="114" t="s">
        <v>331</v>
      </c>
      <c r="K6" s="114" t="s">
        <v>324</v>
      </c>
    </row>
    <row r="7" spans="1:12" x14ac:dyDescent="0.35">
      <c r="A7" s="204">
        <v>0</v>
      </c>
      <c r="B7" s="217">
        <v>0</v>
      </c>
      <c r="C7" s="182">
        <f>AVERAGE(A7,B7)</f>
        <v>0</v>
      </c>
      <c r="D7" s="218">
        <f>E7/12</f>
        <v>788</v>
      </c>
      <c r="E7" s="182">
        <f>'Billing Data'!P8</f>
        <v>9456</v>
      </c>
      <c r="F7" s="117">
        <f>'Rate Calculations'!$F$7</f>
        <v>17.11</v>
      </c>
      <c r="G7" s="33">
        <f>(C7/1000)*0</f>
        <v>0</v>
      </c>
      <c r="H7" s="225">
        <f>F7+G7</f>
        <v>17.11</v>
      </c>
      <c r="I7" s="128">
        <f>F7*E7</f>
        <v>161792.16</v>
      </c>
      <c r="J7" s="33">
        <v>0</v>
      </c>
      <c r="K7" s="221">
        <f t="shared" ref="K7:K38" si="0">I7+J7</f>
        <v>161792.16</v>
      </c>
    </row>
    <row r="8" spans="1:12" x14ac:dyDescent="0.35">
      <c r="A8" s="165">
        <f>'Billing Data'!B8</f>
        <v>0</v>
      </c>
      <c r="B8" s="165">
        <v>999</v>
      </c>
      <c r="C8" s="182">
        <f>AVERAGE(A8,B8)</f>
        <v>499.5</v>
      </c>
      <c r="D8" s="218">
        <f t="shared" ref="D8:D66" si="1">E8/12</f>
        <v>958.07666666666671</v>
      </c>
      <c r="E8" s="182">
        <f>'Billing Data'!P9</f>
        <v>11496.92</v>
      </c>
      <c r="F8" s="117">
        <f>'Rate Calculations'!$F$7</f>
        <v>17.11</v>
      </c>
      <c r="G8" s="33">
        <f>(C8/1000)*0</f>
        <v>0</v>
      </c>
      <c r="H8" s="224">
        <f t="shared" ref="H8:H66" si="2">F8+G8</f>
        <v>17.11</v>
      </c>
      <c r="I8" s="128">
        <f t="shared" ref="I8:I66" si="3">F8*E8</f>
        <v>196712.30119999999</v>
      </c>
      <c r="J8" s="33">
        <v>0</v>
      </c>
      <c r="K8" s="128">
        <f t="shared" si="0"/>
        <v>196712.30119999999</v>
      </c>
    </row>
    <row r="9" spans="1:12" x14ac:dyDescent="0.35">
      <c r="A9" s="165">
        <f>'Billing Data'!B9</f>
        <v>1000</v>
      </c>
      <c r="B9" s="165">
        <v>1999</v>
      </c>
      <c r="C9" s="182">
        <f>AVERAGE(A9,B9)</f>
        <v>1499.5</v>
      </c>
      <c r="D9" s="218">
        <f>E9/12</f>
        <v>1405.9233333333332</v>
      </c>
      <c r="E9" s="182">
        <f>'Billing Data'!P10</f>
        <v>16871.079999999998</v>
      </c>
      <c r="F9" s="117">
        <f>'Rate Calculations'!$F$7</f>
        <v>17.11</v>
      </c>
      <c r="G9" s="33">
        <f>(C9/1000)*0</f>
        <v>0</v>
      </c>
      <c r="H9" s="224">
        <f t="shared" si="2"/>
        <v>17.11</v>
      </c>
      <c r="I9" s="128">
        <f t="shared" si="3"/>
        <v>288664.17879999994</v>
      </c>
      <c r="J9" s="33">
        <v>0</v>
      </c>
      <c r="K9" s="128">
        <f t="shared" si="0"/>
        <v>288664.17879999994</v>
      </c>
    </row>
    <row r="10" spans="1:12" x14ac:dyDescent="0.35">
      <c r="A10" s="165">
        <f>'Billing Data'!B10</f>
        <v>2000</v>
      </c>
      <c r="B10" s="165">
        <v>2999</v>
      </c>
      <c r="C10" s="182">
        <f t="shared" ref="C10:C65" si="4">AVERAGE(A10,B10)</f>
        <v>2499.5</v>
      </c>
      <c r="D10" s="218">
        <f t="shared" si="1"/>
        <v>1430.95875</v>
      </c>
      <c r="E10" s="182">
        <f>'Billing Data'!P11</f>
        <v>17171.505000000001</v>
      </c>
      <c r="F10" s="117">
        <f>'Rate Calculations'!$F$7</f>
        <v>17.11</v>
      </c>
      <c r="G10" s="117">
        <f>(((C10/1000)-(2000/1000)))*'Rate Calculations'!$F$13</f>
        <v>2.7872099999999991</v>
      </c>
      <c r="H10" s="224">
        <f>F10+G10</f>
        <v>19.897209999999998</v>
      </c>
      <c r="I10" s="128">
        <f>F10*E10</f>
        <v>293804.45055000001</v>
      </c>
      <c r="J10" s="128">
        <f>G10*E10</f>
        <v>47860.590451049989</v>
      </c>
      <c r="K10" s="128">
        <f t="shared" si="0"/>
        <v>341665.04100104998</v>
      </c>
    </row>
    <row r="11" spans="1:12" x14ac:dyDescent="0.35">
      <c r="A11" s="165">
        <f>'Billing Data'!B11</f>
        <v>3000</v>
      </c>
      <c r="B11" s="165">
        <v>3999</v>
      </c>
      <c r="C11" s="182">
        <f t="shared" si="4"/>
        <v>3499.5</v>
      </c>
      <c r="D11" s="218">
        <f t="shared" si="1"/>
        <v>1213.3558333333333</v>
      </c>
      <c r="E11" s="182">
        <f>'Billing Data'!P12</f>
        <v>14560.27</v>
      </c>
      <c r="F11" s="117">
        <f>'Rate Calculations'!$F$7</f>
        <v>17.11</v>
      </c>
      <c r="G11" s="117">
        <f>(((C11/1000)-(2000/1000)))*'Rate Calculations'!$F$13</f>
        <v>8.36721</v>
      </c>
      <c r="H11" s="224">
        <f t="shared" si="2"/>
        <v>25.477209999999999</v>
      </c>
      <c r="I11" s="128">
        <f t="shared" si="3"/>
        <v>249126.21969999999</v>
      </c>
      <c r="J11" s="128">
        <f t="shared" ref="J11:J41" si="5">G11*E11</f>
        <v>121828.83674670001</v>
      </c>
      <c r="K11" s="128">
        <f t="shared" si="0"/>
        <v>370955.05644670001</v>
      </c>
    </row>
    <row r="12" spans="1:12" x14ac:dyDescent="0.35">
      <c r="A12" s="165">
        <f>'Billing Data'!B12</f>
        <v>4000</v>
      </c>
      <c r="B12" s="165">
        <v>4999</v>
      </c>
      <c r="C12" s="182">
        <f t="shared" si="4"/>
        <v>4499.5</v>
      </c>
      <c r="D12" s="218">
        <f t="shared" si="1"/>
        <v>939.52583333333325</v>
      </c>
      <c r="E12" s="182">
        <f>'Billing Data'!P13</f>
        <v>11274.31</v>
      </c>
      <c r="F12" s="117">
        <f>'Rate Calculations'!$F$7</f>
        <v>17.11</v>
      </c>
      <c r="G12" s="117">
        <f>(((C12/1000)-(2000/1000)))*'Rate Calculations'!$F$13</f>
        <v>13.947210000000002</v>
      </c>
      <c r="H12" s="224">
        <f t="shared" si="2"/>
        <v>31.057210000000001</v>
      </c>
      <c r="I12" s="128">
        <f t="shared" si="3"/>
        <v>192903.44409999999</v>
      </c>
      <c r="J12" s="128">
        <f t="shared" si="5"/>
        <v>157245.16917510002</v>
      </c>
      <c r="K12" s="128">
        <f t="shared" si="0"/>
        <v>350148.61327510001</v>
      </c>
    </row>
    <row r="13" spans="1:12" x14ac:dyDescent="0.35">
      <c r="A13" s="165">
        <f>'Billing Data'!B13</f>
        <v>5000</v>
      </c>
      <c r="B13" s="165">
        <v>5999</v>
      </c>
      <c r="C13" s="182">
        <f t="shared" si="4"/>
        <v>5499.5</v>
      </c>
      <c r="D13" s="218">
        <f t="shared" si="1"/>
        <v>622.35583333333329</v>
      </c>
      <c r="E13" s="182">
        <f>'Billing Data'!P14</f>
        <v>7468.2699999999995</v>
      </c>
      <c r="F13" s="117">
        <f>'Rate Calculations'!$F$7</f>
        <v>17.11</v>
      </c>
      <c r="G13" s="117">
        <f>(((C13/1000)-(2000/1000)))*'Rate Calculations'!$F$13</f>
        <v>19.52721</v>
      </c>
      <c r="H13" s="224">
        <f t="shared" si="2"/>
        <v>36.637209999999996</v>
      </c>
      <c r="I13" s="128">
        <f t="shared" si="3"/>
        <v>127782.09969999999</v>
      </c>
      <c r="J13" s="128">
        <f t="shared" si="5"/>
        <v>145834.47662669999</v>
      </c>
      <c r="K13" s="128">
        <f t="shared" si="0"/>
        <v>273616.57632669999</v>
      </c>
    </row>
    <row r="14" spans="1:12" x14ac:dyDescent="0.35">
      <c r="A14" s="165">
        <f>'Billing Data'!B14</f>
        <v>6000</v>
      </c>
      <c r="B14" s="165">
        <v>6999</v>
      </c>
      <c r="C14" s="182">
        <f t="shared" si="4"/>
        <v>6499.5</v>
      </c>
      <c r="D14" s="218">
        <f t="shared" si="1"/>
        <v>403.35750000000002</v>
      </c>
      <c r="E14" s="182">
        <f>'Billing Data'!P15</f>
        <v>4840.29</v>
      </c>
      <c r="F14" s="117">
        <f>'Rate Calculations'!$F$7</f>
        <v>17.11</v>
      </c>
      <c r="G14" s="117">
        <f>(((C14/1000)-(2000/1000)))*'Rate Calculations'!$F$13</f>
        <v>25.107210000000002</v>
      </c>
      <c r="H14" s="224">
        <f t="shared" si="2"/>
        <v>42.217210000000001</v>
      </c>
      <c r="I14" s="128">
        <f t="shared" si="3"/>
        <v>82817.361900000004</v>
      </c>
      <c r="J14" s="128">
        <f t="shared" si="5"/>
        <v>121526.17749090001</v>
      </c>
      <c r="K14" s="128">
        <f t="shared" si="0"/>
        <v>204343.5393909</v>
      </c>
    </row>
    <row r="15" spans="1:12" x14ac:dyDescent="0.35">
      <c r="A15" s="165">
        <f>'Billing Data'!B15</f>
        <v>7000</v>
      </c>
      <c r="B15" s="165">
        <v>7999</v>
      </c>
      <c r="C15" s="182">
        <f t="shared" si="4"/>
        <v>7499.5</v>
      </c>
      <c r="D15" s="218">
        <f t="shared" si="1"/>
        <v>247.97375</v>
      </c>
      <c r="E15" s="182">
        <f>'Billing Data'!P16</f>
        <v>2975.6849999999999</v>
      </c>
      <c r="F15" s="117">
        <f>'Rate Calculations'!$F$7</f>
        <v>17.11</v>
      </c>
      <c r="G15" s="117">
        <f>(((C15/1000)-(2000/1000)))*'Rate Calculations'!$F$13</f>
        <v>30.68721</v>
      </c>
      <c r="H15" s="224">
        <f t="shared" si="2"/>
        <v>47.79721</v>
      </c>
      <c r="I15" s="128">
        <f t="shared" si="3"/>
        <v>50913.970349999996</v>
      </c>
      <c r="J15" s="128">
        <f t="shared" si="5"/>
        <v>91315.470488849998</v>
      </c>
      <c r="K15" s="128">
        <f t="shared" si="0"/>
        <v>142229.44083884999</v>
      </c>
    </row>
    <row r="16" spans="1:12" x14ac:dyDescent="0.35">
      <c r="A16" s="165">
        <f>'Billing Data'!B16</f>
        <v>8000</v>
      </c>
      <c r="B16" s="165">
        <v>8999</v>
      </c>
      <c r="C16" s="182">
        <f t="shared" si="4"/>
        <v>8499.5</v>
      </c>
      <c r="D16" s="218">
        <f t="shared" si="1"/>
        <v>160.55500000000001</v>
      </c>
      <c r="E16" s="182">
        <f>'Billing Data'!P17</f>
        <v>1926.66</v>
      </c>
      <c r="F16" s="117">
        <f>'Rate Calculations'!$F$7</f>
        <v>17.11</v>
      </c>
      <c r="G16" s="117">
        <f>(((C16/1000)-(2000/1000)))*'Rate Calculations'!$F$13</f>
        <v>36.267209999999999</v>
      </c>
      <c r="H16" s="224">
        <f t="shared" si="2"/>
        <v>53.377209999999998</v>
      </c>
      <c r="I16" s="128">
        <f t="shared" si="3"/>
        <v>32965.152600000001</v>
      </c>
      <c r="J16" s="128">
        <f t="shared" si="5"/>
        <v>69874.5828186</v>
      </c>
      <c r="K16" s="128">
        <f t="shared" si="0"/>
        <v>102839.7354186</v>
      </c>
    </row>
    <row r="17" spans="1:11" x14ac:dyDescent="0.35">
      <c r="A17" s="165">
        <f>'Billing Data'!B17</f>
        <v>9000</v>
      </c>
      <c r="B17" s="165">
        <v>9999</v>
      </c>
      <c r="C17" s="182">
        <f t="shared" si="4"/>
        <v>9499.5</v>
      </c>
      <c r="D17" s="218">
        <f t="shared" si="1"/>
        <v>105.96958333333333</v>
      </c>
      <c r="E17" s="182">
        <f>'Billing Data'!P18</f>
        <v>1271.635</v>
      </c>
      <c r="F17" s="117">
        <f>'Rate Calculations'!$F$7</f>
        <v>17.11</v>
      </c>
      <c r="G17" s="117">
        <f>(((C17/1000)-(2000/1000)))*'Rate Calculations'!$F$13</f>
        <v>41.847209999999997</v>
      </c>
      <c r="H17" s="224">
        <f t="shared" si="2"/>
        <v>58.957209999999996</v>
      </c>
      <c r="I17" s="128">
        <f t="shared" si="3"/>
        <v>21757.674849999999</v>
      </c>
      <c r="J17" s="128">
        <f t="shared" si="5"/>
        <v>53214.376888349994</v>
      </c>
      <c r="K17" s="128">
        <f t="shared" si="0"/>
        <v>74972.051738349997</v>
      </c>
    </row>
    <row r="18" spans="1:11" x14ac:dyDescent="0.35">
      <c r="A18" s="165">
        <f>'Billing Data'!B18</f>
        <v>10000</v>
      </c>
      <c r="B18" s="165">
        <v>10999</v>
      </c>
      <c r="C18" s="182">
        <f t="shared" si="4"/>
        <v>10499.5</v>
      </c>
      <c r="D18" s="218">
        <f t="shared" si="1"/>
        <v>69.524583333333325</v>
      </c>
      <c r="E18" s="182">
        <f>'Billing Data'!P19</f>
        <v>834.29499999999996</v>
      </c>
      <c r="F18" s="117">
        <f>'Rate Calculations'!$F$7</f>
        <v>17.11</v>
      </c>
      <c r="G18" s="117">
        <f>(((C18/1000)-(2000/1000)))*'Rate Calculations'!$F$13</f>
        <v>47.427209999999995</v>
      </c>
      <c r="H18" s="224">
        <f t="shared" si="2"/>
        <v>64.537209999999988</v>
      </c>
      <c r="I18" s="128">
        <f t="shared" si="3"/>
        <v>14274.787449999998</v>
      </c>
      <c r="J18" s="128">
        <f t="shared" si="5"/>
        <v>39568.284166949998</v>
      </c>
      <c r="K18" s="128">
        <f t="shared" si="0"/>
        <v>53843.071616949994</v>
      </c>
    </row>
    <row r="19" spans="1:11" x14ac:dyDescent="0.35">
      <c r="A19" s="165">
        <f>'Billing Data'!B19</f>
        <v>11000</v>
      </c>
      <c r="B19" s="165">
        <v>11999</v>
      </c>
      <c r="C19" s="182">
        <f t="shared" si="4"/>
        <v>11499.5</v>
      </c>
      <c r="D19" s="218">
        <f t="shared" si="1"/>
        <v>46.459166666666668</v>
      </c>
      <c r="E19" s="182">
        <f>'Billing Data'!P20</f>
        <v>557.51</v>
      </c>
      <c r="F19" s="117">
        <f>'Rate Calculations'!$F$7</f>
        <v>17.11</v>
      </c>
      <c r="G19" s="117">
        <f>(((C19/1000)-(2000/1000)))*'Rate Calculations'!$F$13</f>
        <v>53.007210000000001</v>
      </c>
      <c r="H19" s="224">
        <f t="shared" si="2"/>
        <v>70.11721</v>
      </c>
      <c r="I19" s="128">
        <f t="shared" si="3"/>
        <v>9538.9961000000003</v>
      </c>
      <c r="J19" s="128">
        <f t="shared" si="5"/>
        <v>29552.049647100001</v>
      </c>
      <c r="K19" s="128">
        <f t="shared" si="0"/>
        <v>39091.045747099997</v>
      </c>
    </row>
    <row r="20" spans="1:11" x14ac:dyDescent="0.35">
      <c r="A20" s="165">
        <f>'Billing Data'!B20</f>
        <v>12000</v>
      </c>
      <c r="B20" s="165">
        <v>12999</v>
      </c>
      <c r="C20" s="182">
        <f t="shared" si="4"/>
        <v>12499.5</v>
      </c>
      <c r="D20" s="218">
        <f t="shared" si="1"/>
        <v>36.280833333333334</v>
      </c>
      <c r="E20" s="182">
        <f>'Billing Data'!P21</f>
        <v>435.37</v>
      </c>
      <c r="F20" s="117">
        <f>'Rate Calculations'!$F$7</f>
        <v>17.11</v>
      </c>
      <c r="G20" s="117">
        <f>(((C20/1000)-(2000/1000)))*'Rate Calculations'!$F$13</f>
        <v>58.587209999999999</v>
      </c>
      <c r="H20" s="224">
        <f t="shared" si="2"/>
        <v>75.697209999999998</v>
      </c>
      <c r="I20" s="128">
        <f t="shared" si="3"/>
        <v>7449.1806999999999</v>
      </c>
      <c r="J20" s="128">
        <f t="shared" si="5"/>
        <v>25507.113617700001</v>
      </c>
      <c r="K20" s="128">
        <f t="shared" si="0"/>
        <v>32956.294317699998</v>
      </c>
    </row>
    <row r="21" spans="1:11" x14ac:dyDescent="0.35">
      <c r="A21" s="165">
        <f>'Billing Data'!B21</f>
        <v>13000</v>
      </c>
      <c r="B21" s="165">
        <v>13999</v>
      </c>
      <c r="C21" s="182">
        <f t="shared" si="4"/>
        <v>13499.5</v>
      </c>
      <c r="D21" s="218">
        <f t="shared" si="1"/>
        <v>26.512916666666666</v>
      </c>
      <c r="E21" s="182">
        <f>'Billing Data'!P22</f>
        <v>318.15499999999997</v>
      </c>
      <c r="F21" s="117">
        <f>'Rate Calculations'!$F$7</f>
        <v>17.11</v>
      </c>
      <c r="G21" s="117">
        <f>(((C21/1000)-(2000/1000)))*'Rate Calculations'!$F$13</f>
        <v>64.167209999999997</v>
      </c>
      <c r="H21" s="224">
        <f t="shared" si="2"/>
        <v>81.277209999999997</v>
      </c>
      <c r="I21" s="128">
        <f t="shared" si="3"/>
        <v>5443.6320499999993</v>
      </c>
      <c r="J21" s="128">
        <f t="shared" si="5"/>
        <v>20415.118697549999</v>
      </c>
      <c r="K21" s="128">
        <f t="shared" si="0"/>
        <v>25858.750747549999</v>
      </c>
    </row>
    <row r="22" spans="1:11" x14ac:dyDescent="0.35">
      <c r="A22" s="165">
        <f>'Billing Data'!B22</f>
        <v>14000</v>
      </c>
      <c r="B22" s="165">
        <v>14999</v>
      </c>
      <c r="C22" s="182">
        <f t="shared" si="4"/>
        <v>14499.5</v>
      </c>
      <c r="D22" s="218">
        <f t="shared" si="1"/>
        <v>23.147499999999997</v>
      </c>
      <c r="E22" s="182">
        <f>'Billing Data'!P23</f>
        <v>277.77</v>
      </c>
      <c r="F22" s="117">
        <f>'Rate Calculations'!$F$7</f>
        <v>17.11</v>
      </c>
      <c r="G22" s="117">
        <f>(((C22/1000)-(2000/1000)))*'Rate Calculations'!$F$13</f>
        <v>69.747209999999995</v>
      </c>
      <c r="H22" s="224">
        <f t="shared" si="2"/>
        <v>86.857209999999995</v>
      </c>
      <c r="I22" s="128">
        <f t="shared" si="3"/>
        <v>4752.6446999999998</v>
      </c>
      <c r="J22" s="128">
        <f t="shared" si="5"/>
        <v>19373.682521699997</v>
      </c>
      <c r="K22" s="128">
        <f t="shared" si="0"/>
        <v>24126.327221699998</v>
      </c>
    </row>
    <row r="23" spans="1:11" x14ac:dyDescent="0.35">
      <c r="A23" s="165">
        <f>'Billing Data'!B23</f>
        <v>15000</v>
      </c>
      <c r="B23" s="165">
        <v>24999</v>
      </c>
      <c r="C23" s="182">
        <f t="shared" si="4"/>
        <v>19999.5</v>
      </c>
      <c r="D23" s="218">
        <f t="shared" si="1"/>
        <v>91.194583333333341</v>
      </c>
      <c r="E23" s="182">
        <f>'Billing Data'!P24</f>
        <v>1094.335</v>
      </c>
      <c r="F23" s="117">
        <f>'Rate Calculations'!$F$7</f>
        <v>17.11</v>
      </c>
      <c r="G23" s="117">
        <f>(((C23/1000)-(15000/1000))*'Rate Calculations'!$F$14)+(((15000/1000)-(2000/1000))*'Rate Calculations'!$F$13)</f>
        <v>94.887765000000002</v>
      </c>
      <c r="H23" s="224">
        <f t="shared" si="2"/>
        <v>111.997765</v>
      </c>
      <c r="I23" s="128">
        <f t="shared" si="3"/>
        <v>18724.07185</v>
      </c>
      <c r="J23" s="128">
        <f t="shared" si="5"/>
        <v>103839.00231127501</v>
      </c>
      <c r="K23" s="128">
        <f t="shared" si="0"/>
        <v>122563.074161275</v>
      </c>
    </row>
    <row r="24" spans="1:11" x14ac:dyDescent="0.35">
      <c r="A24" s="165">
        <f>'Billing Data'!B24</f>
        <v>25000</v>
      </c>
      <c r="B24" s="165">
        <v>34999</v>
      </c>
      <c r="C24" s="182">
        <f t="shared" si="4"/>
        <v>29999.5</v>
      </c>
      <c r="D24" s="218">
        <f t="shared" si="1"/>
        <v>29.714166666666667</v>
      </c>
      <c r="E24" s="182">
        <f>'Billing Data'!P25</f>
        <v>356.57</v>
      </c>
      <c r="F24" s="117">
        <f>'Rate Calculations'!$F$7</f>
        <v>17.11</v>
      </c>
      <c r="G24" s="117">
        <f>(((C24/1000)-(15000/1000))*'Rate Calculations'!$F$14)+(((15000/1000)-(2000/1000))*'Rate Calculations'!$F$13)</f>
        <v>139.58776499999999</v>
      </c>
      <c r="H24" s="224">
        <f t="shared" si="2"/>
        <v>156.697765</v>
      </c>
      <c r="I24" s="128">
        <f t="shared" si="3"/>
        <v>6100.9126999999999</v>
      </c>
      <c r="J24" s="128">
        <f t="shared" si="5"/>
        <v>49772.809366049994</v>
      </c>
      <c r="K24" s="128">
        <f t="shared" si="0"/>
        <v>55873.722066049995</v>
      </c>
    </row>
    <row r="25" spans="1:11" x14ac:dyDescent="0.35">
      <c r="A25" s="165">
        <f>'Billing Data'!B25</f>
        <v>35000</v>
      </c>
      <c r="B25" s="165">
        <v>44999</v>
      </c>
      <c r="C25" s="182">
        <f t="shared" si="4"/>
        <v>39999.5</v>
      </c>
      <c r="D25" s="218">
        <f t="shared" si="1"/>
        <v>20.356666666666666</v>
      </c>
      <c r="E25" s="182">
        <f>'Billing Data'!P26</f>
        <v>244.28</v>
      </c>
      <c r="F25" s="117">
        <f>'Rate Calculations'!$F$7</f>
        <v>17.11</v>
      </c>
      <c r="G25" s="117">
        <f>(((C25/1000)-(15000/1000))*'Rate Calculations'!$F$14)+(((15000/1000)-(2000/1000))*'Rate Calculations'!$F$13)</f>
        <v>184.28776499999998</v>
      </c>
      <c r="H25" s="224">
        <f t="shared" si="2"/>
        <v>201.39776499999999</v>
      </c>
      <c r="I25" s="128">
        <f t="shared" si="3"/>
        <v>4179.6307999999999</v>
      </c>
      <c r="J25" s="128">
        <f t="shared" si="5"/>
        <v>45017.815234199996</v>
      </c>
      <c r="K25" s="128">
        <f t="shared" si="0"/>
        <v>49197.446034199995</v>
      </c>
    </row>
    <row r="26" spans="1:11" x14ac:dyDescent="0.35">
      <c r="A26" s="165">
        <f>'Billing Data'!B26</f>
        <v>45000</v>
      </c>
      <c r="B26" s="165">
        <v>54999</v>
      </c>
      <c r="C26" s="182">
        <f t="shared" si="4"/>
        <v>49999.5</v>
      </c>
      <c r="D26" s="218">
        <f t="shared" si="1"/>
        <v>13.133333333333333</v>
      </c>
      <c r="E26" s="182">
        <f>'Billing Data'!P27</f>
        <v>157.6</v>
      </c>
      <c r="F26" s="117">
        <f>'Rate Calculations'!$F$7</f>
        <v>17.11</v>
      </c>
      <c r="G26" s="117">
        <f>(((C26/1000)-(15000/1000))*'Rate Calculations'!$F$14)+(((15000/1000)-(2000/1000))*'Rate Calculations'!$F$13)</f>
        <v>228.98776499999997</v>
      </c>
      <c r="H26" s="224">
        <f t="shared" si="2"/>
        <v>246.09776499999998</v>
      </c>
      <c r="I26" s="128">
        <f t="shared" si="3"/>
        <v>2696.5359999999996</v>
      </c>
      <c r="J26" s="128">
        <f t="shared" si="5"/>
        <v>36088.471763999994</v>
      </c>
      <c r="K26" s="128">
        <f t="shared" si="0"/>
        <v>38785.007763999994</v>
      </c>
    </row>
    <row r="27" spans="1:11" x14ac:dyDescent="0.35">
      <c r="A27" s="165">
        <f>'Billing Data'!B27</f>
        <v>55000</v>
      </c>
      <c r="B27" s="165">
        <v>64999</v>
      </c>
      <c r="C27" s="182">
        <f t="shared" si="4"/>
        <v>59999.5</v>
      </c>
      <c r="D27" s="218">
        <f t="shared" si="1"/>
        <v>8.3725000000000005</v>
      </c>
      <c r="E27" s="182">
        <f>'Billing Data'!P28</f>
        <v>100.47</v>
      </c>
      <c r="F27" s="117">
        <f>'Rate Calculations'!$F$7</f>
        <v>17.11</v>
      </c>
      <c r="G27" s="117">
        <f>(((C27/1000)-(15000/1000))*'Rate Calculations'!$F$14)+(((15000/1000)-(2000/1000))*'Rate Calculations'!$F$13)</f>
        <v>273.68776499999996</v>
      </c>
      <c r="H27" s="224">
        <f t="shared" si="2"/>
        <v>290.79776499999997</v>
      </c>
      <c r="I27" s="128">
        <f t="shared" si="3"/>
        <v>1719.0417</v>
      </c>
      <c r="J27" s="128">
        <f t="shared" si="5"/>
        <v>27497.409749549995</v>
      </c>
      <c r="K27" s="128">
        <f t="shared" si="0"/>
        <v>29216.451449549997</v>
      </c>
    </row>
    <row r="28" spans="1:11" x14ac:dyDescent="0.35">
      <c r="A28" s="165">
        <f>'Billing Data'!B28</f>
        <v>65000</v>
      </c>
      <c r="B28" s="165">
        <v>74999</v>
      </c>
      <c r="C28" s="182">
        <f t="shared" si="4"/>
        <v>69999.5</v>
      </c>
      <c r="D28" s="218">
        <f t="shared" si="1"/>
        <v>6.2383333333333333</v>
      </c>
      <c r="E28" s="182">
        <f>'Billing Data'!P29</f>
        <v>74.86</v>
      </c>
      <c r="F28" s="117">
        <f>'Rate Calculations'!$F$7</f>
        <v>17.11</v>
      </c>
      <c r="G28" s="117">
        <f>(((C28/1000)-(15000/1000))*'Rate Calculations'!$F$14)+(((15000/1000)-(2000/1000))*'Rate Calculations'!$F$13)</f>
        <v>318.387765</v>
      </c>
      <c r="H28" s="224">
        <f t="shared" si="2"/>
        <v>335.49776500000002</v>
      </c>
      <c r="I28" s="128">
        <f t="shared" si="3"/>
        <v>1280.8545999999999</v>
      </c>
      <c r="J28" s="128">
        <f t="shared" si="5"/>
        <v>23834.508087900002</v>
      </c>
      <c r="K28" s="128">
        <f t="shared" si="0"/>
        <v>25115.3626879</v>
      </c>
    </row>
    <row r="29" spans="1:11" x14ac:dyDescent="0.35">
      <c r="A29" s="165">
        <f>'Billing Data'!B29</f>
        <v>75000</v>
      </c>
      <c r="B29" s="165">
        <v>84999</v>
      </c>
      <c r="C29" s="182">
        <f t="shared" si="4"/>
        <v>79999.5</v>
      </c>
      <c r="D29" s="218">
        <f t="shared" si="1"/>
        <v>3.3654166666666665</v>
      </c>
      <c r="E29" s="182">
        <f>'Billing Data'!P30</f>
        <v>40.384999999999998</v>
      </c>
      <c r="F29" s="117">
        <f>'Rate Calculations'!$F$7</f>
        <v>17.11</v>
      </c>
      <c r="G29" s="117">
        <f>(((C29/1000)-(15000/1000))*'Rate Calculations'!$F$14)+(((15000/1000)-(2000/1000))*'Rate Calculations'!$F$13)</f>
        <v>363.08776499999999</v>
      </c>
      <c r="H29" s="224">
        <f t="shared" si="2"/>
        <v>380.197765</v>
      </c>
      <c r="I29" s="128">
        <f t="shared" si="3"/>
        <v>690.98734999999999</v>
      </c>
      <c r="J29" s="128">
        <f t="shared" si="5"/>
        <v>14663.299389524998</v>
      </c>
      <c r="K29" s="128">
        <f t="shared" si="0"/>
        <v>15354.286739524998</v>
      </c>
    </row>
    <row r="30" spans="1:11" x14ac:dyDescent="0.35">
      <c r="A30" s="165">
        <f>'Billing Data'!B30</f>
        <v>85000</v>
      </c>
      <c r="B30" s="165">
        <v>94999</v>
      </c>
      <c r="C30" s="182">
        <f t="shared" si="4"/>
        <v>89999.5</v>
      </c>
      <c r="D30" s="218">
        <f t="shared" si="1"/>
        <v>2.7087500000000002</v>
      </c>
      <c r="E30" s="182">
        <f>'Billing Data'!P31</f>
        <v>32.505000000000003</v>
      </c>
      <c r="F30" s="117">
        <f>'Rate Calculations'!$F$7</f>
        <v>17.11</v>
      </c>
      <c r="G30" s="117">
        <f>(((C30/1000)-(15000/1000))*'Rate Calculations'!$F$14)+(((15000/1000)-(2000/1000))*'Rate Calculations'!$F$13)</f>
        <v>407.78776499999998</v>
      </c>
      <c r="H30" s="224">
        <f t="shared" si="2"/>
        <v>424.89776499999999</v>
      </c>
      <c r="I30" s="128">
        <f t="shared" si="3"/>
        <v>556.16055000000006</v>
      </c>
      <c r="J30" s="128">
        <f t="shared" si="5"/>
        <v>13255.141301325</v>
      </c>
      <c r="K30" s="128">
        <f t="shared" si="0"/>
        <v>13811.301851325001</v>
      </c>
    </row>
    <row r="31" spans="1:11" x14ac:dyDescent="0.35">
      <c r="A31" s="165">
        <f>'Billing Data'!B31</f>
        <v>95000</v>
      </c>
      <c r="B31" s="165">
        <v>104999</v>
      </c>
      <c r="C31" s="182">
        <f t="shared" si="4"/>
        <v>99999.5</v>
      </c>
      <c r="D31" s="218">
        <f t="shared" si="1"/>
        <v>2.2162500000000001</v>
      </c>
      <c r="E31" s="182">
        <f>'Billing Data'!P32</f>
        <v>26.594999999999999</v>
      </c>
      <c r="F31" s="117">
        <f>'Rate Calculations'!$F$7</f>
        <v>17.11</v>
      </c>
      <c r="G31" s="117">
        <f>(((C31/1000)-(15000/1000))*'Rate Calculations'!$F$14)+(((15000/1000)-(2000/1000))*'Rate Calculations'!$F$13)</f>
        <v>452.48776499999997</v>
      </c>
      <c r="H31" s="224">
        <f t="shared" si="2"/>
        <v>469.59776499999998</v>
      </c>
      <c r="I31" s="128">
        <f t="shared" si="3"/>
        <v>455.04044999999996</v>
      </c>
      <c r="J31" s="128">
        <f t="shared" si="5"/>
        <v>12033.912110174999</v>
      </c>
      <c r="K31" s="128">
        <f t="shared" si="0"/>
        <v>12488.952560174999</v>
      </c>
    </row>
    <row r="32" spans="1:11" x14ac:dyDescent="0.35">
      <c r="A32" s="165">
        <f>'Billing Data'!B32</f>
        <v>105000</v>
      </c>
      <c r="B32" s="165">
        <v>114999</v>
      </c>
      <c r="C32" s="182">
        <f t="shared" si="4"/>
        <v>109999.5</v>
      </c>
      <c r="D32" s="218">
        <f t="shared" si="1"/>
        <v>2.2162500000000001</v>
      </c>
      <c r="E32" s="182">
        <f>'Billing Data'!P33</f>
        <v>26.594999999999999</v>
      </c>
      <c r="F32" s="117">
        <f>'Rate Calculations'!$F$7</f>
        <v>17.11</v>
      </c>
      <c r="G32" s="117">
        <f>(((C32/1000)-(15000/1000))*'Rate Calculations'!$F$14)+(((15000/1000)-(2000/1000))*'Rate Calculations'!$F$13)</f>
        <v>497.18776500000001</v>
      </c>
      <c r="H32" s="224">
        <f t="shared" si="2"/>
        <v>514.29776500000003</v>
      </c>
      <c r="I32" s="128">
        <f t="shared" si="3"/>
        <v>455.04044999999996</v>
      </c>
      <c r="J32" s="128">
        <f t="shared" si="5"/>
        <v>13222.708610174999</v>
      </c>
      <c r="K32" s="128">
        <f t="shared" si="0"/>
        <v>13677.749060175</v>
      </c>
    </row>
    <row r="33" spans="1:11" x14ac:dyDescent="0.35">
      <c r="A33" s="165">
        <f>'Billing Data'!B33</f>
        <v>115000</v>
      </c>
      <c r="B33" s="165">
        <v>124999</v>
      </c>
      <c r="C33" s="182">
        <f t="shared" si="4"/>
        <v>119999.5</v>
      </c>
      <c r="D33" s="218">
        <f t="shared" si="1"/>
        <v>1.8879166666666667</v>
      </c>
      <c r="E33" s="182">
        <f>'Billing Data'!P34</f>
        <v>22.655000000000001</v>
      </c>
      <c r="F33" s="117">
        <f>'Rate Calculations'!$F$7</f>
        <v>17.11</v>
      </c>
      <c r="G33" s="117">
        <f>(((C33/1000)-(15000/1000))*'Rate Calculations'!$F$14)+(((15000/1000)-(2000/1000))*'Rate Calculations'!$F$13)</f>
        <v>541.88776499999994</v>
      </c>
      <c r="H33" s="224">
        <f t="shared" si="2"/>
        <v>558.99776499999996</v>
      </c>
      <c r="I33" s="128">
        <f t="shared" si="3"/>
        <v>387.62705</v>
      </c>
      <c r="J33" s="128">
        <f t="shared" si="5"/>
        <v>12276.467316074999</v>
      </c>
      <c r="K33" s="128">
        <f t="shared" si="0"/>
        <v>12664.094366074998</v>
      </c>
    </row>
    <row r="34" spans="1:11" x14ac:dyDescent="0.35">
      <c r="A34" s="165">
        <f>'Billing Data'!B34</f>
        <v>125000</v>
      </c>
      <c r="B34" s="165">
        <v>134999</v>
      </c>
      <c r="C34" s="182">
        <f t="shared" si="4"/>
        <v>129999.5</v>
      </c>
      <c r="D34" s="218">
        <f t="shared" si="1"/>
        <v>1.4775</v>
      </c>
      <c r="E34" s="182">
        <f>'Billing Data'!P35</f>
        <v>17.73</v>
      </c>
      <c r="F34" s="117">
        <f>'Rate Calculations'!$F$7</f>
        <v>17.11</v>
      </c>
      <c r="G34" s="117">
        <f>(((C34/1000)-(15000/1000))*'Rate Calculations'!$F$14)+(((15000/1000)-(2000/1000))*'Rate Calculations'!$F$13)</f>
        <v>586.58776499999999</v>
      </c>
      <c r="H34" s="224">
        <f t="shared" si="2"/>
        <v>603.697765</v>
      </c>
      <c r="I34" s="128">
        <f t="shared" si="3"/>
        <v>303.3603</v>
      </c>
      <c r="J34" s="128">
        <f t="shared" si="5"/>
        <v>10400.20107345</v>
      </c>
      <c r="K34" s="128">
        <f t="shared" si="0"/>
        <v>10703.56137345</v>
      </c>
    </row>
    <row r="35" spans="1:11" x14ac:dyDescent="0.35">
      <c r="A35" s="165">
        <f>'Billing Data'!B35</f>
        <v>135000</v>
      </c>
      <c r="B35" s="165">
        <v>144999</v>
      </c>
      <c r="C35" s="182">
        <f t="shared" si="4"/>
        <v>139999.5</v>
      </c>
      <c r="D35" s="218">
        <f t="shared" si="1"/>
        <v>1.8058333333333332</v>
      </c>
      <c r="E35" s="182">
        <f>'Billing Data'!P36</f>
        <v>21.669999999999998</v>
      </c>
      <c r="F35" s="117">
        <f>'Rate Calculations'!$F$7</f>
        <v>17.11</v>
      </c>
      <c r="G35" s="117">
        <f>(((C35/1000)-(15000/1000))*'Rate Calculations'!$F$14)+(((15000/1000)-(2000/1000))*'Rate Calculations'!$F$13)</f>
        <v>631.28776500000004</v>
      </c>
      <c r="H35" s="224">
        <f t="shared" si="2"/>
        <v>648.39776500000005</v>
      </c>
      <c r="I35" s="128">
        <f t="shared" si="3"/>
        <v>370.77369999999996</v>
      </c>
      <c r="J35" s="128">
        <f t="shared" si="5"/>
        <v>13680.00586755</v>
      </c>
      <c r="K35" s="128">
        <f t="shared" si="0"/>
        <v>14050.77956755</v>
      </c>
    </row>
    <row r="36" spans="1:11" x14ac:dyDescent="0.35">
      <c r="A36" s="165">
        <f>'Billing Data'!B36</f>
        <v>145000</v>
      </c>
      <c r="B36" s="165">
        <v>154999</v>
      </c>
      <c r="C36" s="182">
        <f t="shared" si="4"/>
        <v>149999.5</v>
      </c>
      <c r="D36" s="218">
        <f t="shared" si="1"/>
        <v>1.6416666666666666</v>
      </c>
      <c r="E36" s="182">
        <f>'Billing Data'!P37</f>
        <v>19.7</v>
      </c>
      <c r="F36" s="117">
        <f>'Rate Calculations'!$F$7</f>
        <v>17.11</v>
      </c>
      <c r="G36" s="117">
        <f>(((C36/1000)-(15000/1000))*'Rate Calculations'!$F$14)+(((15000/1000)-(2000/1000))*'Rate Calculations'!$F$13)</f>
        <v>675.98776499999997</v>
      </c>
      <c r="H36" s="224">
        <f t="shared" si="2"/>
        <v>693.09776499999998</v>
      </c>
      <c r="I36" s="128">
        <f t="shared" si="3"/>
        <v>337.06699999999995</v>
      </c>
      <c r="J36" s="128">
        <f t="shared" si="5"/>
        <v>13316.958970499998</v>
      </c>
      <c r="K36" s="128">
        <f t="shared" si="0"/>
        <v>13654.025970499997</v>
      </c>
    </row>
    <row r="37" spans="1:11" x14ac:dyDescent="0.35">
      <c r="A37" s="165">
        <f>'Billing Data'!B37</f>
        <v>155000</v>
      </c>
      <c r="B37" s="165">
        <v>164999</v>
      </c>
      <c r="C37" s="182">
        <f t="shared" si="4"/>
        <v>159999.5</v>
      </c>
      <c r="D37" s="218">
        <f t="shared" si="1"/>
        <v>0.98499999999999999</v>
      </c>
      <c r="E37" s="182">
        <f>'Billing Data'!P38</f>
        <v>11.82</v>
      </c>
      <c r="F37" s="117">
        <f>'Rate Calculations'!$F$7</f>
        <v>17.11</v>
      </c>
      <c r="G37" s="117">
        <f>(((C37/1000)-(15000/1000))*'Rate Calculations'!$F$14)+(((15000/1000)-(2000/1000))*'Rate Calculations'!$F$13)</f>
        <v>720.68776500000001</v>
      </c>
      <c r="H37" s="224">
        <f t="shared" si="2"/>
        <v>737.79776500000003</v>
      </c>
      <c r="I37" s="128">
        <f t="shared" si="3"/>
        <v>202.24019999999999</v>
      </c>
      <c r="J37" s="128">
        <f t="shared" si="5"/>
        <v>8518.5293823000011</v>
      </c>
      <c r="K37" s="128">
        <f t="shared" si="0"/>
        <v>8720.7695823000013</v>
      </c>
    </row>
    <row r="38" spans="1:11" x14ac:dyDescent="0.35">
      <c r="A38" s="165">
        <f>'Billing Data'!B38</f>
        <v>165000</v>
      </c>
      <c r="B38" s="165">
        <v>174999</v>
      </c>
      <c r="C38" s="182">
        <f t="shared" si="4"/>
        <v>169999.5</v>
      </c>
      <c r="D38" s="218">
        <f t="shared" si="1"/>
        <v>1.0670833333333334</v>
      </c>
      <c r="E38" s="182">
        <f>'Billing Data'!P39</f>
        <v>12.805</v>
      </c>
      <c r="F38" s="117">
        <f>'Rate Calculations'!$F$7</f>
        <v>17.11</v>
      </c>
      <c r="G38" s="117">
        <f>(((C38/1000)-(15000/1000))*'Rate Calculations'!$F$14)+(((15000/1000)-(2000/1000))*'Rate Calculations'!$F$13)</f>
        <v>765.38776499999994</v>
      </c>
      <c r="H38" s="224">
        <f t="shared" si="2"/>
        <v>782.49776499999996</v>
      </c>
      <c r="I38" s="128">
        <f t="shared" si="3"/>
        <v>219.09354999999999</v>
      </c>
      <c r="J38" s="128">
        <f t="shared" si="5"/>
        <v>9800.7903308249988</v>
      </c>
      <c r="K38" s="128">
        <f t="shared" si="0"/>
        <v>10019.883880824998</v>
      </c>
    </row>
    <row r="39" spans="1:11" x14ac:dyDescent="0.35">
      <c r="A39" s="165">
        <f>'Billing Data'!B39</f>
        <v>175000</v>
      </c>
      <c r="B39" s="165">
        <v>184999</v>
      </c>
      <c r="C39" s="182">
        <f t="shared" si="4"/>
        <v>179999.5</v>
      </c>
      <c r="D39" s="218">
        <f t="shared" si="1"/>
        <v>0.98499999999999999</v>
      </c>
      <c r="E39" s="182">
        <f>'Billing Data'!P40</f>
        <v>11.82</v>
      </c>
      <c r="F39" s="117">
        <f>'Rate Calculations'!$F$7</f>
        <v>17.11</v>
      </c>
      <c r="G39" s="117">
        <f>(((C39/1000)-(15000/1000))*'Rate Calculations'!$F$14)+(((15000/1000)-(2000/1000))*'Rate Calculations'!$F$13)</f>
        <v>810.08776499999999</v>
      </c>
      <c r="H39" s="224">
        <f t="shared" si="2"/>
        <v>827.197765</v>
      </c>
      <c r="I39" s="128">
        <f t="shared" si="3"/>
        <v>202.24019999999999</v>
      </c>
      <c r="J39" s="128">
        <f t="shared" si="5"/>
        <v>9575.2373822999998</v>
      </c>
      <c r="K39" s="128">
        <f t="shared" ref="K39:K66" si="6">I39+J39</f>
        <v>9777.4775823</v>
      </c>
    </row>
    <row r="40" spans="1:11" x14ac:dyDescent="0.35">
      <c r="A40" s="165">
        <f>'Billing Data'!B40</f>
        <v>185000</v>
      </c>
      <c r="B40" s="165">
        <v>194999</v>
      </c>
      <c r="C40" s="182">
        <f t="shared" si="4"/>
        <v>189999.5</v>
      </c>
      <c r="D40" s="218">
        <f t="shared" si="1"/>
        <v>0.8208333333333333</v>
      </c>
      <c r="E40" s="182">
        <f>'Billing Data'!P41</f>
        <v>9.85</v>
      </c>
      <c r="F40" s="117">
        <f>'Rate Calculations'!$F$7</f>
        <v>17.11</v>
      </c>
      <c r="G40" s="117">
        <f>(((C40/1000)-(15000/1000))*'Rate Calculations'!$F$14)+(((15000/1000)-(2000/1000))*'Rate Calculations'!$F$13)</f>
        <v>854.78776499999992</v>
      </c>
      <c r="H40" s="224">
        <f t="shared" si="2"/>
        <v>871.89776499999994</v>
      </c>
      <c r="I40" s="128">
        <f t="shared" si="3"/>
        <v>168.53349999999998</v>
      </c>
      <c r="J40" s="128">
        <f t="shared" si="5"/>
        <v>8419.6594852499984</v>
      </c>
      <c r="K40" s="128">
        <f t="shared" si="6"/>
        <v>8588.1929852499979</v>
      </c>
    </row>
    <row r="41" spans="1:11" x14ac:dyDescent="0.35">
      <c r="A41" s="165">
        <f>'Billing Data'!B41</f>
        <v>195000</v>
      </c>
      <c r="B41" s="165">
        <v>204999</v>
      </c>
      <c r="C41" s="182">
        <f t="shared" si="4"/>
        <v>199999.5</v>
      </c>
      <c r="D41" s="218">
        <f t="shared" si="1"/>
        <v>0.41041666666666665</v>
      </c>
      <c r="E41" s="182">
        <f>'Billing Data'!P42</f>
        <v>4.9249999999999998</v>
      </c>
      <c r="F41" s="117">
        <f>'Rate Calculations'!$F$7</f>
        <v>17.11</v>
      </c>
      <c r="G41" s="117">
        <f>(((C41/1000)-(15000/1000))*'Rate Calculations'!$F$14)+(((15000/1000)-(2000/1000))*'Rate Calculations'!$F$13)</f>
        <v>899.48776499999997</v>
      </c>
      <c r="H41" s="224">
        <f t="shared" si="2"/>
        <v>916.59776499999998</v>
      </c>
      <c r="I41" s="128">
        <f t="shared" si="3"/>
        <v>84.266749999999988</v>
      </c>
      <c r="J41" s="128">
        <f t="shared" si="5"/>
        <v>4429.9772426249992</v>
      </c>
      <c r="K41" s="128">
        <f t="shared" si="6"/>
        <v>4514.243992624999</v>
      </c>
    </row>
    <row r="42" spans="1:11" x14ac:dyDescent="0.35">
      <c r="A42" s="165">
        <f>'Billing Data'!B42</f>
        <v>205000</v>
      </c>
      <c r="B42" s="165">
        <v>214999</v>
      </c>
      <c r="C42" s="182">
        <f t="shared" si="4"/>
        <v>209999.5</v>
      </c>
      <c r="D42" s="218">
        <f t="shared" si="1"/>
        <v>0.8208333333333333</v>
      </c>
      <c r="E42" s="182">
        <f>'Billing Data'!P43</f>
        <v>9.85</v>
      </c>
      <c r="F42" s="117">
        <f>'Rate Calculations'!$F$7</f>
        <v>17.11</v>
      </c>
      <c r="G42" s="117">
        <f>(((C42/1000)-(15000/1000))*'Rate Calculations'!$F$14)+(((15000/1000)-(2000/1000))*'Rate Calculations'!$F$13)</f>
        <v>944.18776500000001</v>
      </c>
      <c r="H42" s="224">
        <f t="shared" si="2"/>
        <v>961.29776500000003</v>
      </c>
      <c r="I42" s="128">
        <f t="shared" si="3"/>
        <v>168.53349999999998</v>
      </c>
      <c r="J42" s="128">
        <f t="shared" ref="J42:J66" si="7">G42*E42</f>
        <v>9300.2494852500004</v>
      </c>
      <c r="K42" s="128">
        <f t="shared" si="6"/>
        <v>9468.7829852499999</v>
      </c>
    </row>
    <row r="43" spans="1:11" x14ac:dyDescent="0.35">
      <c r="A43" s="165">
        <f>'Billing Data'!B43</f>
        <v>215000</v>
      </c>
      <c r="B43" s="165">
        <v>224999</v>
      </c>
      <c r="C43" s="182">
        <f t="shared" si="4"/>
        <v>219999.5</v>
      </c>
      <c r="D43" s="218">
        <f t="shared" si="1"/>
        <v>0.32833333333333331</v>
      </c>
      <c r="E43" s="182">
        <f>'Billing Data'!P44</f>
        <v>3.94</v>
      </c>
      <c r="F43" s="117">
        <f>'Rate Calculations'!$F$7</f>
        <v>17.11</v>
      </c>
      <c r="G43" s="117">
        <f>(((C43/1000)-(15000/1000))*'Rate Calculations'!$F$14)+(((15000/1000)-(2000/1000))*'Rate Calculations'!$F$13)</f>
        <v>988.88776499999994</v>
      </c>
      <c r="H43" s="224">
        <f t="shared" si="2"/>
        <v>1005.997765</v>
      </c>
      <c r="I43" s="128">
        <f t="shared" si="3"/>
        <v>67.413399999999996</v>
      </c>
      <c r="J43" s="128">
        <f t="shared" si="7"/>
        <v>3896.2177940999995</v>
      </c>
      <c r="K43" s="128">
        <f t="shared" si="6"/>
        <v>3963.6311940999994</v>
      </c>
    </row>
    <row r="44" spans="1:11" x14ac:dyDescent="0.35">
      <c r="A44" s="165">
        <f>'Billing Data'!B44</f>
        <v>225000</v>
      </c>
      <c r="B44" s="165">
        <v>234999</v>
      </c>
      <c r="C44" s="182">
        <f t="shared" si="4"/>
        <v>229999.5</v>
      </c>
      <c r="D44" s="218">
        <f t="shared" si="1"/>
        <v>0.41041666666666665</v>
      </c>
      <c r="E44" s="182">
        <f>'Billing Data'!P45</f>
        <v>4.9249999999999998</v>
      </c>
      <c r="F44" s="117">
        <f>'Rate Calculations'!$F$7</f>
        <v>17.11</v>
      </c>
      <c r="G44" s="117">
        <f>(((C44/1000)-(15000/1000))*'Rate Calculations'!$F$14)+(((15000/1000)-(2000/1000))*'Rate Calculations'!$F$13)</f>
        <v>1033.587765</v>
      </c>
      <c r="H44" s="224">
        <f t="shared" si="2"/>
        <v>1050.6977649999999</v>
      </c>
      <c r="I44" s="128">
        <f t="shared" si="3"/>
        <v>84.266749999999988</v>
      </c>
      <c r="J44" s="128">
        <f t="shared" si="7"/>
        <v>5090.4197426249993</v>
      </c>
      <c r="K44" s="128">
        <f t="shared" si="6"/>
        <v>5174.6864926249991</v>
      </c>
    </row>
    <row r="45" spans="1:11" x14ac:dyDescent="0.35">
      <c r="A45" s="165">
        <f>'Billing Data'!B45</f>
        <v>235000</v>
      </c>
      <c r="B45" s="165">
        <v>244999</v>
      </c>
      <c r="C45" s="182">
        <f t="shared" si="4"/>
        <v>239999.5</v>
      </c>
      <c r="D45" s="218">
        <f t="shared" si="1"/>
        <v>0.41041666666666665</v>
      </c>
      <c r="E45" s="182">
        <f>'Billing Data'!P46</f>
        <v>4.9249999999999998</v>
      </c>
      <c r="F45" s="117">
        <f>'Rate Calculations'!$F$7</f>
        <v>17.11</v>
      </c>
      <c r="G45" s="117">
        <f>(((C45/1000)-(15000/1000))*'Rate Calculations'!$F$14)+(((15000/1000)-(2000/1000))*'Rate Calculations'!$F$13)</f>
        <v>1078.287765</v>
      </c>
      <c r="H45" s="224">
        <f t="shared" si="2"/>
        <v>1095.3977649999999</v>
      </c>
      <c r="I45" s="128">
        <f t="shared" si="3"/>
        <v>84.266749999999988</v>
      </c>
      <c r="J45" s="128">
        <f t="shared" si="7"/>
        <v>5310.5672426250003</v>
      </c>
      <c r="K45" s="128">
        <f t="shared" si="6"/>
        <v>5394.8339926250001</v>
      </c>
    </row>
    <row r="46" spans="1:11" x14ac:dyDescent="0.35">
      <c r="A46" s="165">
        <f>'Billing Data'!B46</f>
        <v>245000</v>
      </c>
      <c r="B46" s="165">
        <v>254999</v>
      </c>
      <c r="C46" s="182">
        <f t="shared" si="4"/>
        <v>249999.5</v>
      </c>
      <c r="D46" s="218">
        <f t="shared" si="1"/>
        <v>0.32833333333333331</v>
      </c>
      <c r="E46" s="182">
        <f>'Billing Data'!P47</f>
        <v>3.94</v>
      </c>
      <c r="F46" s="117">
        <f>'Rate Calculations'!$F$7</f>
        <v>17.11</v>
      </c>
      <c r="G46" s="117">
        <f>(((C46/1000)-(15000/1000))*'Rate Calculations'!$F$14)+(((15000/1000)-(2000/1000))*'Rate Calculations'!$F$13)</f>
        <v>1122.9877649999999</v>
      </c>
      <c r="H46" s="224">
        <f t="shared" si="2"/>
        <v>1140.0977649999998</v>
      </c>
      <c r="I46" s="128">
        <f t="shared" si="3"/>
        <v>67.413399999999996</v>
      </c>
      <c r="J46" s="128">
        <f t="shared" si="7"/>
        <v>4424.5717940999994</v>
      </c>
      <c r="K46" s="128">
        <f t="shared" si="6"/>
        <v>4491.9851940999997</v>
      </c>
    </row>
    <row r="47" spans="1:11" x14ac:dyDescent="0.35">
      <c r="A47" s="165">
        <f>'Billing Data'!B47</f>
        <v>255000</v>
      </c>
      <c r="B47" s="165">
        <v>264999</v>
      </c>
      <c r="C47" s="182">
        <f t="shared" si="4"/>
        <v>259999.5</v>
      </c>
      <c r="D47" s="218">
        <f t="shared" si="1"/>
        <v>0.16416666666666666</v>
      </c>
      <c r="E47" s="182">
        <f>'Billing Data'!P48</f>
        <v>1.97</v>
      </c>
      <c r="F47" s="117">
        <f>'Rate Calculations'!$F$7</f>
        <v>17.11</v>
      </c>
      <c r="G47" s="117">
        <f>(((C47/1000)-(15000/1000))*'Rate Calculations'!$F$14)+(((15000/1000)-(2000/1000))*'Rate Calculations'!$F$13)</f>
        <v>1167.6877649999999</v>
      </c>
      <c r="H47" s="224">
        <f t="shared" si="2"/>
        <v>1184.7977649999998</v>
      </c>
      <c r="I47" s="128">
        <f t="shared" si="3"/>
        <v>33.706699999999998</v>
      </c>
      <c r="J47" s="128">
        <f t="shared" si="7"/>
        <v>2300.3448970499999</v>
      </c>
      <c r="K47" s="128">
        <f t="shared" si="6"/>
        <v>2334.0515970500001</v>
      </c>
    </row>
    <row r="48" spans="1:11" x14ac:dyDescent="0.35">
      <c r="A48" s="165">
        <f>'Billing Data'!B48</f>
        <v>265000</v>
      </c>
      <c r="B48" s="165">
        <v>274999</v>
      </c>
      <c r="C48" s="182">
        <f t="shared" si="4"/>
        <v>269999.5</v>
      </c>
      <c r="D48" s="218">
        <f t="shared" si="1"/>
        <v>0.32833333333333331</v>
      </c>
      <c r="E48" s="182">
        <f>'Billing Data'!P49</f>
        <v>3.94</v>
      </c>
      <c r="F48" s="117">
        <f>'Rate Calculations'!$F$7</f>
        <v>17.11</v>
      </c>
      <c r="G48" s="117">
        <f>(((C48/1000)-(15000/1000))*'Rate Calculations'!$F$14)+(((15000/1000)-(2000/1000))*'Rate Calculations'!$F$13)</f>
        <v>1212.3877649999999</v>
      </c>
      <c r="H48" s="224">
        <f t="shared" si="2"/>
        <v>1229.4977649999998</v>
      </c>
      <c r="I48" s="128">
        <f t="shared" si="3"/>
        <v>67.413399999999996</v>
      </c>
      <c r="J48" s="128">
        <f t="shared" si="7"/>
        <v>4776.8077941000001</v>
      </c>
      <c r="K48" s="128">
        <f t="shared" si="6"/>
        <v>4844.2211941000005</v>
      </c>
    </row>
    <row r="49" spans="1:11" x14ac:dyDescent="0.35">
      <c r="A49" s="165">
        <f>'Billing Data'!B49</f>
        <v>275000</v>
      </c>
      <c r="B49" s="165">
        <v>284999</v>
      </c>
      <c r="C49" s="182">
        <f t="shared" si="4"/>
        <v>279999.5</v>
      </c>
      <c r="D49" s="218">
        <f t="shared" si="1"/>
        <v>0.65666666666666662</v>
      </c>
      <c r="E49" s="182">
        <f>'Billing Data'!P50</f>
        <v>7.88</v>
      </c>
      <c r="F49" s="117">
        <f>'Rate Calculations'!$F$7</f>
        <v>17.11</v>
      </c>
      <c r="G49" s="117">
        <f>(((C49/1000)-(15000/1000))*'Rate Calculations'!$F$14)+(((15000/1000)-(2000/1000))*'Rate Calculations'!$F$13)</f>
        <v>1257.087765</v>
      </c>
      <c r="H49" s="224">
        <f t="shared" si="2"/>
        <v>1274.1977649999999</v>
      </c>
      <c r="I49" s="128">
        <f t="shared" si="3"/>
        <v>134.82679999999999</v>
      </c>
      <c r="J49" s="128">
        <f t="shared" si="7"/>
        <v>9905.8515881999992</v>
      </c>
      <c r="K49" s="128">
        <f t="shared" si="6"/>
        <v>10040.6783882</v>
      </c>
    </row>
    <row r="50" spans="1:11" x14ac:dyDescent="0.35">
      <c r="A50" s="165">
        <f>'Billing Data'!B50</f>
        <v>285000</v>
      </c>
      <c r="B50" s="165">
        <v>294999</v>
      </c>
      <c r="C50" s="182">
        <f t="shared" si="4"/>
        <v>289999.5</v>
      </c>
      <c r="D50" s="218">
        <f t="shared" si="1"/>
        <v>0.41041666666666665</v>
      </c>
      <c r="E50" s="182">
        <f>'Billing Data'!P51</f>
        <v>4.9249999999999998</v>
      </c>
      <c r="F50" s="117">
        <f>'Rate Calculations'!$F$7</f>
        <v>17.11</v>
      </c>
      <c r="G50" s="117">
        <f>(((C50/1000)-(15000/1000))*'Rate Calculations'!$F$14)+(((15000/1000)-(2000/1000))*'Rate Calculations'!$F$13)</f>
        <v>1301.787765</v>
      </c>
      <c r="H50" s="224">
        <f t="shared" si="2"/>
        <v>1318.8977649999999</v>
      </c>
      <c r="I50" s="128">
        <f t="shared" si="3"/>
        <v>84.266749999999988</v>
      </c>
      <c r="J50" s="128">
        <f t="shared" si="7"/>
        <v>6411.3047426249996</v>
      </c>
      <c r="K50" s="128">
        <f t="shared" si="6"/>
        <v>6495.5714926249993</v>
      </c>
    </row>
    <row r="51" spans="1:11" x14ac:dyDescent="0.35">
      <c r="A51" s="165">
        <f>'Billing Data'!B51</f>
        <v>295000</v>
      </c>
      <c r="B51" s="165">
        <v>304999</v>
      </c>
      <c r="C51" s="182">
        <f t="shared" si="4"/>
        <v>299999.5</v>
      </c>
      <c r="D51" s="218">
        <f t="shared" si="1"/>
        <v>0.41041666666666665</v>
      </c>
      <c r="E51" s="182">
        <f>'Billing Data'!P52</f>
        <v>4.9249999999999998</v>
      </c>
      <c r="F51" s="117">
        <f>'Rate Calculations'!$F$7</f>
        <v>17.11</v>
      </c>
      <c r="G51" s="117">
        <f>(((C51/1000)-(15000/1000))*'Rate Calculations'!$F$14)+(((15000/1000)-(2000/1000))*'Rate Calculations'!$F$13)</f>
        <v>1346.4877649999999</v>
      </c>
      <c r="H51" s="224">
        <f t="shared" si="2"/>
        <v>1363.5977649999998</v>
      </c>
      <c r="I51" s="128">
        <f t="shared" si="3"/>
        <v>84.266749999999988</v>
      </c>
      <c r="J51" s="128">
        <f t="shared" si="7"/>
        <v>6631.4522426249987</v>
      </c>
      <c r="K51" s="128">
        <f t="shared" si="6"/>
        <v>6715.7189926249985</v>
      </c>
    </row>
    <row r="52" spans="1:11" x14ac:dyDescent="0.35">
      <c r="A52" s="165">
        <f>'Billing Data'!B52</f>
        <v>305000</v>
      </c>
      <c r="B52" s="165">
        <v>314999</v>
      </c>
      <c r="C52" s="182">
        <f t="shared" si="4"/>
        <v>309999.5</v>
      </c>
      <c r="D52" s="218">
        <f t="shared" si="1"/>
        <v>0.57458333333333333</v>
      </c>
      <c r="E52" s="182">
        <f>'Billing Data'!P53</f>
        <v>6.8949999999999996</v>
      </c>
      <c r="F52" s="117">
        <f>'Rate Calculations'!$F$7</f>
        <v>17.11</v>
      </c>
      <c r="G52" s="117">
        <f>(((C52/1000)-(15000/1000))*'Rate Calculations'!$F$14)+(((15000/1000)-(2000/1000))*'Rate Calculations'!$F$13)</f>
        <v>1391.1877649999999</v>
      </c>
      <c r="H52" s="224">
        <f t="shared" si="2"/>
        <v>1408.2977649999998</v>
      </c>
      <c r="I52" s="128">
        <f t="shared" si="3"/>
        <v>117.97344999999999</v>
      </c>
      <c r="J52" s="128">
        <f t="shared" si="7"/>
        <v>9592.2396396749991</v>
      </c>
      <c r="K52" s="128">
        <f t="shared" si="6"/>
        <v>9710.2130896749986</v>
      </c>
    </row>
    <row r="53" spans="1:11" x14ac:dyDescent="0.35">
      <c r="A53" s="165">
        <f>'Billing Data'!B53</f>
        <v>315000</v>
      </c>
      <c r="B53" s="165">
        <v>324999</v>
      </c>
      <c r="C53" s="182">
        <f t="shared" si="4"/>
        <v>319999.5</v>
      </c>
      <c r="D53" s="218">
        <f t="shared" si="1"/>
        <v>0.24625</v>
      </c>
      <c r="E53" s="182">
        <f>'Billing Data'!P54</f>
        <v>2.9550000000000001</v>
      </c>
      <c r="F53" s="117">
        <f>'Rate Calculations'!$F$7</f>
        <v>17.11</v>
      </c>
      <c r="G53" s="117">
        <f>(((C53/1000)-(15000/1000))*'Rate Calculations'!$F$14)+(((15000/1000)-(2000/1000))*'Rate Calculations'!$F$13)</f>
        <v>1435.8877649999999</v>
      </c>
      <c r="H53" s="224">
        <f t="shared" si="2"/>
        <v>1452.9977649999998</v>
      </c>
      <c r="I53" s="128">
        <f t="shared" si="3"/>
        <v>50.560049999999997</v>
      </c>
      <c r="J53" s="128">
        <f t="shared" si="7"/>
        <v>4243.048345575</v>
      </c>
      <c r="K53" s="128">
        <f t="shared" si="6"/>
        <v>4293.608395575</v>
      </c>
    </row>
    <row r="54" spans="1:11" x14ac:dyDescent="0.35">
      <c r="A54" s="165">
        <f>'Billing Data'!B54</f>
        <v>325000</v>
      </c>
      <c r="B54" s="165">
        <v>334999</v>
      </c>
      <c r="C54" s="182">
        <f t="shared" si="4"/>
        <v>329999.5</v>
      </c>
      <c r="D54" s="218">
        <f t="shared" si="1"/>
        <v>0.57458333333333333</v>
      </c>
      <c r="E54" s="182">
        <f>'Billing Data'!P55</f>
        <v>6.8949999999999996</v>
      </c>
      <c r="F54" s="117">
        <f>'Rate Calculations'!$F$7</f>
        <v>17.11</v>
      </c>
      <c r="G54" s="117">
        <f>(((C54/1000)-(15000/1000))*'Rate Calculations'!$F$14)+(((15000/1000)-(2000/1000))*'Rate Calculations'!$F$13)</f>
        <v>1480.587765</v>
      </c>
      <c r="H54" s="224">
        <f t="shared" si="2"/>
        <v>1497.6977649999999</v>
      </c>
      <c r="I54" s="128">
        <f t="shared" si="3"/>
        <v>117.97344999999999</v>
      </c>
      <c r="J54" s="128">
        <f t="shared" si="7"/>
        <v>10208.652639675</v>
      </c>
      <c r="K54" s="128">
        <f t="shared" si="6"/>
        <v>10326.626089674999</v>
      </c>
    </row>
    <row r="55" spans="1:11" x14ac:dyDescent="0.35">
      <c r="A55" s="165">
        <f>'Billing Data'!B55</f>
        <v>335000</v>
      </c>
      <c r="B55" s="165">
        <v>344999</v>
      </c>
      <c r="C55" s="182">
        <f t="shared" si="4"/>
        <v>339999.5</v>
      </c>
      <c r="D55" s="218">
        <f t="shared" si="1"/>
        <v>0.32833333333333331</v>
      </c>
      <c r="E55" s="182">
        <f>'Billing Data'!P56</f>
        <v>3.94</v>
      </c>
      <c r="F55" s="117">
        <f>'Rate Calculations'!$F$7</f>
        <v>17.11</v>
      </c>
      <c r="G55" s="117">
        <f>(((C55/1000)-(15000/1000))*'Rate Calculations'!$F$14)+(((15000/1000)-(2000/1000))*'Rate Calculations'!$F$13)</f>
        <v>1525.287765</v>
      </c>
      <c r="H55" s="224">
        <f t="shared" si="2"/>
        <v>1542.3977649999999</v>
      </c>
      <c r="I55" s="128">
        <f t="shared" si="3"/>
        <v>67.413399999999996</v>
      </c>
      <c r="J55" s="128">
        <f t="shared" si="7"/>
        <v>6009.6337941000002</v>
      </c>
      <c r="K55" s="128">
        <f t="shared" si="6"/>
        <v>6077.0471941000005</v>
      </c>
    </row>
    <row r="56" spans="1:11" x14ac:dyDescent="0.35">
      <c r="A56" s="165">
        <f>'Billing Data'!B56</f>
        <v>345000</v>
      </c>
      <c r="B56" s="165">
        <v>354999</v>
      </c>
      <c r="C56" s="182">
        <f t="shared" si="4"/>
        <v>349999.5</v>
      </c>
      <c r="D56" s="218">
        <f t="shared" si="1"/>
        <v>0</v>
      </c>
      <c r="E56" s="182">
        <f>'Billing Data'!P57</f>
        <v>0</v>
      </c>
      <c r="F56" s="117">
        <f>'Rate Calculations'!$F$7</f>
        <v>17.11</v>
      </c>
      <c r="G56" s="117">
        <f>(((C56/1000)-(15000/1000))*'Rate Calculations'!$F$14)+(((15000/1000)-(2000/1000))*'Rate Calculations'!$F$13)</f>
        <v>1569.9877649999999</v>
      </c>
      <c r="H56" s="224">
        <f t="shared" si="2"/>
        <v>1587.0977649999998</v>
      </c>
      <c r="I56" s="128">
        <f t="shared" si="3"/>
        <v>0</v>
      </c>
      <c r="J56" s="128">
        <f t="shared" si="7"/>
        <v>0</v>
      </c>
      <c r="K56" s="128">
        <f t="shared" si="6"/>
        <v>0</v>
      </c>
    </row>
    <row r="57" spans="1:11" x14ac:dyDescent="0.35">
      <c r="A57" s="165">
        <f>'Billing Data'!B57</f>
        <v>355000</v>
      </c>
      <c r="B57" s="165">
        <v>374999</v>
      </c>
      <c r="C57" s="182">
        <f t="shared" si="4"/>
        <v>364999.5</v>
      </c>
      <c r="D57" s="218">
        <f t="shared" si="1"/>
        <v>0.32833333333333331</v>
      </c>
      <c r="E57" s="182">
        <f>'Billing Data'!P58</f>
        <v>3.94</v>
      </c>
      <c r="F57" s="117">
        <f>'Rate Calculations'!$F$7</f>
        <v>17.11</v>
      </c>
      <c r="G57" s="117">
        <f>(((C57/1000)-(15000/1000))*'Rate Calculations'!$F$14)+(((15000/1000)-(2000/1000))*'Rate Calculations'!$F$13)</f>
        <v>1637.037765</v>
      </c>
      <c r="H57" s="224">
        <f t="shared" si="2"/>
        <v>1654.1477649999999</v>
      </c>
      <c r="I57" s="128">
        <f t="shared" si="3"/>
        <v>67.413399999999996</v>
      </c>
      <c r="J57" s="128">
        <f t="shared" si="7"/>
        <v>6449.9287941000002</v>
      </c>
      <c r="K57" s="128">
        <f t="shared" si="6"/>
        <v>6517.3421941000006</v>
      </c>
    </row>
    <row r="58" spans="1:11" x14ac:dyDescent="0.35">
      <c r="A58" s="165">
        <f>'Billing Data'!B58</f>
        <v>375000</v>
      </c>
      <c r="B58" s="165">
        <v>384999</v>
      </c>
      <c r="C58" s="182">
        <f t="shared" si="4"/>
        <v>379999.5</v>
      </c>
      <c r="D58" s="218">
        <f t="shared" si="1"/>
        <v>0.16416666666666666</v>
      </c>
      <c r="E58" s="182">
        <f>'Billing Data'!P59</f>
        <v>1.97</v>
      </c>
      <c r="F58" s="117">
        <f>'Rate Calculations'!$F$7</f>
        <v>17.11</v>
      </c>
      <c r="G58" s="117">
        <f>(((C58/1000)-(15000/1000))*'Rate Calculations'!$F$14)+(((15000/1000)-(2000/1000))*'Rate Calculations'!$F$13)</f>
        <v>1704.087765</v>
      </c>
      <c r="H58" s="224">
        <f t="shared" si="2"/>
        <v>1721.1977649999999</v>
      </c>
      <c r="I58" s="128">
        <f t="shared" si="3"/>
        <v>33.706699999999998</v>
      </c>
      <c r="J58" s="128">
        <f t="shared" si="7"/>
        <v>3357.05289705</v>
      </c>
      <c r="K58" s="128">
        <f t="shared" si="6"/>
        <v>3390.7595970500001</v>
      </c>
    </row>
    <row r="59" spans="1:11" x14ac:dyDescent="0.35">
      <c r="A59" s="165">
        <f>'Billing Data'!B59</f>
        <v>385000</v>
      </c>
      <c r="B59" s="165">
        <v>404999</v>
      </c>
      <c r="C59" s="182">
        <f t="shared" si="4"/>
        <v>394999.5</v>
      </c>
      <c r="D59" s="218">
        <f t="shared" si="1"/>
        <v>0.24625</v>
      </c>
      <c r="E59" s="182">
        <f>'Billing Data'!P60</f>
        <v>2.9550000000000001</v>
      </c>
      <c r="F59" s="117">
        <f>'Rate Calculations'!$F$7</f>
        <v>17.11</v>
      </c>
      <c r="G59" s="117">
        <f>(((C59/1000)-(15000/1000))*'Rate Calculations'!$F$14)+(((15000/1000)-(2000/1000))*'Rate Calculations'!$F$13)</f>
        <v>1771.1377649999999</v>
      </c>
      <c r="H59" s="224">
        <f t="shared" si="2"/>
        <v>1788.2477649999998</v>
      </c>
      <c r="I59" s="128">
        <f t="shared" si="3"/>
        <v>50.560049999999997</v>
      </c>
      <c r="J59" s="128">
        <f t="shared" si="7"/>
        <v>5233.7120955749997</v>
      </c>
      <c r="K59" s="128">
        <f t="shared" si="6"/>
        <v>5284.2721455749997</v>
      </c>
    </row>
    <row r="60" spans="1:11" x14ac:dyDescent="0.35">
      <c r="A60" s="165">
        <f>'Billing Data'!B60</f>
        <v>405000</v>
      </c>
      <c r="B60" s="165">
        <v>424999</v>
      </c>
      <c r="C60" s="182">
        <f t="shared" si="4"/>
        <v>414999.5</v>
      </c>
      <c r="D60" s="218">
        <f t="shared" si="1"/>
        <v>8.2083333333333328E-2</v>
      </c>
      <c r="E60" s="182">
        <f>'Billing Data'!P61</f>
        <v>0.98499999999999999</v>
      </c>
      <c r="F60" s="117">
        <f>'Rate Calculations'!$F$7</f>
        <v>17.11</v>
      </c>
      <c r="G60" s="117">
        <f>(((C60/1000)-(15000/1000))*'Rate Calculations'!$F$14)+(((15000/1000)-(2000/1000))*'Rate Calculations'!$F$13)</f>
        <v>1860.5377649999998</v>
      </c>
      <c r="H60" s="224">
        <f t="shared" si="2"/>
        <v>1877.6477649999997</v>
      </c>
      <c r="I60" s="128">
        <f t="shared" si="3"/>
        <v>16.853349999999999</v>
      </c>
      <c r="J60" s="128">
        <f t="shared" si="7"/>
        <v>1832.6296985249999</v>
      </c>
      <c r="K60" s="128">
        <f t="shared" si="6"/>
        <v>1849.483048525</v>
      </c>
    </row>
    <row r="61" spans="1:11" x14ac:dyDescent="0.35">
      <c r="A61" s="165">
        <f>'Billing Data'!B61</f>
        <v>425000</v>
      </c>
      <c r="B61" s="165">
        <v>464999</v>
      </c>
      <c r="C61" s="182">
        <f t="shared" si="4"/>
        <v>444999.5</v>
      </c>
      <c r="D61" s="218">
        <f t="shared" si="1"/>
        <v>0.41041666666666665</v>
      </c>
      <c r="E61" s="182">
        <f>'Billing Data'!P62</f>
        <v>4.9249999999999998</v>
      </c>
      <c r="F61" s="117">
        <f>'Rate Calculations'!$F$7</f>
        <v>17.11</v>
      </c>
      <c r="G61" s="117">
        <f>(((C61/1000)-(15000/1000))*'Rate Calculations'!$F$14)+(((15000/1000)-(2000/1000))*'Rate Calculations'!$F$13)</f>
        <v>1994.6377649999999</v>
      </c>
      <c r="H61" s="224">
        <f t="shared" si="2"/>
        <v>2011.7477649999998</v>
      </c>
      <c r="I61" s="128">
        <f t="shared" si="3"/>
        <v>84.266749999999988</v>
      </c>
      <c r="J61" s="128">
        <f t="shared" si="7"/>
        <v>9823.5909926249988</v>
      </c>
      <c r="K61" s="128">
        <f t="shared" si="6"/>
        <v>9907.8577426249994</v>
      </c>
    </row>
    <row r="62" spans="1:11" x14ac:dyDescent="0.35">
      <c r="A62" s="165">
        <f>'Billing Data'!B62</f>
        <v>465000</v>
      </c>
      <c r="B62" s="165">
        <v>624999</v>
      </c>
      <c r="C62" s="182">
        <f t="shared" si="4"/>
        <v>544999.5</v>
      </c>
      <c r="D62" s="218">
        <f t="shared" si="1"/>
        <v>1.0670833333333334</v>
      </c>
      <c r="E62" s="182">
        <f>'Billing Data'!P63</f>
        <v>12.805</v>
      </c>
      <c r="F62" s="117">
        <f>'Rate Calculations'!$F$7</f>
        <v>17.11</v>
      </c>
      <c r="G62" s="117">
        <f>(((C62/1000)-(15000/1000))*'Rate Calculations'!$F$14)+(((15000/1000)-(2000/1000))*'Rate Calculations'!$F$13)</f>
        <v>2441.6377649999999</v>
      </c>
      <c r="H62" s="224">
        <f t="shared" si="2"/>
        <v>2458.7477650000001</v>
      </c>
      <c r="I62" s="128">
        <f t="shared" si="3"/>
        <v>219.09354999999999</v>
      </c>
      <c r="J62" s="128">
        <f t="shared" si="7"/>
        <v>31265.171580824997</v>
      </c>
      <c r="K62" s="128">
        <f t="shared" si="6"/>
        <v>31484.265130824999</v>
      </c>
    </row>
    <row r="63" spans="1:11" x14ac:dyDescent="0.35">
      <c r="A63" s="165">
        <f>'Billing Data'!B63</f>
        <v>625000</v>
      </c>
      <c r="B63" s="165">
        <v>654999</v>
      </c>
      <c r="C63" s="182">
        <f t="shared" si="4"/>
        <v>639999.5</v>
      </c>
      <c r="D63" s="218">
        <f t="shared" si="1"/>
        <v>0.16416666666666666</v>
      </c>
      <c r="E63" s="182">
        <f>'Billing Data'!P64</f>
        <v>1.97</v>
      </c>
      <c r="F63" s="117">
        <f>'Rate Calculations'!$F$7</f>
        <v>17.11</v>
      </c>
      <c r="G63" s="117">
        <f>(((C63/1000)-(15000/1000))*'Rate Calculations'!$F$14)+(((15000/1000)-(2000/1000))*'Rate Calculations'!$F$13)</f>
        <v>2866.287765</v>
      </c>
      <c r="H63" s="224">
        <f t="shared" si="2"/>
        <v>2883.3977650000002</v>
      </c>
      <c r="I63" s="128">
        <f t="shared" si="3"/>
        <v>33.706699999999998</v>
      </c>
      <c r="J63" s="128">
        <f t="shared" si="7"/>
        <v>5646.5868970499996</v>
      </c>
      <c r="K63" s="128">
        <f t="shared" si="6"/>
        <v>5680.2935970499993</v>
      </c>
    </row>
    <row r="64" spans="1:11" x14ac:dyDescent="0.35">
      <c r="A64" s="165">
        <f>'Billing Data'!B64</f>
        <v>655000</v>
      </c>
      <c r="B64" s="165">
        <v>714999</v>
      </c>
      <c r="C64" s="182">
        <f t="shared" si="4"/>
        <v>684999.5</v>
      </c>
      <c r="D64" s="218">
        <f t="shared" si="1"/>
        <v>0.65666666666666662</v>
      </c>
      <c r="E64" s="182">
        <f>'Billing Data'!P65</f>
        <v>7.88</v>
      </c>
      <c r="F64" s="117">
        <f>'Rate Calculations'!$F$7</f>
        <v>17.11</v>
      </c>
      <c r="G64" s="117">
        <f>(((C64/1000)-(15000/1000))*'Rate Calculations'!$F$14)+(((15000/1000)-(2000/1000))*'Rate Calculations'!$F$13)</f>
        <v>3067.4377649999997</v>
      </c>
      <c r="H64" s="224">
        <f t="shared" si="2"/>
        <v>3084.5477649999998</v>
      </c>
      <c r="I64" s="128">
        <f t="shared" si="3"/>
        <v>134.82679999999999</v>
      </c>
      <c r="J64" s="128">
        <f t="shared" si="7"/>
        <v>24171.409588199997</v>
      </c>
      <c r="K64" s="128">
        <f t="shared" si="6"/>
        <v>24306.236388199995</v>
      </c>
    </row>
    <row r="65" spans="1:11" x14ac:dyDescent="0.35">
      <c r="A65" s="165">
        <f>'Billing Data'!B65</f>
        <v>715000</v>
      </c>
      <c r="B65" s="165">
        <v>844999</v>
      </c>
      <c r="C65" s="182">
        <f t="shared" si="4"/>
        <v>779999.5</v>
      </c>
      <c r="D65" s="218">
        <f t="shared" si="1"/>
        <v>1.8058333333333332</v>
      </c>
      <c r="E65" s="182">
        <f>'Billing Data'!P66</f>
        <v>21.669999999999998</v>
      </c>
      <c r="F65" s="117">
        <f>'Rate Calculations'!$F$7</f>
        <v>17.11</v>
      </c>
      <c r="G65" s="117">
        <f>(((C65/1000)-(15000/1000))*'Rate Calculations'!$F$14)+(((15000/1000)-(2000/1000))*'Rate Calculations'!$F$13)</f>
        <v>3492.0877649999998</v>
      </c>
      <c r="H65" s="224">
        <f t="shared" si="2"/>
        <v>3509.1977649999999</v>
      </c>
      <c r="I65" s="128">
        <f t="shared" si="3"/>
        <v>370.77369999999996</v>
      </c>
      <c r="J65" s="128">
        <f t="shared" si="7"/>
        <v>75673.541867549982</v>
      </c>
      <c r="K65" s="128">
        <f t="shared" si="6"/>
        <v>76044.315567549987</v>
      </c>
    </row>
    <row r="66" spans="1:11" x14ac:dyDescent="0.35">
      <c r="A66" s="203">
        <f>'Billing Data'!B66</f>
        <v>845000</v>
      </c>
      <c r="B66" s="203">
        <v>900000</v>
      </c>
      <c r="C66" s="219">
        <v>845000</v>
      </c>
      <c r="D66" s="220">
        <f t="shared" si="1"/>
        <v>0</v>
      </c>
      <c r="E66" s="219">
        <f>'Billing Data'!P67</f>
        <v>0</v>
      </c>
      <c r="F66" s="121">
        <f>'Rate Calculations'!$F$7</f>
        <v>17.11</v>
      </c>
      <c r="G66" s="121">
        <f>(((C66/1000)-(15000/1000))*'Rate Calculations'!$F$14)+(((15000/1000)-(2000/1000))*'Rate Calculations'!$F$13)</f>
        <v>3782.64</v>
      </c>
      <c r="H66" s="226">
        <f t="shared" si="2"/>
        <v>3799.75</v>
      </c>
      <c r="I66" s="120">
        <f t="shared" si="3"/>
        <v>0</v>
      </c>
      <c r="J66" s="120">
        <f t="shared" si="7"/>
        <v>0</v>
      </c>
      <c r="K66" s="120">
        <f t="shared" si="6"/>
        <v>0</v>
      </c>
    </row>
    <row r="67" spans="1:11" x14ac:dyDescent="0.35">
      <c r="A67" s="165"/>
    </row>
    <row r="68" spans="1:11" x14ac:dyDescent="0.35">
      <c r="A68" s="165"/>
      <c r="D68" s="182">
        <f>SUM(D7:D67)</f>
        <v>8679.4916666666704</v>
      </c>
      <c r="E68" s="182">
        <f>SUM(E7:E67)</f>
        <v>104153.90000000007</v>
      </c>
      <c r="I68" s="128">
        <f>SUM(I7:I67)</f>
        <v>1782073.2289999984</v>
      </c>
      <c r="J68" s="33">
        <f>SUM(J7:J67)</f>
        <v>1624313.8204661256</v>
      </c>
      <c r="K68" s="33">
        <f>SUM(K7:K67)</f>
        <v>3406387.0494661243</v>
      </c>
    </row>
    <row r="69" spans="1:11" x14ac:dyDescent="0.35">
      <c r="A69" s="165"/>
    </row>
    <row r="70" spans="1:11" ht="18.649999999999999" customHeight="1" x14ac:dyDescent="0.35">
      <c r="A70" s="165"/>
      <c r="I70" s="26" t="s">
        <v>325</v>
      </c>
      <c r="J70" s="92"/>
      <c r="K70" s="222">
        <f>Summary!F28</f>
        <v>3371082.18</v>
      </c>
    </row>
    <row r="71" spans="1:11" ht="8.65" customHeight="1" x14ac:dyDescent="0.35">
      <c r="A71" s="165"/>
    </row>
    <row r="72" spans="1:11" x14ac:dyDescent="0.35">
      <c r="A72" s="165"/>
      <c r="I72" s="26" t="s">
        <v>326</v>
      </c>
    </row>
    <row r="73" spans="1:11" x14ac:dyDescent="0.35">
      <c r="A73" s="165"/>
      <c r="I73" s="26" t="s">
        <v>332</v>
      </c>
      <c r="K73" s="128">
        <f>I68</f>
        <v>1782073.2289999984</v>
      </c>
    </row>
    <row r="74" spans="1:11" x14ac:dyDescent="0.35">
      <c r="A74" s="165"/>
      <c r="I74" s="26" t="s">
        <v>327</v>
      </c>
      <c r="K74" s="35">
        <f>J68</f>
        <v>1624313.8204661256</v>
      </c>
    </row>
    <row r="75" spans="1:11" x14ac:dyDescent="0.35">
      <c r="I75" s="26" t="s">
        <v>44</v>
      </c>
      <c r="K75" s="128">
        <f>SUM(K73:K74)</f>
        <v>3406387.0494661238</v>
      </c>
    </row>
    <row r="76" spans="1:11" ht="7.9" customHeight="1" x14ac:dyDescent="0.35">
      <c r="K76" s="128"/>
    </row>
    <row r="77" spans="1:11" x14ac:dyDescent="0.35">
      <c r="I77" s="26" t="s">
        <v>328</v>
      </c>
      <c r="K77" s="168">
        <f>(K75-K70)/K70</f>
        <v>1.0472859331516989E-2</v>
      </c>
    </row>
    <row r="78" spans="1:11" x14ac:dyDescent="0.35">
      <c r="A78" s="26" t="s">
        <v>322</v>
      </c>
    </row>
    <row r="80" spans="1:11" s="122" customFormat="1" ht="6" hidden="1" customHeight="1" outlineLevel="1" x14ac:dyDescent="0.35"/>
    <row r="81" spans="1:12" hidden="1" outlineLevel="1" x14ac:dyDescent="0.35">
      <c r="A81" s="25" t="s">
        <v>4</v>
      </c>
    </row>
    <row r="82" spans="1:12" hidden="1" outlineLevel="1" x14ac:dyDescent="0.35">
      <c r="A82" s="25" t="s">
        <v>109</v>
      </c>
    </row>
    <row r="83" spans="1:12" hidden="1" outlineLevel="1" x14ac:dyDescent="0.35">
      <c r="A83" s="25" t="s">
        <v>1129</v>
      </c>
      <c r="K83" s="50" t="s">
        <v>154</v>
      </c>
    </row>
    <row r="84" spans="1:12" hidden="1" outlineLevel="1" x14ac:dyDescent="0.35"/>
    <row r="85" spans="1:12" hidden="1" outlineLevel="1" x14ac:dyDescent="0.35"/>
    <row r="86" spans="1:12" ht="62" hidden="1" outlineLevel="1" x14ac:dyDescent="0.35">
      <c r="A86" s="205" t="s">
        <v>317</v>
      </c>
      <c r="B86" s="205" t="s">
        <v>318</v>
      </c>
      <c r="C86" s="114" t="s">
        <v>319</v>
      </c>
      <c r="D86" s="205" t="s">
        <v>320</v>
      </c>
      <c r="E86" s="205" t="s">
        <v>266</v>
      </c>
      <c r="F86" s="114" t="s">
        <v>302</v>
      </c>
      <c r="G86" s="114" t="s">
        <v>330</v>
      </c>
      <c r="H86" s="114" t="s">
        <v>321</v>
      </c>
      <c r="I86" s="114" t="s">
        <v>329</v>
      </c>
      <c r="J86" s="114" t="s">
        <v>331</v>
      </c>
      <c r="K86" s="114" t="s">
        <v>324</v>
      </c>
      <c r="L86" s="229"/>
    </row>
    <row r="87" spans="1:12" hidden="1" outlineLevel="1" x14ac:dyDescent="0.35">
      <c r="A87" s="227">
        <f t="shared" ref="A87:B106" si="8">A7</f>
        <v>0</v>
      </c>
      <c r="B87" s="227">
        <f t="shared" si="8"/>
        <v>0</v>
      </c>
      <c r="C87" s="182">
        <f>AVERAGE(A87,B87)</f>
        <v>0</v>
      </c>
      <c r="D87" s="223">
        <f t="shared" ref="D87:E106" si="9">D7</f>
        <v>788</v>
      </c>
      <c r="E87" s="223">
        <f t="shared" si="9"/>
        <v>9456</v>
      </c>
      <c r="F87" s="214">
        <f>'Rate Calculations'!$F$39</f>
        <v>9.1098976322656817</v>
      </c>
      <c r="G87" s="214">
        <f>(C87/1000)*'Rate Calculations'!$F$45</f>
        <v>0</v>
      </c>
      <c r="H87" s="214">
        <f>F87+G87</f>
        <v>9.1098976322656817</v>
      </c>
      <c r="I87" s="222">
        <f>F87*E87</f>
        <v>86143.192010704282</v>
      </c>
      <c r="J87" s="222">
        <v>0</v>
      </c>
      <c r="K87" s="222">
        <f>I87+J87</f>
        <v>86143.192010704282</v>
      </c>
      <c r="L87" s="128"/>
    </row>
    <row r="88" spans="1:12" hidden="1" outlineLevel="1" x14ac:dyDescent="0.35">
      <c r="A88" s="204">
        <f t="shared" si="8"/>
        <v>0</v>
      </c>
      <c r="B88" s="204">
        <f t="shared" si="8"/>
        <v>999</v>
      </c>
      <c r="C88" s="182">
        <f>AVERAGE(A88,B88)</f>
        <v>499.5</v>
      </c>
      <c r="D88" s="182">
        <f t="shared" si="9"/>
        <v>958.07666666666671</v>
      </c>
      <c r="E88" s="182">
        <f t="shared" si="9"/>
        <v>11496.92</v>
      </c>
      <c r="F88" s="117">
        <f>'Rate Calculations'!$F$39</f>
        <v>9.1098976322656817</v>
      </c>
      <c r="G88" s="117">
        <f>(C88/1000)*'Rate Calculations'!$F$45</f>
        <v>3.2166825723105825</v>
      </c>
      <c r="H88" s="117">
        <f t="shared" ref="H88:H146" si="10">F88+G88</f>
        <v>12.326580204576263</v>
      </c>
      <c r="I88" s="33">
        <f t="shared" ref="I88:I146" si="11">F88*E88</f>
        <v>104735.76428634796</v>
      </c>
      <c r="J88" s="33">
        <f>G88*E88</f>
        <v>36981.942199248981</v>
      </c>
      <c r="K88" s="33">
        <f t="shared" ref="K88:K146" si="12">I88+J88</f>
        <v>141717.70648559695</v>
      </c>
      <c r="L88" s="128"/>
    </row>
    <row r="89" spans="1:12" hidden="1" outlineLevel="1" x14ac:dyDescent="0.35">
      <c r="A89" s="204">
        <f t="shared" si="8"/>
        <v>1000</v>
      </c>
      <c r="B89" s="204">
        <f t="shared" si="8"/>
        <v>1999</v>
      </c>
      <c r="C89" s="182">
        <f t="shared" ref="C89:C145" si="13">AVERAGE(A89,B89)</f>
        <v>1499.5</v>
      </c>
      <c r="D89" s="182">
        <f t="shared" si="9"/>
        <v>1405.9233333333332</v>
      </c>
      <c r="E89" s="182">
        <f t="shared" si="9"/>
        <v>16871.079999999998</v>
      </c>
      <c r="F89" s="117">
        <f>'Rate Calculations'!$F$39</f>
        <v>9.1098976322656817</v>
      </c>
      <c r="G89" s="117">
        <f>(C89/1000)*'Rate Calculations'!$F$45</f>
        <v>9.6564875218813189</v>
      </c>
      <c r="H89" s="117">
        <f t="shared" si="10"/>
        <v>18.766385154147002</v>
      </c>
      <c r="I89" s="33">
        <f t="shared" si="11"/>
        <v>153693.81174576489</v>
      </c>
      <c r="J89" s="33">
        <f t="shared" ref="J89:J146" si="14">G89*E89</f>
        <v>162915.37350066146</v>
      </c>
      <c r="K89" s="33">
        <f t="shared" si="12"/>
        <v>316609.18524642638</v>
      </c>
      <c r="L89" s="128"/>
    </row>
    <row r="90" spans="1:12" hidden="1" outlineLevel="1" x14ac:dyDescent="0.35">
      <c r="A90" s="204">
        <f t="shared" si="8"/>
        <v>2000</v>
      </c>
      <c r="B90" s="204">
        <f t="shared" si="8"/>
        <v>2999</v>
      </c>
      <c r="C90" s="182">
        <f t="shared" si="13"/>
        <v>2499.5</v>
      </c>
      <c r="D90" s="182">
        <f t="shared" si="9"/>
        <v>1430.95875</v>
      </c>
      <c r="E90" s="182">
        <f t="shared" si="9"/>
        <v>17171.505000000001</v>
      </c>
      <c r="F90" s="117">
        <f>'Rate Calculations'!$F$39</f>
        <v>9.1098976322656817</v>
      </c>
      <c r="G90" s="117">
        <f>(C90/1000)*'Rate Calculations'!$F$45</f>
        <v>16.096292471452053</v>
      </c>
      <c r="H90" s="117">
        <f t="shared" si="10"/>
        <v>25.206190103717734</v>
      </c>
      <c r="I90" s="33">
        <f t="shared" si="11"/>
        <v>156430.65274193833</v>
      </c>
      <c r="J90" s="33">
        <f t="shared" si="14"/>
        <v>276397.56665500131</v>
      </c>
      <c r="K90" s="33">
        <f t="shared" si="12"/>
        <v>432828.21939693962</v>
      </c>
      <c r="L90" s="128"/>
    </row>
    <row r="91" spans="1:12" hidden="1" outlineLevel="1" x14ac:dyDescent="0.35">
      <c r="A91" s="204">
        <f t="shared" si="8"/>
        <v>3000</v>
      </c>
      <c r="B91" s="204">
        <f t="shared" si="8"/>
        <v>3999</v>
      </c>
      <c r="C91" s="182">
        <f t="shared" si="13"/>
        <v>3499.5</v>
      </c>
      <c r="D91" s="182">
        <f t="shared" si="9"/>
        <v>1213.3558333333333</v>
      </c>
      <c r="E91" s="182">
        <f t="shared" si="9"/>
        <v>14560.27</v>
      </c>
      <c r="F91" s="117">
        <f>'Rate Calculations'!$F$39</f>
        <v>9.1098976322656817</v>
      </c>
      <c r="G91" s="117">
        <f>(C91/1000)*'Rate Calculations'!$F$45</f>
        <v>22.536097421022788</v>
      </c>
      <c r="H91" s="117">
        <f t="shared" si="10"/>
        <v>31.64599505328847</v>
      </c>
      <c r="I91" s="33">
        <f t="shared" si="11"/>
        <v>132642.56919814905</v>
      </c>
      <c r="J91" s="33">
        <f t="shared" si="14"/>
        <v>328131.6631963955</v>
      </c>
      <c r="K91" s="33">
        <f t="shared" si="12"/>
        <v>460774.23239454452</v>
      </c>
      <c r="L91" s="128"/>
    </row>
    <row r="92" spans="1:12" hidden="1" outlineLevel="1" x14ac:dyDescent="0.35">
      <c r="A92" s="204">
        <f t="shared" si="8"/>
        <v>4000</v>
      </c>
      <c r="B92" s="204">
        <f t="shared" si="8"/>
        <v>4999</v>
      </c>
      <c r="C92" s="182">
        <f t="shared" si="13"/>
        <v>4499.5</v>
      </c>
      <c r="D92" s="182">
        <f t="shared" si="9"/>
        <v>939.52583333333325</v>
      </c>
      <c r="E92" s="182">
        <f t="shared" si="9"/>
        <v>11274.31</v>
      </c>
      <c r="F92" s="117">
        <f>'Rate Calculations'!$F$39</f>
        <v>9.1098976322656817</v>
      </c>
      <c r="G92" s="117">
        <f>(C92/1000)*'Rate Calculations'!$F$45</f>
        <v>28.975902370593527</v>
      </c>
      <c r="H92" s="117">
        <f t="shared" si="10"/>
        <v>38.085800002859209</v>
      </c>
      <c r="I92" s="33">
        <f t="shared" si="11"/>
        <v>102707.8099744293</v>
      </c>
      <c r="J92" s="33">
        <f t="shared" si="14"/>
        <v>326683.30585580628</v>
      </c>
      <c r="K92" s="33">
        <f t="shared" si="12"/>
        <v>429391.11583023559</v>
      </c>
      <c r="L92" s="128"/>
    </row>
    <row r="93" spans="1:12" hidden="1" outlineLevel="1" x14ac:dyDescent="0.35">
      <c r="A93" s="204">
        <f t="shared" si="8"/>
        <v>5000</v>
      </c>
      <c r="B93" s="204">
        <f t="shared" si="8"/>
        <v>5999</v>
      </c>
      <c r="C93" s="182">
        <f t="shared" si="13"/>
        <v>5499.5</v>
      </c>
      <c r="D93" s="182">
        <f t="shared" si="9"/>
        <v>622.35583333333329</v>
      </c>
      <c r="E93" s="182">
        <f t="shared" si="9"/>
        <v>7468.2699999999995</v>
      </c>
      <c r="F93" s="117">
        <f>'Rate Calculations'!$F$39</f>
        <v>9.1098976322656817</v>
      </c>
      <c r="G93" s="117">
        <f>(C93/1000)*'Rate Calculations'!$F$45</f>
        <v>35.415707320164259</v>
      </c>
      <c r="H93" s="117">
        <f t="shared" si="10"/>
        <v>44.525604952429944</v>
      </c>
      <c r="I93" s="33">
        <f t="shared" si="11"/>
        <v>68035.175190120819</v>
      </c>
      <c r="J93" s="33">
        <f t="shared" si="14"/>
        <v>264494.06450796314</v>
      </c>
      <c r="K93" s="33">
        <f t="shared" si="12"/>
        <v>332529.23969808395</v>
      </c>
      <c r="L93" s="128"/>
    </row>
    <row r="94" spans="1:12" hidden="1" outlineLevel="1" x14ac:dyDescent="0.35">
      <c r="A94" s="204">
        <f t="shared" si="8"/>
        <v>6000</v>
      </c>
      <c r="B94" s="204">
        <f t="shared" si="8"/>
        <v>6999</v>
      </c>
      <c r="C94" s="182">
        <f t="shared" si="13"/>
        <v>6499.5</v>
      </c>
      <c r="D94" s="182">
        <f t="shared" si="9"/>
        <v>403.35750000000002</v>
      </c>
      <c r="E94" s="182">
        <f t="shared" si="9"/>
        <v>4840.29</v>
      </c>
      <c r="F94" s="117">
        <f>'Rate Calculations'!$F$39</f>
        <v>9.1098976322656817</v>
      </c>
      <c r="G94" s="117">
        <f>(C94/1000)*'Rate Calculations'!$F$45</f>
        <v>41.855512269734994</v>
      </c>
      <c r="H94" s="117">
        <f t="shared" si="10"/>
        <v>50.965409902000673</v>
      </c>
      <c r="I94" s="33">
        <f t="shared" si="11"/>
        <v>44094.546410479255</v>
      </c>
      <c r="J94" s="33">
        <f t="shared" si="14"/>
        <v>202592.81748407558</v>
      </c>
      <c r="K94" s="33">
        <f t="shared" si="12"/>
        <v>246687.36389455484</v>
      </c>
      <c r="L94" s="128"/>
    </row>
    <row r="95" spans="1:12" hidden="1" outlineLevel="1" x14ac:dyDescent="0.35">
      <c r="A95" s="204">
        <f t="shared" si="8"/>
        <v>7000</v>
      </c>
      <c r="B95" s="204">
        <f t="shared" si="8"/>
        <v>7999</v>
      </c>
      <c r="C95" s="182">
        <f t="shared" si="13"/>
        <v>7499.5</v>
      </c>
      <c r="D95" s="182">
        <f t="shared" si="9"/>
        <v>247.97375</v>
      </c>
      <c r="E95" s="182">
        <f t="shared" si="9"/>
        <v>2975.6849999999999</v>
      </c>
      <c r="F95" s="117">
        <f>'Rate Calculations'!$F$39</f>
        <v>9.1098976322656817</v>
      </c>
      <c r="G95" s="117">
        <f>(C95/1000)*'Rate Calculations'!$F$45</f>
        <v>48.29531721930573</v>
      </c>
      <c r="H95" s="117">
        <f t="shared" si="10"/>
        <v>57.405214851571415</v>
      </c>
      <c r="I95" s="33">
        <f t="shared" si="11"/>
        <v>27108.185735868505</v>
      </c>
      <c r="J95" s="33">
        <f t="shared" si="14"/>
        <v>143711.65101972976</v>
      </c>
      <c r="K95" s="33">
        <f t="shared" si="12"/>
        <v>170819.83675559825</v>
      </c>
      <c r="L95" s="128"/>
    </row>
    <row r="96" spans="1:12" hidden="1" outlineLevel="1" x14ac:dyDescent="0.35">
      <c r="A96" s="204">
        <f t="shared" si="8"/>
        <v>8000</v>
      </c>
      <c r="B96" s="204">
        <f t="shared" si="8"/>
        <v>8999</v>
      </c>
      <c r="C96" s="182">
        <f t="shared" si="13"/>
        <v>8499.5</v>
      </c>
      <c r="D96" s="182">
        <f t="shared" si="9"/>
        <v>160.55500000000001</v>
      </c>
      <c r="E96" s="182">
        <f t="shared" si="9"/>
        <v>1926.66</v>
      </c>
      <c r="F96" s="117">
        <f>'Rate Calculations'!$F$39</f>
        <v>9.1098976322656817</v>
      </c>
      <c r="G96" s="117">
        <f>(C96/1000)*'Rate Calculations'!$F$45</f>
        <v>54.735122168876465</v>
      </c>
      <c r="H96" s="117">
        <f t="shared" si="10"/>
        <v>63.845019801142143</v>
      </c>
      <c r="I96" s="33">
        <f t="shared" si="11"/>
        <v>17551.675372180998</v>
      </c>
      <c r="J96" s="33">
        <f t="shared" si="14"/>
        <v>105455.97047788753</v>
      </c>
      <c r="K96" s="33">
        <f t="shared" si="12"/>
        <v>123007.64585006853</v>
      </c>
      <c r="L96" s="128"/>
    </row>
    <row r="97" spans="1:12" hidden="1" outlineLevel="1" x14ac:dyDescent="0.35">
      <c r="A97" s="204">
        <f t="shared" si="8"/>
        <v>9000</v>
      </c>
      <c r="B97" s="204">
        <f t="shared" si="8"/>
        <v>9999</v>
      </c>
      <c r="C97" s="182">
        <f t="shared" si="13"/>
        <v>9499.5</v>
      </c>
      <c r="D97" s="182">
        <f t="shared" si="9"/>
        <v>105.96958333333333</v>
      </c>
      <c r="E97" s="182">
        <f t="shared" si="9"/>
        <v>1271.635</v>
      </c>
      <c r="F97" s="117">
        <f>'Rate Calculations'!$F$39</f>
        <v>9.1098976322656817</v>
      </c>
      <c r="G97" s="117">
        <f>(C97/1000)*'Rate Calculations'!$F$45</f>
        <v>61.174927118447201</v>
      </c>
      <c r="H97" s="117">
        <f t="shared" si="10"/>
        <v>70.284824750712886</v>
      </c>
      <c r="I97" s="33">
        <f t="shared" si="11"/>
        <v>11584.46467560617</v>
      </c>
      <c r="J97" s="33">
        <f t="shared" si="14"/>
        <v>77792.178446266611</v>
      </c>
      <c r="K97" s="33">
        <f t="shared" si="12"/>
        <v>89376.643121872781</v>
      </c>
      <c r="L97" s="128"/>
    </row>
    <row r="98" spans="1:12" hidden="1" outlineLevel="1" x14ac:dyDescent="0.35">
      <c r="A98" s="204">
        <f t="shared" si="8"/>
        <v>10000</v>
      </c>
      <c r="B98" s="204">
        <f t="shared" si="8"/>
        <v>10999</v>
      </c>
      <c r="C98" s="182">
        <f t="shared" si="13"/>
        <v>10499.5</v>
      </c>
      <c r="D98" s="182">
        <f t="shared" si="9"/>
        <v>69.524583333333325</v>
      </c>
      <c r="E98" s="182">
        <f t="shared" si="9"/>
        <v>834.29499999999996</v>
      </c>
      <c r="F98" s="117">
        <f>'Rate Calculations'!$F$39</f>
        <v>9.1098976322656817</v>
      </c>
      <c r="G98" s="117">
        <f>(C98/1000)*'Rate Calculations'!$F$45</f>
        <v>67.614732068017929</v>
      </c>
      <c r="H98" s="117">
        <f t="shared" si="10"/>
        <v>76.724629700283614</v>
      </c>
      <c r="I98" s="33">
        <f t="shared" si="11"/>
        <v>7600.3420451110969</v>
      </c>
      <c r="J98" s="33">
        <f t="shared" si="14"/>
        <v>56410.632890687019</v>
      </c>
      <c r="K98" s="33">
        <f t="shared" si="12"/>
        <v>64010.974935798113</v>
      </c>
      <c r="L98" s="128"/>
    </row>
    <row r="99" spans="1:12" hidden="1" outlineLevel="1" x14ac:dyDescent="0.35">
      <c r="A99" s="204">
        <f t="shared" si="8"/>
        <v>11000</v>
      </c>
      <c r="B99" s="204">
        <f t="shared" si="8"/>
        <v>11999</v>
      </c>
      <c r="C99" s="182">
        <f t="shared" si="13"/>
        <v>11499.5</v>
      </c>
      <c r="D99" s="182">
        <f t="shared" si="9"/>
        <v>46.459166666666668</v>
      </c>
      <c r="E99" s="182">
        <f t="shared" si="9"/>
        <v>557.51</v>
      </c>
      <c r="F99" s="117">
        <f>'Rate Calculations'!$F$39</f>
        <v>9.1098976322656817</v>
      </c>
      <c r="G99" s="117">
        <f>(C99/1000)*'Rate Calculations'!$F$45</f>
        <v>74.054537017588672</v>
      </c>
      <c r="H99" s="117">
        <f t="shared" si="10"/>
        <v>83.164434649854357</v>
      </c>
      <c r="I99" s="33">
        <f t="shared" si="11"/>
        <v>5078.8590289644399</v>
      </c>
      <c r="J99" s="33">
        <f t="shared" si="14"/>
        <v>41286.144932675859</v>
      </c>
      <c r="K99" s="33">
        <f t="shared" si="12"/>
        <v>46365.003961640301</v>
      </c>
      <c r="L99" s="128"/>
    </row>
    <row r="100" spans="1:12" hidden="1" outlineLevel="1" x14ac:dyDescent="0.35">
      <c r="A100" s="204">
        <f t="shared" si="8"/>
        <v>12000</v>
      </c>
      <c r="B100" s="204">
        <f t="shared" si="8"/>
        <v>12999</v>
      </c>
      <c r="C100" s="182">
        <f t="shared" si="13"/>
        <v>12499.5</v>
      </c>
      <c r="D100" s="182">
        <f t="shared" si="9"/>
        <v>36.280833333333334</v>
      </c>
      <c r="E100" s="182">
        <f t="shared" si="9"/>
        <v>435.37</v>
      </c>
      <c r="F100" s="117">
        <f>'Rate Calculations'!$F$39</f>
        <v>9.1098976322656817</v>
      </c>
      <c r="G100" s="117">
        <f>(C100/1000)*'Rate Calculations'!$F$45</f>
        <v>80.4943419671594</v>
      </c>
      <c r="H100" s="117">
        <f t="shared" si="10"/>
        <v>89.604239599425085</v>
      </c>
      <c r="I100" s="33">
        <f t="shared" si="11"/>
        <v>3966.17613215951</v>
      </c>
      <c r="J100" s="33">
        <f t="shared" si="14"/>
        <v>35044.82166224219</v>
      </c>
      <c r="K100" s="33">
        <f t="shared" si="12"/>
        <v>39010.997794401701</v>
      </c>
      <c r="L100" s="128"/>
    </row>
    <row r="101" spans="1:12" hidden="1" outlineLevel="1" x14ac:dyDescent="0.35">
      <c r="A101" s="204">
        <f t="shared" si="8"/>
        <v>13000</v>
      </c>
      <c r="B101" s="204">
        <f t="shared" si="8"/>
        <v>13999</v>
      </c>
      <c r="C101" s="182">
        <f t="shared" si="13"/>
        <v>13499.5</v>
      </c>
      <c r="D101" s="182">
        <f t="shared" si="9"/>
        <v>26.512916666666666</v>
      </c>
      <c r="E101" s="182">
        <f t="shared" si="9"/>
        <v>318.15499999999997</v>
      </c>
      <c r="F101" s="117">
        <f>'Rate Calculations'!$F$39</f>
        <v>9.1098976322656817</v>
      </c>
      <c r="G101" s="117">
        <f>(C101/1000)*'Rate Calculations'!$F$45</f>
        <v>86.934146916730143</v>
      </c>
      <c r="H101" s="117">
        <f t="shared" si="10"/>
        <v>96.044044548995828</v>
      </c>
      <c r="I101" s="33">
        <f t="shared" si="11"/>
        <v>2898.3594811934877</v>
      </c>
      <c r="J101" s="33">
        <f t="shared" si="14"/>
        <v>27658.533512292277</v>
      </c>
      <c r="K101" s="33">
        <f t="shared" si="12"/>
        <v>30556.892993485766</v>
      </c>
      <c r="L101" s="128"/>
    </row>
    <row r="102" spans="1:12" hidden="1" outlineLevel="1" x14ac:dyDescent="0.35">
      <c r="A102" s="204">
        <f t="shared" si="8"/>
        <v>14000</v>
      </c>
      <c r="B102" s="204">
        <f t="shared" si="8"/>
        <v>14999</v>
      </c>
      <c r="C102" s="182">
        <f t="shared" si="13"/>
        <v>14499.5</v>
      </c>
      <c r="D102" s="182">
        <f t="shared" si="9"/>
        <v>23.147499999999997</v>
      </c>
      <c r="E102" s="182">
        <f t="shared" si="9"/>
        <v>277.77</v>
      </c>
      <c r="F102" s="117">
        <f>'Rate Calculations'!$F$39</f>
        <v>9.1098976322656817</v>
      </c>
      <c r="G102" s="117">
        <f>(C102/1000)*'Rate Calculations'!$F$45</f>
        <v>93.373951866300871</v>
      </c>
      <c r="H102" s="117">
        <f t="shared" si="10"/>
        <v>102.48384949856656</v>
      </c>
      <c r="I102" s="33">
        <f t="shared" si="11"/>
        <v>2530.456265314438</v>
      </c>
      <c r="J102" s="33">
        <f t="shared" si="14"/>
        <v>25936.482609902392</v>
      </c>
      <c r="K102" s="33">
        <f t="shared" si="12"/>
        <v>28466.938875216831</v>
      </c>
      <c r="L102" s="128"/>
    </row>
    <row r="103" spans="1:12" hidden="1" outlineLevel="1" x14ac:dyDescent="0.35">
      <c r="A103" s="204">
        <f t="shared" si="8"/>
        <v>15000</v>
      </c>
      <c r="B103" s="204">
        <f t="shared" si="8"/>
        <v>24999</v>
      </c>
      <c r="C103" s="182">
        <f t="shared" si="13"/>
        <v>19999.5</v>
      </c>
      <c r="D103" s="182">
        <f t="shared" si="9"/>
        <v>91.194583333333341</v>
      </c>
      <c r="E103" s="182">
        <f t="shared" si="9"/>
        <v>1094.335</v>
      </c>
      <c r="F103" s="117">
        <f>'Rate Calculations'!$F$39</f>
        <v>9.1098976322656817</v>
      </c>
      <c r="G103" s="117">
        <f>(C103/1000)*'Rate Calculations'!$F$45</f>
        <v>128.79287908893994</v>
      </c>
      <c r="H103" s="117">
        <f t="shared" si="10"/>
        <v>137.90277672120561</v>
      </c>
      <c r="I103" s="33">
        <f t="shared" si="11"/>
        <v>9969.2798254054651</v>
      </c>
      <c r="J103" s="33">
        <f t="shared" si="14"/>
        <v>140942.55533779509</v>
      </c>
      <c r="K103" s="33">
        <f t="shared" si="12"/>
        <v>150911.83516320057</v>
      </c>
      <c r="L103" s="128"/>
    </row>
    <row r="104" spans="1:12" hidden="1" outlineLevel="1" x14ac:dyDescent="0.35">
      <c r="A104" s="204">
        <f t="shared" si="8"/>
        <v>25000</v>
      </c>
      <c r="B104" s="204">
        <f t="shared" si="8"/>
        <v>34999</v>
      </c>
      <c r="C104" s="182">
        <f t="shared" si="13"/>
        <v>29999.5</v>
      </c>
      <c r="D104" s="182">
        <f t="shared" si="9"/>
        <v>29.714166666666667</v>
      </c>
      <c r="E104" s="182">
        <f t="shared" si="9"/>
        <v>356.57</v>
      </c>
      <c r="F104" s="117">
        <f>'Rate Calculations'!$F$39</f>
        <v>9.1098976322656817</v>
      </c>
      <c r="G104" s="117">
        <f>(C104/1000)*'Rate Calculations'!$F$45</f>
        <v>193.19092858464728</v>
      </c>
      <c r="H104" s="117">
        <f t="shared" si="10"/>
        <v>202.30082621691295</v>
      </c>
      <c r="I104" s="33">
        <f t="shared" si="11"/>
        <v>3248.316198736974</v>
      </c>
      <c r="J104" s="33">
        <f t="shared" si="14"/>
        <v>68886.089405427687</v>
      </c>
      <c r="K104" s="33">
        <f t="shared" si="12"/>
        <v>72134.405604164655</v>
      </c>
      <c r="L104" s="128"/>
    </row>
    <row r="105" spans="1:12" hidden="1" outlineLevel="1" x14ac:dyDescent="0.35">
      <c r="A105" s="204">
        <f t="shared" si="8"/>
        <v>35000</v>
      </c>
      <c r="B105" s="204">
        <f t="shared" si="8"/>
        <v>44999</v>
      </c>
      <c r="C105" s="182">
        <f t="shared" si="13"/>
        <v>39999.5</v>
      </c>
      <c r="D105" s="182">
        <f t="shared" si="9"/>
        <v>20.356666666666666</v>
      </c>
      <c r="E105" s="182">
        <f t="shared" si="9"/>
        <v>244.28</v>
      </c>
      <c r="F105" s="117">
        <f>'Rate Calculations'!$F$39</f>
        <v>9.1098976322656817</v>
      </c>
      <c r="G105" s="117">
        <f>(C105/1000)*'Rate Calculations'!$F$45</f>
        <v>257.58897808035459</v>
      </c>
      <c r="H105" s="117">
        <f t="shared" si="10"/>
        <v>266.69887571262029</v>
      </c>
      <c r="I105" s="33">
        <f t="shared" si="11"/>
        <v>2225.3657936098607</v>
      </c>
      <c r="J105" s="33">
        <f t="shared" si="14"/>
        <v>62923.835565469017</v>
      </c>
      <c r="K105" s="33">
        <f t="shared" si="12"/>
        <v>65149.201359078877</v>
      </c>
      <c r="L105" s="128"/>
    </row>
    <row r="106" spans="1:12" hidden="1" outlineLevel="1" x14ac:dyDescent="0.35">
      <c r="A106" s="204">
        <f t="shared" si="8"/>
        <v>45000</v>
      </c>
      <c r="B106" s="204">
        <f t="shared" si="8"/>
        <v>54999</v>
      </c>
      <c r="C106" s="182">
        <f t="shared" si="13"/>
        <v>49999.5</v>
      </c>
      <c r="D106" s="182">
        <f t="shared" si="9"/>
        <v>13.133333333333333</v>
      </c>
      <c r="E106" s="182">
        <f t="shared" si="9"/>
        <v>157.6</v>
      </c>
      <c r="F106" s="117">
        <f>'Rate Calculations'!$F$39</f>
        <v>9.1098976322656817</v>
      </c>
      <c r="G106" s="117">
        <f>(C106/1000)*'Rate Calculations'!$F$45</f>
        <v>321.98702757606196</v>
      </c>
      <c r="H106" s="117">
        <f t="shared" si="10"/>
        <v>331.09692520832766</v>
      </c>
      <c r="I106" s="33">
        <f t="shared" si="11"/>
        <v>1435.7198668450715</v>
      </c>
      <c r="J106" s="33">
        <f t="shared" si="14"/>
        <v>50745.155545987363</v>
      </c>
      <c r="K106" s="33">
        <f t="shared" si="12"/>
        <v>52180.875412832436</v>
      </c>
      <c r="L106" s="128"/>
    </row>
    <row r="107" spans="1:12" hidden="1" outlineLevel="1" x14ac:dyDescent="0.35">
      <c r="A107" s="204">
        <f t="shared" ref="A107:B126" si="15">A27</f>
        <v>55000</v>
      </c>
      <c r="B107" s="204">
        <f t="shared" si="15"/>
        <v>64999</v>
      </c>
      <c r="C107" s="182">
        <f t="shared" si="13"/>
        <v>59999.5</v>
      </c>
      <c r="D107" s="182">
        <f t="shared" ref="D107:E126" si="16">D27</f>
        <v>8.3725000000000005</v>
      </c>
      <c r="E107" s="182">
        <f t="shared" si="16"/>
        <v>100.47</v>
      </c>
      <c r="F107" s="117">
        <f>'Rate Calculations'!$F$39</f>
        <v>9.1098976322656817</v>
      </c>
      <c r="G107" s="117">
        <f>(C107/1000)*'Rate Calculations'!$F$45</f>
        <v>386.38507707176933</v>
      </c>
      <c r="H107" s="117">
        <f t="shared" si="10"/>
        <v>395.49497470403503</v>
      </c>
      <c r="I107" s="33">
        <f t="shared" si="11"/>
        <v>915.27141511373304</v>
      </c>
      <c r="J107" s="33">
        <f t="shared" si="14"/>
        <v>38820.108693400667</v>
      </c>
      <c r="K107" s="33">
        <f t="shared" si="12"/>
        <v>39735.3801085144</v>
      </c>
      <c r="L107" s="128"/>
    </row>
    <row r="108" spans="1:12" hidden="1" outlineLevel="1" x14ac:dyDescent="0.35">
      <c r="A108" s="204">
        <f t="shared" si="15"/>
        <v>65000</v>
      </c>
      <c r="B108" s="204">
        <f t="shared" si="15"/>
        <v>74999</v>
      </c>
      <c r="C108" s="182">
        <f t="shared" si="13"/>
        <v>69999.5</v>
      </c>
      <c r="D108" s="182">
        <f t="shared" si="16"/>
        <v>6.2383333333333333</v>
      </c>
      <c r="E108" s="182">
        <f t="shared" si="16"/>
        <v>74.86</v>
      </c>
      <c r="F108" s="117">
        <f>'Rate Calculations'!$F$39</f>
        <v>9.1098976322656817</v>
      </c>
      <c r="G108" s="117">
        <f>(C108/1000)*'Rate Calculations'!$F$45</f>
        <v>450.7831265674767</v>
      </c>
      <c r="H108" s="117">
        <f t="shared" si="10"/>
        <v>459.8930241997424</v>
      </c>
      <c r="I108" s="33">
        <f t="shared" si="11"/>
        <v>681.96693675140898</v>
      </c>
      <c r="J108" s="33">
        <f t="shared" si="14"/>
        <v>33745.624854841306</v>
      </c>
      <c r="K108" s="33">
        <f t="shared" si="12"/>
        <v>34427.591791592713</v>
      </c>
      <c r="L108" s="128"/>
    </row>
    <row r="109" spans="1:12" hidden="1" outlineLevel="1" x14ac:dyDescent="0.35">
      <c r="A109" s="204">
        <f t="shared" si="15"/>
        <v>75000</v>
      </c>
      <c r="B109" s="204">
        <f t="shared" si="15"/>
        <v>84999</v>
      </c>
      <c r="C109" s="182">
        <f t="shared" si="13"/>
        <v>79999.5</v>
      </c>
      <c r="D109" s="182">
        <f t="shared" si="16"/>
        <v>3.3654166666666665</v>
      </c>
      <c r="E109" s="182">
        <f t="shared" si="16"/>
        <v>40.384999999999998</v>
      </c>
      <c r="F109" s="117">
        <f>'Rate Calculations'!$F$39</f>
        <v>9.1098976322656817</v>
      </c>
      <c r="G109" s="117">
        <f>(C109/1000)*'Rate Calculations'!$F$45</f>
        <v>515.18117606318401</v>
      </c>
      <c r="H109" s="117">
        <f t="shared" si="10"/>
        <v>524.29107369544965</v>
      </c>
      <c r="I109" s="33">
        <f t="shared" si="11"/>
        <v>367.90321587904953</v>
      </c>
      <c r="J109" s="33">
        <f t="shared" si="14"/>
        <v>20805.591795311684</v>
      </c>
      <c r="K109" s="33">
        <f t="shared" si="12"/>
        <v>21173.495011190735</v>
      </c>
      <c r="L109" s="128"/>
    </row>
    <row r="110" spans="1:12" hidden="1" outlineLevel="1" x14ac:dyDescent="0.35">
      <c r="A110" s="204">
        <f t="shared" si="15"/>
        <v>85000</v>
      </c>
      <c r="B110" s="204">
        <f t="shared" si="15"/>
        <v>94999</v>
      </c>
      <c r="C110" s="182">
        <f t="shared" si="13"/>
        <v>89999.5</v>
      </c>
      <c r="D110" s="182">
        <f t="shared" si="16"/>
        <v>2.7087500000000002</v>
      </c>
      <c r="E110" s="182">
        <f t="shared" si="16"/>
        <v>32.505000000000003</v>
      </c>
      <c r="F110" s="117">
        <f>'Rate Calculations'!$F$39</f>
        <v>9.1098976322656817</v>
      </c>
      <c r="G110" s="117">
        <f>(C110/1000)*'Rate Calculations'!$F$45</f>
        <v>579.57922555889138</v>
      </c>
      <c r="H110" s="117">
        <f t="shared" si="10"/>
        <v>588.68912319115702</v>
      </c>
      <c r="I110" s="33">
        <f t="shared" si="11"/>
        <v>296.11722253679602</v>
      </c>
      <c r="J110" s="33">
        <f t="shared" si="14"/>
        <v>18839.222726791766</v>
      </c>
      <c r="K110" s="33">
        <f t="shared" si="12"/>
        <v>19135.339949328561</v>
      </c>
      <c r="L110" s="128"/>
    </row>
    <row r="111" spans="1:12" hidden="1" outlineLevel="1" x14ac:dyDescent="0.35">
      <c r="A111" s="204">
        <f t="shared" si="15"/>
        <v>95000</v>
      </c>
      <c r="B111" s="204">
        <f t="shared" si="15"/>
        <v>104999</v>
      </c>
      <c r="C111" s="182">
        <f t="shared" si="13"/>
        <v>99999.5</v>
      </c>
      <c r="D111" s="182">
        <f t="shared" si="16"/>
        <v>2.2162500000000001</v>
      </c>
      <c r="E111" s="182">
        <f t="shared" si="16"/>
        <v>26.594999999999999</v>
      </c>
      <c r="F111" s="117">
        <f>'Rate Calculations'!$F$39</f>
        <v>9.1098976322656817</v>
      </c>
      <c r="G111" s="117">
        <f>(C111/1000)*'Rate Calculations'!$F$45</f>
        <v>643.97727505459875</v>
      </c>
      <c r="H111" s="117">
        <f t="shared" si="10"/>
        <v>653.08717268686439</v>
      </c>
      <c r="I111" s="33">
        <f t="shared" si="11"/>
        <v>242.27772753010581</v>
      </c>
      <c r="J111" s="33">
        <f t="shared" si="14"/>
        <v>17126.575630077052</v>
      </c>
      <c r="K111" s="33">
        <f t="shared" si="12"/>
        <v>17368.853357607157</v>
      </c>
      <c r="L111" s="128"/>
    </row>
    <row r="112" spans="1:12" hidden="1" outlineLevel="1" x14ac:dyDescent="0.35">
      <c r="A112" s="204">
        <f t="shared" si="15"/>
        <v>105000</v>
      </c>
      <c r="B112" s="204">
        <f t="shared" si="15"/>
        <v>114999</v>
      </c>
      <c r="C112" s="182">
        <f t="shared" si="13"/>
        <v>109999.5</v>
      </c>
      <c r="D112" s="182">
        <f t="shared" si="16"/>
        <v>2.2162500000000001</v>
      </c>
      <c r="E112" s="182">
        <f t="shared" si="16"/>
        <v>26.594999999999999</v>
      </c>
      <c r="F112" s="117">
        <f>'Rate Calculations'!$F$39</f>
        <v>9.1098976322656817</v>
      </c>
      <c r="G112" s="117">
        <f>(C112/1000)*'Rate Calculations'!$F$45</f>
        <v>708.37532455030612</v>
      </c>
      <c r="H112" s="117">
        <f t="shared" si="10"/>
        <v>717.48522218257176</v>
      </c>
      <c r="I112" s="33">
        <f t="shared" si="11"/>
        <v>242.27772753010581</v>
      </c>
      <c r="J112" s="33">
        <f t="shared" si="14"/>
        <v>18839.241756415391</v>
      </c>
      <c r="K112" s="33">
        <f t="shared" si="12"/>
        <v>19081.519483945496</v>
      </c>
      <c r="L112" s="128"/>
    </row>
    <row r="113" spans="1:12" hidden="1" outlineLevel="1" x14ac:dyDescent="0.35">
      <c r="A113" s="204">
        <f t="shared" si="15"/>
        <v>115000</v>
      </c>
      <c r="B113" s="204">
        <f t="shared" si="15"/>
        <v>124999</v>
      </c>
      <c r="C113" s="182">
        <f t="shared" si="13"/>
        <v>119999.5</v>
      </c>
      <c r="D113" s="182">
        <f t="shared" si="16"/>
        <v>1.8879166666666667</v>
      </c>
      <c r="E113" s="182">
        <f t="shared" si="16"/>
        <v>22.655000000000001</v>
      </c>
      <c r="F113" s="117">
        <f>'Rate Calculations'!$F$39</f>
        <v>9.1098976322656817</v>
      </c>
      <c r="G113" s="117">
        <f>(C113/1000)*'Rate Calculations'!$F$45</f>
        <v>772.77337404601349</v>
      </c>
      <c r="H113" s="117">
        <f t="shared" si="10"/>
        <v>781.88327167827913</v>
      </c>
      <c r="I113" s="33">
        <f t="shared" si="11"/>
        <v>206.38473085897903</v>
      </c>
      <c r="J113" s="33">
        <f t="shared" si="14"/>
        <v>17507.180789012436</v>
      </c>
      <c r="K113" s="33">
        <f t="shared" si="12"/>
        <v>17713.565519871416</v>
      </c>
      <c r="L113" s="128"/>
    </row>
    <row r="114" spans="1:12" hidden="1" outlineLevel="1" x14ac:dyDescent="0.35">
      <c r="A114" s="204">
        <f t="shared" si="15"/>
        <v>125000</v>
      </c>
      <c r="B114" s="204">
        <f t="shared" si="15"/>
        <v>134999</v>
      </c>
      <c r="C114" s="182">
        <f t="shared" si="13"/>
        <v>129999.5</v>
      </c>
      <c r="D114" s="182">
        <f t="shared" si="16"/>
        <v>1.4775</v>
      </c>
      <c r="E114" s="182">
        <f t="shared" si="16"/>
        <v>17.73</v>
      </c>
      <c r="F114" s="117">
        <f>'Rate Calculations'!$F$39</f>
        <v>9.1098976322656817</v>
      </c>
      <c r="G114" s="117">
        <f>(C114/1000)*'Rate Calculations'!$F$45</f>
        <v>837.17142354172086</v>
      </c>
      <c r="H114" s="117">
        <f t="shared" si="10"/>
        <v>846.2813211739865</v>
      </c>
      <c r="I114" s="33">
        <f t="shared" si="11"/>
        <v>161.51848502007053</v>
      </c>
      <c r="J114" s="33">
        <f t="shared" si="14"/>
        <v>14843.049339394711</v>
      </c>
      <c r="K114" s="33">
        <f t="shared" si="12"/>
        <v>15004.567824414782</v>
      </c>
      <c r="L114" s="128"/>
    </row>
    <row r="115" spans="1:12" hidden="1" outlineLevel="1" x14ac:dyDescent="0.35">
      <c r="A115" s="204">
        <f t="shared" si="15"/>
        <v>135000</v>
      </c>
      <c r="B115" s="204">
        <f t="shared" si="15"/>
        <v>144999</v>
      </c>
      <c r="C115" s="182">
        <f t="shared" si="13"/>
        <v>139999.5</v>
      </c>
      <c r="D115" s="182">
        <f t="shared" si="16"/>
        <v>1.8058333333333332</v>
      </c>
      <c r="E115" s="182">
        <f t="shared" si="16"/>
        <v>21.669999999999998</v>
      </c>
      <c r="F115" s="117">
        <f>'Rate Calculations'!$F$39</f>
        <v>9.1098976322656817</v>
      </c>
      <c r="G115" s="117">
        <f>(C115/1000)*'Rate Calculations'!$F$45</f>
        <v>901.56947303742822</v>
      </c>
      <c r="H115" s="117">
        <f t="shared" si="10"/>
        <v>910.67937066969387</v>
      </c>
      <c r="I115" s="33">
        <f t="shared" si="11"/>
        <v>197.41148169119731</v>
      </c>
      <c r="J115" s="33">
        <f t="shared" si="14"/>
        <v>19537.010480721066</v>
      </c>
      <c r="K115" s="33">
        <f t="shared" si="12"/>
        <v>19734.421962412263</v>
      </c>
      <c r="L115" s="128"/>
    </row>
    <row r="116" spans="1:12" hidden="1" outlineLevel="1" x14ac:dyDescent="0.35">
      <c r="A116" s="204">
        <f t="shared" si="15"/>
        <v>145000</v>
      </c>
      <c r="B116" s="204">
        <f t="shared" si="15"/>
        <v>154999</v>
      </c>
      <c r="C116" s="182">
        <f t="shared" si="13"/>
        <v>149999.5</v>
      </c>
      <c r="D116" s="182">
        <f t="shared" si="16"/>
        <v>1.6416666666666666</v>
      </c>
      <c r="E116" s="182">
        <f t="shared" si="16"/>
        <v>19.7</v>
      </c>
      <c r="F116" s="117">
        <f>'Rate Calculations'!$F$39</f>
        <v>9.1098976322656817</v>
      </c>
      <c r="G116" s="117">
        <f>(C116/1000)*'Rate Calculations'!$F$45</f>
        <v>965.96752253313559</v>
      </c>
      <c r="H116" s="117">
        <f t="shared" si="10"/>
        <v>975.07742016540124</v>
      </c>
      <c r="I116" s="33">
        <f t="shared" si="11"/>
        <v>179.46498335563393</v>
      </c>
      <c r="J116" s="33">
        <f t="shared" si="14"/>
        <v>19029.560193902769</v>
      </c>
      <c r="K116" s="33">
        <f t="shared" si="12"/>
        <v>19209.025177258402</v>
      </c>
      <c r="L116" s="128"/>
    </row>
    <row r="117" spans="1:12" hidden="1" outlineLevel="1" x14ac:dyDescent="0.35">
      <c r="A117" s="204">
        <f t="shared" si="15"/>
        <v>155000</v>
      </c>
      <c r="B117" s="204">
        <f t="shared" si="15"/>
        <v>164999</v>
      </c>
      <c r="C117" s="182">
        <f t="shared" si="13"/>
        <v>159999.5</v>
      </c>
      <c r="D117" s="182">
        <f t="shared" si="16"/>
        <v>0.98499999999999999</v>
      </c>
      <c r="E117" s="182">
        <f t="shared" si="16"/>
        <v>11.82</v>
      </c>
      <c r="F117" s="117">
        <f>'Rate Calculations'!$F$39</f>
        <v>9.1098976322656817</v>
      </c>
      <c r="G117" s="117">
        <f>(C117/1000)*'Rate Calculations'!$F$45</f>
        <v>1030.365572028843</v>
      </c>
      <c r="H117" s="117">
        <f t="shared" si="10"/>
        <v>1039.4754696611087</v>
      </c>
      <c r="I117" s="33">
        <f t="shared" si="11"/>
        <v>107.67899001338036</v>
      </c>
      <c r="J117" s="33">
        <f t="shared" si="14"/>
        <v>12178.921061380925</v>
      </c>
      <c r="K117" s="33">
        <f t="shared" si="12"/>
        <v>12286.600051394305</v>
      </c>
      <c r="L117" s="128"/>
    </row>
    <row r="118" spans="1:12" hidden="1" outlineLevel="1" x14ac:dyDescent="0.35">
      <c r="A118" s="204">
        <f t="shared" si="15"/>
        <v>165000</v>
      </c>
      <c r="B118" s="204">
        <f t="shared" si="15"/>
        <v>174999</v>
      </c>
      <c r="C118" s="182">
        <f t="shared" si="13"/>
        <v>169999.5</v>
      </c>
      <c r="D118" s="182">
        <f t="shared" si="16"/>
        <v>1.0670833333333334</v>
      </c>
      <c r="E118" s="182">
        <f t="shared" si="16"/>
        <v>12.805</v>
      </c>
      <c r="F118" s="117">
        <f>'Rate Calculations'!$F$39</f>
        <v>9.1098976322656817</v>
      </c>
      <c r="G118" s="117">
        <f>(C118/1000)*'Rate Calculations'!$F$45</f>
        <v>1094.7636215245502</v>
      </c>
      <c r="H118" s="117">
        <f t="shared" si="10"/>
        <v>1103.873519156816</v>
      </c>
      <c r="I118" s="33">
        <f t="shared" si="11"/>
        <v>116.65223918116205</v>
      </c>
      <c r="J118" s="33">
        <f t="shared" si="14"/>
        <v>14018.448173621866</v>
      </c>
      <c r="K118" s="33">
        <f t="shared" si="12"/>
        <v>14135.100412803027</v>
      </c>
      <c r="L118" s="128"/>
    </row>
    <row r="119" spans="1:12" hidden="1" outlineLevel="1" x14ac:dyDescent="0.35">
      <c r="A119" s="204">
        <f t="shared" si="15"/>
        <v>175000</v>
      </c>
      <c r="B119" s="204">
        <f t="shared" si="15"/>
        <v>184999</v>
      </c>
      <c r="C119" s="182">
        <f t="shared" si="13"/>
        <v>179999.5</v>
      </c>
      <c r="D119" s="182">
        <f t="shared" si="16"/>
        <v>0.98499999999999999</v>
      </c>
      <c r="E119" s="182">
        <f t="shared" si="16"/>
        <v>11.82</v>
      </c>
      <c r="F119" s="117">
        <f>'Rate Calculations'!$F$39</f>
        <v>9.1098976322656817</v>
      </c>
      <c r="G119" s="117">
        <f>(C119/1000)*'Rate Calculations'!$F$45</f>
        <v>1159.1616710202577</v>
      </c>
      <c r="H119" s="117">
        <f t="shared" si="10"/>
        <v>1168.2715686525235</v>
      </c>
      <c r="I119" s="33">
        <f t="shared" si="11"/>
        <v>107.67899001338036</v>
      </c>
      <c r="J119" s="33">
        <f t="shared" si="14"/>
        <v>13701.290951459447</v>
      </c>
      <c r="K119" s="33">
        <f t="shared" si="12"/>
        <v>13808.969941472827</v>
      </c>
      <c r="L119" s="128"/>
    </row>
    <row r="120" spans="1:12" hidden="1" outlineLevel="1" x14ac:dyDescent="0.35">
      <c r="A120" s="204">
        <f t="shared" si="15"/>
        <v>185000</v>
      </c>
      <c r="B120" s="204">
        <f t="shared" si="15"/>
        <v>194999</v>
      </c>
      <c r="C120" s="182">
        <f t="shared" si="13"/>
        <v>189999.5</v>
      </c>
      <c r="D120" s="182">
        <f t="shared" si="16"/>
        <v>0.8208333333333333</v>
      </c>
      <c r="E120" s="182">
        <f t="shared" si="16"/>
        <v>9.85</v>
      </c>
      <c r="F120" s="117">
        <f>'Rate Calculations'!$F$39</f>
        <v>9.1098976322656817</v>
      </c>
      <c r="G120" s="117">
        <f>(C120/1000)*'Rate Calculations'!$F$45</f>
        <v>1223.559720515965</v>
      </c>
      <c r="H120" s="117">
        <f t="shared" si="10"/>
        <v>1232.6696181482307</v>
      </c>
      <c r="I120" s="33">
        <f t="shared" si="11"/>
        <v>89.732491677816967</v>
      </c>
      <c r="J120" s="33">
        <f t="shared" si="14"/>
        <v>12052.063247082255</v>
      </c>
      <c r="K120" s="33">
        <f t="shared" si="12"/>
        <v>12141.795738760071</v>
      </c>
      <c r="L120" s="128"/>
    </row>
    <row r="121" spans="1:12" hidden="1" outlineLevel="1" x14ac:dyDescent="0.35">
      <c r="A121" s="204">
        <f t="shared" si="15"/>
        <v>195000</v>
      </c>
      <c r="B121" s="204">
        <f t="shared" si="15"/>
        <v>204999</v>
      </c>
      <c r="C121" s="182">
        <f t="shared" si="13"/>
        <v>199999.5</v>
      </c>
      <c r="D121" s="182">
        <f t="shared" si="16"/>
        <v>0.41041666666666665</v>
      </c>
      <c r="E121" s="182">
        <f t="shared" si="16"/>
        <v>4.9249999999999998</v>
      </c>
      <c r="F121" s="117">
        <f>'Rate Calculations'!$F$39</f>
        <v>9.1098976322656817</v>
      </c>
      <c r="G121" s="117">
        <f>(C121/1000)*'Rate Calculations'!$F$45</f>
        <v>1287.9577700116724</v>
      </c>
      <c r="H121" s="117">
        <f t="shared" si="10"/>
        <v>1297.0676676439382</v>
      </c>
      <c r="I121" s="33">
        <f t="shared" si="11"/>
        <v>44.866245838908483</v>
      </c>
      <c r="J121" s="33">
        <f t="shared" si="14"/>
        <v>6343.1920173074868</v>
      </c>
      <c r="K121" s="33">
        <f t="shared" si="12"/>
        <v>6388.0582631463949</v>
      </c>
      <c r="L121" s="128"/>
    </row>
    <row r="122" spans="1:12" hidden="1" outlineLevel="1" x14ac:dyDescent="0.35">
      <c r="A122" s="204">
        <f t="shared" si="15"/>
        <v>205000</v>
      </c>
      <c r="B122" s="204">
        <f t="shared" si="15"/>
        <v>214999</v>
      </c>
      <c r="C122" s="182">
        <f t="shared" si="13"/>
        <v>209999.5</v>
      </c>
      <c r="D122" s="182">
        <f t="shared" si="16"/>
        <v>0.8208333333333333</v>
      </c>
      <c r="E122" s="182">
        <f t="shared" si="16"/>
        <v>9.85</v>
      </c>
      <c r="F122" s="117">
        <f>'Rate Calculations'!$F$39</f>
        <v>9.1098976322656817</v>
      </c>
      <c r="G122" s="117">
        <f>(C122/1000)*'Rate Calculations'!$F$45</f>
        <v>1352.3558195073797</v>
      </c>
      <c r="H122" s="117">
        <f t="shared" si="10"/>
        <v>1361.4657171396454</v>
      </c>
      <c r="I122" s="33">
        <f t="shared" si="11"/>
        <v>89.732491677816967</v>
      </c>
      <c r="J122" s="33">
        <f t="shared" si="14"/>
        <v>13320.704822147689</v>
      </c>
      <c r="K122" s="33">
        <f t="shared" si="12"/>
        <v>13410.437313825505</v>
      </c>
      <c r="L122" s="128"/>
    </row>
    <row r="123" spans="1:12" hidden="1" outlineLevel="1" x14ac:dyDescent="0.35">
      <c r="A123" s="204">
        <f t="shared" si="15"/>
        <v>215000</v>
      </c>
      <c r="B123" s="204">
        <f t="shared" si="15"/>
        <v>224999</v>
      </c>
      <c r="C123" s="182">
        <f t="shared" si="13"/>
        <v>219999.5</v>
      </c>
      <c r="D123" s="182">
        <f t="shared" si="16"/>
        <v>0.32833333333333331</v>
      </c>
      <c r="E123" s="182">
        <f t="shared" si="16"/>
        <v>3.94</v>
      </c>
      <c r="F123" s="117">
        <f>'Rate Calculations'!$F$39</f>
        <v>9.1098976322656817</v>
      </c>
      <c r="G123" s="117">
        <f>(C123/1000)*'Rate Calculations'!$F$45</f>
        <v>1416.7538690030872</v>
      </c>
      <c r="H123" s="117">
        <f t="shared" si="10"/>
        <v>1425.8637666353529</v>
      </c>
      <c r="I123" s="33">
        <f t="shared" si="11"/>
        <v>35.892996671126788</v>
      </c>
      <c r="J123" s="33">
        <f t="shared" si="14"/>
        <v>5582.0102438721633</v>
      </c>
      <c r="K123" s="33">
        <f t="shared" si="12"/>
        <v>5617.9032405432899</v>
      </c>
      <c r="L123" s="128"/>
    </row>
    <row r="124" spans="1:12" hidden="1" outlineLevel="1" x14ac:dyDescent="0.35">
      <c r="A124" s="204">
        <f t="shared" si="15"/>
        <v>225000</v>
      </c>
      <c r="B124" s="204">
        <f t="shared" si="15"/>
        <v>234999</v>
      </c>
      <c r="C124" s="182">
        <f t="shared" si="13"/>
        <v>229999.5</v>
      </c>
      <c r="D124" s="182">
        <f t="shared" si="16"/>
        <v>0.41041666666666665</v>
      </c>
      <c r="E124" s="182">
        <f t="shared" si="16"/>
        <v>4.9249999999999998</v>
      </c>
      <c r="F124" s="117">
        <f>'Rate Calculations'!$F$39</f>
        <v>9.1098976322656817</v>
      </c>
      <c r="G124" s="117">
        <f>(C124/1000)*'Rate Calculations'!$F$45</f>
        <v>1481.1519184987944</v>
      </c>
      <c r="H124" s="117">
        <f t="shared" si="10"/>
        <v>1490.2618161310602</v>
      </c>
      <c r="I124" s="33">
        <f t="shared" si="11"/>
        <v>44.866245838908483</v>
      </c>
      <c r="J124" s="33">
        <f t="shared" si="14"/>
        <v>7294.6731986065624</v>
      </c>
      <c r="K124" s="33">
        <f t="shared" si="12"/>
        <v>7339.5394444454705</v>
      </c>
      <c r="L124" s="128"/>
    </row>
    <row r="125" spans="1:12" hidden="1" outlineLevel="1" x14ac:dyDescent="0.35">
      <c r="A125" s="204">
        <f t="shared" si="15"/>
        <v>235000</v>
      </c>
      <c r="B125" s="204">
        <f t="shared" si="15"/>
        <v>244999</v>
      </c>
      <c r="C125" s="182">
        <f t="shared" si="13"/>
        <v>239999.5</v>
      </c>
      <c r="D125" s="182">
        <f t="shared" si="16"/>
        <v>0.41041666666666665</v>
      </c>
      <c r="E125" s="182">
        <f t="shared" si="16"/>
        <v>4.9249999999999998</v>
      </c>
      <c r="F125" s="117">
        <f>'Rate Calculations'!$F$39</f>
        <v>9.1098976322656817</v>
      </c>
      <c r="G125" s="117">
        <f>(C125/1000)*'Rate Calculations'!$F$45</f>
        <v>1545.5499679945019</v>
      </c>
      <c r="H125" s="117">
        <f t="shared" si="10"/>
        <v>1554.6598656267677</v>
      </c>
      <c r="I125" s="33">
        <f t="shared" si="11"/>
        <v>44.866245838908483</v>
      </c>
      <c r="J125" s="33">
        <f t="shared" si="14"/>
        <v>7611.8335923729219</v>
      </c>
      <c r="K125" s="33">
        <f t="shared" si="12"/>
        <v>7656.69983821183</v>
      </c>
      <c r="L125" s="128"/>
    </row>
    <row r="126" spans="1:12" hidden="1" outlineLevel="1" x14ac:dyDescent="0.35">
      <c r="A126" s="204">
        <f t="shared" si="15"/>
        <v>245000</v>
      </c>
      <c r="B126" s="204">
        <f t="shared" si="15"/>
        <v>254999</v>
      </c>
      <c r="C126" s="182">
        <f t="shared" si="13"/>
        <v>249999.5</v>
      </c>
      <c r="D126" s="182">
        <f t="shared" si="16"/>
        <v>0.32833333333333331</v>
      </c>
      <c r="E126" s="182">
        <f t="shared" si="16"/>
        <v>3.94</v>
      </c>
      <c r="F126" s="117">
        <f>'Rate Calculations'!$F$39</f>
        <v>9.1098976322656817</v>
      </c>
      <c r="G126" s="117">
        <f>(C126/1000)*'Rate Calculations'!$F$45</f>
        <v>1609.9480174902092</v>
      </c>
      <c r="H126" s="117">
        <f t="shared" si="10"/>
        <v>1619.0579151224749</v>
      </c>
      <c r="I126" s="33">
        <f t="shared" si="11"/>
        <v>35.892996671126788</v>
      </c>
      <c r="J126" s="33">
        <f t="shared" si="14"/>
        <v>6343.1951889114243</v>
      </c>
      <c r="K126" s="33">
        <f t="shared" si="12"/>
        <v>6379.088185582551</v>
      </c>
      <c r="L126" s="128"/>
    </row>
    <row r="127" spans="1:12" hidden="1" outlineLevel="1" x14ac:dyDescent="0.35">
      <c r="A127" s="204">
        <f t="shared" ref="A127:B146" si="17">A47</f>
        <v>255000</v>
      </c>
      <c r="B127" s="204">
        <f t="shared" si="17"/>
        <v>264999</v>
      </c>
      <c r="C127" s="182">
        <f t="shared" si="13"/>
        <v>259999.5</v>
      </c>
      <c r="D127" s="182">
        <f t="shared" ref="D127:E146" si="18">D47</f>
        <v>0.16416666666666666</v>
      </c>
      <c r="E127" s="182">
        <f t="shared" si="18"/>
        <v>1.97</v>
      </c>
      <c r="F127" s="117">
        <f>'Rate Calculations'!$F$39</f>
        <v>9.1098976322656817</v>
      </c>
      <c r="G127" s="117">
        <f>(C127/1000)*'Rate Calculations'!$F$45</f>
        <v>1674.3460669859164</v>
      </c>
      <c r="H127" s="117">
        <f t="shared" si="10"/>
        <v>1683.4559646181822</v>
      </c>
      <c r="I127" s="33">
        <f t="shared" si="11"/>
        <v>17.946498335563394</v>
      </c>
      <c r="J127" s="33">
        <f t="shared" si="14"/>
        <v>3298.4617519622552</v>
      </c>
      <c r="K127" s="33">
        <f t="shared" si="12"/>
        <v>3316.4082502978185</v>
      </c>
      <c r="L127" s="128"/>
    </row>
    <row r="128" spans="1:12" hidden="1" outlineLevel="1" x14ac:dyDescent="0.35">
      <c r="A128" s="204">
        <f t="shared" si="17"/>
        <v>265000</v>
      </c>
      <c r="B128" s="204">
        <f t="shared" si="17"/>
        <v>274999</v>
      </c>
      <c r="C128" s="182">
        <f t="shared" si="13"/>
        <v>269999.5</v>
      </c>
      <c r="D128" s="182">
        <f t="shared" si="18"/>
        <v>0.32833333333333331</v>
      </c>
      <c r="E128" s="182">
        <f t="shared" si="18"/>
        <v>3.94</v>
      </c>
      <c r="F128" s="117">
        <f>'Rate Calculations'!$F$39</f>
        <v>9.1098976322656817</v>
      </c>
      <c r="G128" s="117">
        <f>(C128/1000)*'Rate Calculations'!$F$45</f>
        <v>1738.7441164816239</v>
      </c>
      <c r="H128" s="117">
        <f t="shared" si="10"/>
        <v>1747.8540141138897</v>
      </c>
      <c r="I128" s="33">
        <f t="shared" si="11"/>
        <v>35.892996671126788</v>
      </c>
      <c r="J128" s="33">
        <f t="shared" si="14"/>
        <v>6850.6518189375984</v>
      </c>
      <c r="K128" s="33">
        <f t="shared" si="12"/>
        <v>6886.544815608725</v>
      </c>
      <c r="L128" s="128"/>
    </row>
    <row r="129" spans="1:12" hidden="1" outlineLevel="1" x14ac:dyDescent="0.35">
      <c r="A129" s="204">
        <f t="shared" si="17"/>
        <v>275000</v>
      </c>
      <c r="B129" s="204">
        <f t="shared" si="17"/>
        <v>284999</v>
      </c>
      <c r="C129" s="182">
        <f t="shared" si="13"/>
        <v>279999.5</v>
      </c>
      <c r="D129" s="182">
        <f t="shared" si="18"/>
        <v>0.65666666666666662</v>
      </c>
      <c r="E129" s="182">
        <f t="shared" si="18"/>
        <v>7.88</v>
      </c>
      <c r="F129" s="117">
        <f>'Rate Calculations'!$F$39</f>
        <v>9.1098976322656817</v>
      </c>
      <c r="G129" s="117">
        <f>(C129/1000)*'Rate Calculations'!$F$45</f>
        <v>1803.1421659773312</v>
      </c>
      <c r="H129" s="117">
        <f t="shared" si="10"/>
        <v>1812.2520636095969</v>
      </c>
      <c r="I129" s="33">
        <f t="shared" si="11"/>
        <v>71.785993342253576</v>
      </c>
      <c r="J129" s="33">
        <f t="shared" si="14"/>
        <v>14208.760267901369</v>
      </c>
      <c r="K129" s="33">
        <f t="shared" si="12"/>
        <v>14280.546261243622</v>
      </c>
      <c r="L129" s="128"/>
    </row>
    <row r="130" spans="1:12" hidden="1" outlineLevel="1" x14ac:dyDescent="0.35">
      <c r="A130" s="204">
        <f t="shared" si="17"/>
        <v>285000</v>
      </c>
      <c r="B130" s="204">
        <f t="shared" si="17"/>
        <v>294999</v>
      </c>
      <c r="C130" s="182">
        <f t="shared" si="13"/>
        <v>289999.5</v>
      </c>
      <c r="D130" s="182">
        <f t="shared" si="18"/>
        <v>0.41041666666666665</v>
      </c>
      <c r="E130" s="182">
        <f t="shared" si="18"/>
        <v>4.9249999999999998</v>
      </c>
      <c r="F130" s="117">
        <f>'Rate Calculations'!$F$39</f>
        <v>9.1098976322656817</v>
      </c>
      <c r="G130" s="117">
        <f>(C130/1000)*'Rate Calculations'!$F$45</f>
        <v>1867.5402154730386</v>
      </c>
      <c r="H130" s="117">
        <f t="shared" si="10"/>
        <v>1876.6501131053044</v>
      </c>
      <c r="I130" s="33">
        <f t="shared" si="11"/>
        <v>44.866245838908483</v>
      </c>
      <c r="J130" s="33">
        <f t="shared" si="14"/>
        <v>9197.6355612047155</v>
      </c>
      <c r="K130" s="33">
        <f t="shared" si="12"/>
        <v>9242.5018070436236</v>
      </c>
      <c r="L130" s="128"/>
    </row>
    <row r="131" spans="1:12" hidden="1" outlineLevel="1" x14ac:dyDescent="0.35">
      <c r="A131" s="204">
        <f t="shared" si="17"/>
        <v>295000</v>
      </c>
      <c r="B131" s="204">
        <f t="shared" si="17"/>
        <v>304999</v>
      </c>
      <c r="C131" s="182">
        <f t="shared" si="13"/>
        <v>299999.5</v>
      </c>
      <c r="D131" s="182">
        <f t="shared" si="18"/>
        <v>0.41041666666666665</v>
      </c>
      <c r="E131" s="182">
        <f t="shared" si="18"/>
        <v>4.9249999999999998</v>
      </c>
      <c r="F131" s="117">
        <f>'Rate Calculations'!$F$39</f>
        <v>9.1098976322656817</v>
      </c>
      <c r="G131" s="117">
        <f>(C131/1000)*'Rate Calculations'!$F$45</f>
        <v>1931.9382649687459</v>
      </c>
      <c r="H131" s="117">
        <f t="shared" si="10"/>
        <v>1941.0481626010117</v>
      </c>
      <c r="I131" s="33">
        <f t="shared" si="11"/>
        <v>44.866245838908483</v>
      </c>
      <c r="J131" s="33">
        <f t="shared" si="14"/>
        <v>9514.795954971074</v>
      </c>
      <c r="K131" s="33">
        <f t="shared" si="12"/>
        <v>9559.6622008099821</v>
      </c>
      <c r="L131" s="128"/>
    </row>
    <row r="132" spans="1:12" hidden="1" outlineLevel="1" x14ac:dyDescent="0.35">
      <c r="A132" s="204">
        <f t="shared" si="17"/>
        <v>305000</v>
      </c>
      <c r="B132" s="204">
        <f t="shared" si="17"/>
        <v>314999</v>
      </c>
      <c r="C132" s="182">
        <f t="shared" si="13"/>
        <v>309999.5</v>
      </c>
      <c r="D132" s="182">
        <f t="shared" si="18"/>
        <v>0.57458333333333333</v>
      </c>
      <c r="E132" s="182">
        <f t="shared" si="18"/>
        <v>6.8949999999999996</v>
      </c>
      <c r="F132" s="117">
        <f>'Rate Calculations'!$F$39</f>
        <v>9.1098976322656817</v>
      </c>
      <c r="G132" s="117">
        <f>(C132/1000)*'Rate Calculations'!$F$45</f>
        <v>1996.3363144644534</v>
      </c>
      <c r="H132" s="117">
        <f t="shared" si="10"/>
        <v>2005.4462120967191</v>
      </c>
      <c r="I132" s="33">
        <f t="shared" si="11"/>
        <v>62.812744174471874</v>
      </c>
      <c r="J132" s="33">
        <f t="shared" si="14"/>
        <v>13764.738888232405</v>
      </c>
      <c r="K132" s="33">
        <f t="shared" si="12"/>
        <v>13827.551632406878</v>
      </c>
      <c r="L132" s="128"/>
    </row>
    <row r="133" spans="1:12" hidden="1" outlineLevel="1" x14ac:dyDescent="0.35">
      <c r="A133" s="204">
        <f t="shared" si="17"/>
        <v>315000</v>
      </c>
      <c r="B133" s="204">
        <f t="shared" si="17"/>
        <v>324999</v>
      </c>
      <c r="C133" s="182">
        <f t="shared" si="13"/>
        <v>319999.5</v>
      </c>
      <c r="D133" s="182">
        <f t="shared" si="18"/>
        <v>0.24625</v>
      </c>
      <c r="E133" s="182">
        <f t="shared" si="18"/>
        <v>2.9550000000000001</v>
      </c>
      <c r="F133" s="117">
        <f>'Rate Calculations'!$F$39</f>
        <v>9.1098976322656817</v>
      </c>
      <c r="G133" s="117">
        <f>(C133/1000)*'Rate Calculations'!$F$45</f>
        <v>2060.7343639601609</v>
      </c>
      <c r="H133" s="117">
        <f t="shared" si="10"/>
        <v>2069.8442615924264</v>
      </c>
      <c r="I133" s="33">
        <f t="shared" si="11"/>
        <v>26.919747503345089</v>
      </c>
      <c r="J133" s="33">
        <f t="shared" si="14"/>
        <v>6089.4700455022758</v>
      </c>
      <c r="K133" s="33">
        <f t="shared" si="12"/>
        <v>6116.389793005621</v>
      </c>
      <c r="L133" s="128"/>
    </row>
    <row r="134" spans="1:12" hidden="1" outlineLevel="1" x14ac:dyDescent="0.35">
      <c r="A134" s="204">
        <f t="shared" si="17"/>
        <v>325000</v>
      </c>
      <c r="B134" s="204">
        <f t="shared" si="17"/>
        <v>334999</v>
      </c>
      <c r="C134" s="182">
        <f t="shared" si="13"/>
        <v>329999.5</v>
      </c>
      <c r="D134" s="182">
        <f t="shared" si="18"/>
        <v>0.57458333333333333</v>
      </c>
      <c r="E134" s="182">
        <f t="shared" si="18"/>
        <v>6.8949999999999996</v>
      </c>
      <c r="F134" s="117">
        <f>'Rate Calculations'!$F$39</f>
        <v>9.1098976322656817</v>
      </c>
      <c r="G134" s="117">
        <f>(C134/1000)*'Rate Calculations'!$F$45</f>
        <v>2125.1324134558681</v>
      </c>
      <c r="H134" s="117">
        <f t="shared" si="10"/>
        <v>2134.2423110881336</v>
      </c>
      <c r="I134" s="33">
        <f t="shared" si="11"/>
        <v>62.812744174471874</v>
      </c>
      <c r="J134" s="33">
        <f t="shared" si="14"/>
        <v>14652.78799077821</v>
      </c>
      <c r="K134" s="33">
        <f t="shared" si="12"/>
        <v>14715.600734952683</v>
      </c>
      <c r="L134" s="128"/>
    </row>
    <row r="135" spans="1:12" hidden="1" outlineLevel="1" x14ac:dyDescent="0.35">
      <c r="A135" s="204">
        <f t="shared" si="17"/>
        <v>335000</v>
      </c>
      <c r="B135" s="204">
        <f t="shared" si="17"/>
        <v>344999</v>
      </c>
      <c r="C135" s="182">
        <f t="shared" si="13"/>
        <v>339999.5</v>
      </c>
      <c r="D135" s="182">
        <f t="shared" si="18"/>
        <v>0.32833333333333331</v>
      </c>
      <c r="E135" s="182">
        <f t="shared" si="18"/>
        <v>3.94</v>
      </c>
      <c r="F135" s="117">
        <f>'Rate Calculations'!$F$39</f>
        <v>9.1098976322656817</v>
      </c>
      <c r="G135" s="117">
        <f>(C135/1000)*'Rate Calculations'!$F$45</f>
        <v>2189.5304629515754</v>
      </c>
      <c r="H135" s="117">
        <f t="shared" si="10"/>
        <v>2198.6403605838409</v>
      </c>
      <c r="I135" s="33">
        <f t="shared" si="11"/>
        <v>35.892996671126788</v>
      </c>
      <c r="J135" s="33">
        <f t="shared" si="14"/>
        <v>8626.7500240292065</v>
      </c>
      <c r="K135" s="33">
        <f t="shared" si="12"/>
        <v>8662.6430207003341</v>
      </c>
      <c r="L135" s="128"/>
    </row>
    <row r="136" spans="1:12" hidden="1" outlineLevel="1" x14ac:dyDescent="0.35">
      <c r="A136" s="204">
        <f t="shared" si="17"/>
        <v>345000</v>
      </c>
      <c r="B136" s="204">
        <f t="shared" si="17"/>
        <v>354999</v>
      </c>
      <c r="C136" s="182">
        <f t="shared" si="13"/>
        <v>349999.5</v>
      </c>
      <c r="D136" s="182">
        <f t="shared" si="18"/>
        <v>0</v>
      </c>
      <c r="E136" s="182">
        <f t="shared" si="18"/>
        <v>0</v>
      </c>
      <c r="F136" s="117">
        <f>'Rate Calculations'!$F$39</f>
        <v>9.1098976322656817</v>
      </c>
      <c r="G136" s="117">
        <f>(C136/1000)*'Rate Calculations'!$F$45</f>
        <v>2253.9285124472826</v>
      </c>
      <c r="H136" s="117">
        <f t="shared" si="10"/>
        <v>2263.0384100795482</v>
      </c>
      <c r="I136" s="33">
        <f t="shared" si="11"/>
        <v>0</v>
      </c>
      <c r="J136" s="33">
        <f t="shared" si="14"/>
        <v>0</v>
      </c>
      <c r="K136" s="33">
        <f t="shared" si="12"/>
        <v>0</v>
      </c>
      <c r="L136" s="128"/>
    </row>
    <row r="137" spans="1:12" hidden="1" outlineLevel="1" x14ac:dyDescent="0.35">
      <c r="A137" s="204">
        <f t="shared" si="17"/>
        <v>355000</v>
      </c>
      <c r="B137" s="204">
        <f t="shared" si="17"/>
        <v>374999</v>
      </c>
      <c r="C137" s="182">
        <f t="shared" si="13"/>
        <v>364999.5</v>
      </c>
      <c r="D137" s="182">
        <f t="shared" si="18"/>
        <v>0.32833333333333331</v>
      </c>
      <c r="E137" s="182">
        <f t="shared" si="18"/>
        <v>3.94</v>
      </c>
      <c r="F137" s="117">
        <f>'Rate Calculations'!$F$39</f>
        <v>9.1098976322656817</v>
      </c>
      <c r="G137" s="117">
        <f>(C137/1000)*'Rate Calculations'!$F$45</f>
        <v>2350.5255866908437</v>
      </c>
      <c r="H137" s="117">
        <f t="shared" si="10"/>
        <v>2359.6354843231093</v>
      </c>
      <c r="I137" s="33">
        <f t="shared" si="11"/>
        <v>35.892996671126788</v>
      </c>
      <c r="J137" s="33">
        <f t="shared" si="14"/>
        <v>9261.0708115619236</v>
      </c>
      <c r="K137" s="33">
        <f t="shared" si="12"/>
        <v>9296.9638082330512</v>
      </c>
      <c r="L137" s="128"/>
    </row>
    <row r="138" spans="1:12" hidden="1" outlineLevel="1" x14ac:dyDescent="0.35">
      <c r="A138" s="204">
        <f t="shared" si="17"/>
        <v>375000</v>
      </c>
      <c r="B138" s="204">
        <f t="shared" si="17"/>
        <v>384999</v>
      </c>
      <c r="C138" s="182">
        <f t="shared" si="13"/>
        <v>379999.5</v>
      </c>
      <c r="D138" s="182">
        <f t="shared" si="18"/>
        <v>0.16416666666666666</v>
      </c>
      <c r="E138" s="182">
        <f t="shared" si="18"/>
        <v>1.97</v>
      </c>
      <c r="F138" s="117">
        <f>'Rate Calculations'!$F$39</f>
        <v>9.1098976322656817</v>
      </c>
      <c r="G138" s="117">
        <f>(C138/1000)*'Rate Calculations'!$F$45</f>
        <v>2447.1226609344048</v>
      </c>
      <c r="H138" s="117">
        <f t="shared" si="10"/>
        <v>2456.2325585666704</v>
      </c>
      <c r="I138" s="33">
        <f t="shared" si="11"/>
        <v>17.946498335563394</v>
      </c>
      <c r="J138" s="33">
        <f t="shared" si="14"/>
        <v>4820.8316420407773</v>
      </c>
      <c r="K138" s="33">
        <f t="shared" si="12"/>
        <v>4838.7781403763411</v>
      </c>
      <c r="L138" s="128"/>
    </row>
    <row r="139" spans="1:12" hidden="1" outlineLevel="1" x14ac:dyDescent="0.35">
      <c r="A139" s="204">
        <f t="shared" si="17"/>
        <v>385000</v>
      </c>
      <c r="B139" s="204">
        <f t="shared" si="17"/>
        <v>404999</v>
      </c>
      <c r="C139" s="182">
        <f t="shared" si="13"/>
        <v>394999.5</v>
      </c>
      <c r="D139" s="182">
        <f t="shared" si="18"/>
        <v>0.24625</v>
      </c>
      <c r="E139" s="182">
        <f t="shared" si="18"/>
        <v>2.9550000000000001</v>
      </c>
      <c r="F139" s="117">
        <f>'Rate Calculations'!$F$39</f>
        <v>9.1098976322656817</v>
      </c>
      <c r="G139" s="117">
        <f>(C139/1000)*'Rate Calculations'!$F$45</f>
        <v>2543.719735177966</v>
      </c>
      <c r="H139" s="117">
        <f t="shared" si="10"/>
        <v>2552.8296328102315</v>
      </c>
      <c r="I139" s="33">
        <f t="shared" si="11"/>
        <v>26.919747503345089</v>
      </c>
      <c r="J139" s="33">
        <f t="shared" si="14"/>
        <v>7516.6918174508892</v>
      </c>
      <c r="K139" s="33">
        <f t="shared" si="12"/>
        <v>7543.6115649542344</v>
      </c>
      <c r="L139" s="128"/>
    </row>
    <row r="140" spans="1:12" hidden="1" outlineLevel="1" x14ac:dyDescent="0.35">
      <c r="A140" s="204">
        <f t="shared" si="17"/>
        <v>405000</v>
      </c>
      <c r="B140" s="204">
        <f t="shared" si="17"/>
        <v>424999</v>
      </c>
      <c r="C140" s="182">
        <f t="shared" si="13"/>
        <v>414999.5</v>
      </c>
      <c r="D140" s="182">
        <f t="shared" si="18"/>
        <v>8.2083333333333328E-2</v>
      </c>
      <c r="E140" s="182">
        <f t="shared" si="18"/>
        <v>0.98499999999999999</v>
      </c>
      <c r="F140" s="117">
        <f>'Rate Calculations'!$F$39</f>
        <v>9.1098976322656817</v>
      </c>
      <c r="G140" s="117">
        <f>(C140/1000)*'Rate Calculations'!$F$45</f>
        <v>2672.5158341693805</v>
      </c>
      <c r="H140" s="117">
        <f t="shared" si="10"/>
        <v>2681.625731801646</v>
      </c>
      <c r="I140" s="33">
        <f t="shared" si="11"/>
        <v>8.973249167781697</v>
      </c>
      <c r="J140" s="33">
        <f t="shared" si="14"/>
        <v>2632.4280966568399</v>
      </c>
      <c r="K140" s="33">
        <f t="shared" si="12"/>
        <v>2641.4013458246218</v>
      </c>
      <c r="L140" s="128"/>
    </row>
    <row r="141" spans="1:12" hidden="1" outlineLevel="1" x14ac:dyDescent="0.35">
      <c r="A141" s="204">
        <f t="shared" si="17"/>
        <v>425000</v>
      </c>
      <c r="B141" s="204">
        <f t="shared" si="17"/>
        <v>464999</v>
      </c>
      <c r="C141" s="182">
        <f t="shared" si="13"/>
        <v>444999.5</v>
      </c>
      <c r="D141" s="182">
        <f t="shared" si="18"/>
        <v>0.41041666666666665</v>
      </c>
      <c r="E141" s="182">
        <f t="shared" si="18"/>
        <v>4.9249999999999998</v>
      </c>
      <c r="F141" s="117">
        <f>'Rate Calculations'!$F$39</f>
        <v>9.1098976322656817</v>
      </c>
      <c r="G141" s="117">
        <f>(C141/1000)*'Rate Calculations'!$F$45</f>
        <v>2865.7099826565027</v>
      </c>
      <c r="H141" s="117">
        <f t="shared" si="10"/>
        <v>2874.8198802887682</v>
      </c>
      <c r="I141" s="33">
        <f t="shared" si="11"/>
        <v>44.866245838908483</v>
      </c>
      <c r="J141" s="33">
        <f t="shared" si="14"/>
        <v>14113.621664583276</v>
      </c>
      <c r="K141" s="33">
        <f t="shared" si="12"/>
        <v>14158.487910422184</v>
      </c>
      <c r="L141" s="128"/>
    </row>
    <row r="142" spans="1:12" hidden="1" outlineLevel="1" x14ac:dyDescent="0.35">
      <c r="A142" s="204">
        <f t="shared" si="17"/>
        <v>465000</v>
      </c>
      <c r="B142" s="204">
        <f t="shared" si="17"/>
        <v>624999</v>
      </c>
      <c r="C142" s="182">
        <f t="shared" si="13"/>
        <v>544999.5</v>
      </c>
      <c r="D142" s="182">
        <f t="shared" si="18"/>
        <v>1.0670833333333334</v>
      </c>
      <c r="E142" s="182">
        <f t="shared" si="18"/>
        <v>12.805</v>
      </c>
      <c r="F142" s="117">
        <f>'Rate Calculations'!$F$39</f>
        <v>9.1098976322656817</v>
      </c>
      <c r="G142" s="117">
        <f>(C142/1000)*'Rate Calculations'!$F$45</f>
        <v>3509.6904776135761</v>
      </c>
      <c r="H142" s="117">
        <f t="shared" si="10"/>
        <v>3518.8003752458417</v>
      </c>
      <c r="I142" s="33">
        <f t="shared" si="11"/>
        <v>116.65223918116205</v>
      </c>
      <c r="J142" s="33">
        <f t="shared" si="14"/>
        <v>44941.586565841841</v>
      </c>
      <c r="K142" s="33">
        <f t="shared" si="12"/>
        <v>45058.238805023</v>
      </c>
      <c r="L142" s="128"/>
    </row>
    <row r="143" spans="1:12" hidden="1" outlineLevel="1" x14ac:dyDescent="0.35">
      <c r="A143" s="204">
        <f t="shared" si="17"/>
        <v>625000</v>
      </c>
      <c r="B143" s="204">
        <f t="shared" si="17"/>
        <v>654999</v>
      </c>
      <c r="C143" s="182">
        <f t="shared" si="13"/>
        <v>639999.5</v>
      </c>
      <c r="D143" s="182">
        <f t="shared" si="18"/>
        <v>0.16416666666666666</v>
      </c>
      <c r="E143" s="182">
        <f t="shared" si="18"/>
        <v>1.97</v>
      </c>
      <c r="F143" s="117">
        <f>'Rate Calculations'!$F$39</f>
        <v>9.1098976322656817</v>
      </c>
      <c r="G143" s="117">
        <f>(C143/1000)*'Rate Calculations'!$F$45</f>
        <v>4121.4719478227962</v>
      </c>
      <c r="H143" s="117">
        <f t="shared" si="10"/>
        <v>4130.5818454550617</v>
      </c>
      <c r="I143" s="33">
        <f t="shared" si="11"/>
        <v>17.946498335563394</v>
      </c>
      <c r="J143" s="33">
        <f t="shared" si="14"/>
        <v>8119.2997372109085</v>
      </c>
      <c r="K143" s="33">
        <f t="shared" si="12"/>
        <v>8137.2462355464722</v>
      </c>
      <c r="L143" s="128"/>
    </row>
    <row r="144" spans="1:12" hidden="1" outlineLevel="1" x14ac:dyDescent="0.35">
      <c r="A144" s="204">
        <f t="shared" si="17"/>
        <v>655000</v>
      </c>
      <c r="B144" s="204">
        <f t="shared" si="17"/>
        <v>714999</v>
      </c>
      <c r="C144" s="182">
        <f t="shared" si="13"/>
        <v>684999.5</v>
      </c>
      <c r="D144" s="182">
        <f t="shared" si="18"/>
        <v>0.65666666666666662</v>
      </c>
      <c r="E144" s="182">
        <f t="shared" si="18"/>
        <v>7.88</v>
      </c>
      <c r="F144" s="117">
        <f>'Rate Calculations'!$F$39</f>
        <v>9.1098976322656817</v>
      </c>
      <c r="G144" s="117">
        <f>(C144/1000)*'Rate Calculations'!$F$45</f>
        <v>4411.2631705534786</v>
      </c>
      <c r="H144" s="117">
        <f t="shared" si="10"/>
        <v>4420.3730681857442</v>
      </c>
      <c r="I144" s="33">
        <f t="shared" si="11"/>
        <v>71.785993342253576</v>
      </c>
      <c r="J144" s="33">
        <f t="shared" si="14"/>
        <v>34760.753783961409</v>
      </c>
      <c r="K144" s="33">
        <f t="shared" si="12"/>
        <v>34832.53977730366</v>
      </c>
      <c r="L144" s="128"/>
    </row>
    <row r="145" spans="1:12" hidden="1" outlineLevel="1" x14ac:dyDescent="0.35">
      <c r="A145" s="204">
        <f t="shared" si="17"/>
        <v>715000</v>
      </c>
      <c r="B145" s="204">
        <f t="shared" si="17"/>
        <v>844999</v>
      </c>
      <c r="C145" s="182">
        <f t="shared" si="13"/>
        <v>779999.5</v>
      </c>
      <c r="D145" s="182">
        <f t="shared" si="18"/>
        <v>1.8058333333333332</v>
      </c>
      <c r="E145" s="182">
        <f t="shared" si="18"/>
        <v>21.669999999999998</v>
      </c>
      <c r="F145" s="117">
        <f>'Rate Calculations'!$F$39</f>
        <v>9.1098976322656817</v>
      </c>
      <c r="G145" s="117">
        <f>(C145/1000)*'Rate Calculations'!$F$45</f>
        <v>5023.0446407626987</v>
      </c>
      <c r="H145" s="117">
        <f t="shared" si="10"/>
        <v>5032.1545383949642</v>
      </c>
      <c r="I145" s="33">
        <f t="shared" si="11"/>
        <v>197.41148169119731</v>
      </c>
      <c r="J145" s="33">
        <f t="shared" si="14"/>
        <v>108849.37736532767</v>
      </c>
      <c r="K145" s="33">
        <f t="shared" si="12"/>
        <v>109046.78884701888</v>
      </c>
      <c r="L145" s="128"/>
    </row>
    <row r="146" spans="1:12" hidden="1" outlineLevel="1" x14ac:dyDescent="0.35">
      <c r="A146" s="228">
        <f t="shared" si="17"/>
        <v>845000</v>
      </c>
      <c r="B146" s="228">
        <f t="shared" si="17"/>
        <v>900000</v>
      </c>
      <c r="C146" s="219">
        <v>845000</v>
      </c>
      <c r="D146" s="219">
        <f t="shared" si="18"/>
        <v>0</v>
      </c>
      <c r="E146" s="219">
        <f t="shared" si="18"/>
        <v>0</v>
      </c>
      <c r="F146" s="121">
        <f>'Rate Calculations'!$F$39</f>
        <v>9.1098976322656817</v>
      </c>
      <c r="G146" s="121">
        <f>(C146/1000)*'Rate Calculations'!$F$45</f>
        <v>5441.635182387271</v>
      </c>
      <c r="H146" s="121">
        <f t="shared" si="10"/>
        <v>5450.7450800195365</v>
      </c>
      <c r="I146" s="119">
        <f t="shared" si="11"/>
        <v>0</v>
      </c>
      <c r="J146" s="119">
        <f t="shared" si="14"/>
        <v>0</v>
      </c>
      <c r="K146" s="119">
        <f t="shared" si="12"/>
        <v>0</v>
      </c>
      <c r="L146" s="128"/>
    </row>
    <row r="147" spans="1:12" hidden="1" outlineLevel="1" x14ac:dyDescent="0.35">
      <c r="A147" s="165"/>
    </row>
    <row r="148" spans="1:12" hidden="1" outlineLevel="1" x14ac:dyDescent="0.35">
      <c r="A148" s="165"/>
      <c r="D148" s="182">
        <f>SUM(D87:D147)</f>
        <v>8679.4916666666704</v>
      </c>
      <c r="E148" s="182">
        <f>SUM(E87:E147)</f>
        <v>104153.90000000007</v>
      </c>
      <c r="I148" s="33">
        <f>SUM(I87:I147)</f>
        <v>948831.36700123723</v>
      </c>
      <c r="J148" s="33">
        <f>SUM(J87:J147)</f>
        <v>3073749.9973503007</v>
      </c>
      <c r="K148" s="33">
        <f>SUM(K87:K147)</f>
        <v>4022581.3643515375</v>
      </c>
    </row>
    <row r="149" spans="1:12" hidden="1" outlineLevel="1" x14ac:dyDescent="0.35">
      <c r="A149" s="165"/>
    </row>
    <row r="150" spans="1:12" hidden="1" outlineLevel="1" x14ac:dyDescent="0.35">
      <c r="A150" s="165"/>
      <c r="I150" s="92" t="s">
        <v>325</v>
      </c>
      <c r="J150" s="92"/>
      <c r="K150" s="222">
        <f>K70</f>
        <v>3371082.18</v>
      </c>
    </row>
    <row r="151" spans="1:12" hidden="1" outlineLevel="1" x14ac:dyDescent="0.35">
      <c r="A151" s="165"/>
    </row>
    <row r="152" spans="1:12" hidden="1" outlineLevel="1" x14ac:dyDescent="0.35">
      <c r="A152" s="165"/>
      <c r="I152" s="26" t="s">
        <v>666</v>
      </c>
    </row>
    <row r="153" spans="1:12" hidden="1" outlineLevel="1" x14ac:dyDescent="0.35">
      <c r="A153" s="165"/>
      <c r="I153" s="26" t="s">
        <v>302</v>
      </c>
      <c r="K153" s="128">
        <f>I148</f>
        <v>948831.36700123723</v>
      </c>
    </row>
    <row r="154" spans="1:12" hidden="1" outlineLevel="1" x14ac:dyDescent="0.35">
      <c r="A154" s="165"/>
      <c r="I154" s="26" t="s">
        <v>327</v>
      </c>
      <c r="K154" s="35">
        <f>J148</f>
        <v>3073749.9973503007</v>
      </c>
    </row>
    <row r="155" spans="1:12" hidden="1" outlineLevel="1" x14ac:dyDescent="0.35">
      <c r="I155" s="26" t="s">
        <v>44</v>
      </c>
      <c r="K155" s="128">
        <f>SUM(K153:K154)</f>
        <v>4022581.364351538</v>
      </c>
    </row>
    <row r="156" spans="1:12" hidden="1" outlineLevel="1" x14ac:dyDescent="0.35">
      <c r="A156" s="26" t="s">
        <v>667</v>
      </c>
      <c r="K156" s="128"/>
    </row>
    <row r="157" spans="1:12" collapsed="1" x14ac:dyDescent="0.35">
      <c r="K157" s="128"/>
    </row>
    <row r="158" spans="1:12" s="406" customFormat="1" ht="3" customHeight="1" x14ac:dyDescent="0.35">
      <c r="K158" s="407"/>
    </row>
    <row r="159" spans="1:12" x14ac:dyDescent="0.35">
      <c r="A159" s="25" t="s">
        <v>4</v>
      </c>
      <c r="B159" s="25"/>
      <c r="C159" s="25"/>
    </row>
    <row r="160" spans="1:12" x14ac:dyDescent="0.35">
      <c r="A160" s="25" t="s">
        <v>109</v>
      </c>
      <c r="B160" s="25"/>
      <c r="C160" s="25"/>
    </row>
    <row r="161" spans="1:12" x14ac:dyDescent="0.35">
      <c r="A161" s="25" t="s">
        <v>1567</v>
      </c>
      <c r="B161" s="25"/>
      <c r="C161" s="25"/>
      <c r="K161" s="50" t="s">
        <v>1652</v>
      </c>
      <c r="L161" s="589"/>
    </row>
    <row r="162" spans="1:12" x14ac:dyDescent="0.35">
      <c r="A162" s="25"/>
      <c r="B162" s="25"/>
      <c r="C162" s="25"/>
    </row>
    <row r="164" spans="1:12" ht="62" x14ac:dyDescent="0.35">
      <c r="A164" s="205" t="s">
        <v>317</v>
      </c>
      <c r="B164" s="205" t="s">
        <v>318</v>
      </c>
      <c r="C164" s="114" t="s">
        <v>319</v>
      </c>
      <c r="D164" s="205" t="s">
        <v>320</v>
      </c>
      <c r="E164" s="205" t="s">
        <v>266</v>
      </c>
      <c r="F164" s="114" t="s">
        <v>312</v>
      </c>
      <c r="G164" s="114" t="s">
        <v>330</v>
      </c>
      <c r="H164" s="114" t="s">
        <v>321</v>
      </c>
      <c r="I164" s="114" t="s">
        <v>323</v>
      </c>
      <c r="J164" s="114" t="s">
        <v>331</v>
      </c>
      <c r="K164" s="114" t="s">
        <v>324</v>
      </c>
    </row>
    <row r="165" spans="1:12" x14ac:dyDescent="0.35">
      <c r="A165" s="204">
        <v>0</v>
      </c>
      <c r="B165" s="217">
        <v>0</v>
      </c>
      <c r="C165" s="182">
        <f>AVERAGE(A165,B165)</f>
        <v>0</v>
      </c>
      <c r="D165" s="223">
        <f t="shared" ref="D165:E184" si="19">D7</f>
        <v>788</v>
      </c>
      <c r="E165" s="223">
        <f t="shared" si="19"/>
        <v>9456</v>
      </c>
      <c r="F165" s="214">
        <f>'Rate Calculations'!$F$64</f>
        <v>19.629439592226891</v>
      </c>
      <c r="G165" s="33">
        <f>(C165/1000)*0</f>
        <v>0</v>
      </c>
      <c r="H165" s="225">
        <f>F165+G165</f>
        <v>19.629439592226891</v>
      </c>
      <c r="I165" s="128">
        <f>F165*E165</f>
        <v>185615.98078409748</v>
      </c>
      <c r="J165" s="33">
        <v>0</v>
      </c>
      <c r="K165" s="221">
        <f t="shared" ref="K165:K224" si="20">I165+J165</f>
        <v>185615.98078409748</v>
      </c>
    </row>
    <row r="166" spans="1:12" x14ac:dyDescent="0.35">
      <c r="A166" s="165">
        <f>'Billing Data'!B8</f>
        <v>0</v>
      </c>
      <c r="B166" s="165">
        <v>999</v>
      </c>
      <c r="C166" s="182">
        <f>AVERAGE(A166,B166)</f>
        <v>499.5</v>
      </c>
      <c r="D166" s="182">
        <f t="shared" si="19"/>
        <v>958.07666666666671</v>
      </c>
      <c r="E166" s="182">
        <f t="shared" si="19"/>
        <v>11496.92</v>
      </c>
      <c r="F166" s="117">
        <f>'Rate Calculations'!$F$64</f>
        <v>19.629439592226891</v>
      </c>
      <c r="G166" s="33">
        <f>(C166/1000)*0</f>
        <v>0</v>
      </c>
      <c r="H166" s="224">
        <f t="shared" ref="H166:H224" si="21">F166+G166</f>
        <v>19.629439592226891</v>
      </c>
      <c r="I166" s="128">
        <f t="shared" ref="I166:I224" si="22">F166*E166</f>
        <v>225678.0966366652</v>
      </c>
      <c r="J166" s="33">
        <v>0</v>
      </c>
      <c r="K166" s="128">
        <f t="shared" si="20"/>
        <v>225678.0966366652</v>
      </c>
    </row>
    <row r="167" spans="1:12" x14ac:dyDescent="0.35">
      <c r="A167" s="165">
        <f>'Billing Data'!B9</f>
        <v>1000</v>
      </c>
      <c r="B167" s="165">
        <v>1999</v>
      </c>
      <c r="C167" s="182">
        <f>AVERAGE(A167,B167)</f>
        <v>1499.5</v>
      </c>
      <c r="D167" s="182">
        <f t="shared" si="19"/>
        <v>1405.9233333333332</v>
      </c>
      <c r="E167" s="182">
        <f t="shared" si="19"/>
        <v>16871.079999999998</v>
      </c>
      <c r="F167" s="117">
        <f>'Rate Calculations'!$F$64</f>
        <v>19.629439592226891</v>
      </c>
      <c r="G167" s="33">
        <f>(C167/1000)*0</f>
        <v>0</v>
      </c>
      <c r="H167" s="224">
        <f t="shared" si="21"/>
        <v>19.629439592226891</v>
      </c>
      <c r="I167" s="128">
        <f t="shared" si="22"/>
        <v>331169.84571562725</v>
      </c>
      <c r="J167" s="33">
        <v>0</v>
      </c>
      <c r="K167" s="128">
        <f t="shared" si="20"/>
        <v>331169.84571562725</v>
      </c>
    </row>
    <row r="168" spans="1:12" x14ac:dyDescent="0.35">
      <c r="A168" s="165">
        <f>'Billing Data'!B10</f>
        <v>2000</v>
      </c>
      <c r="B168" s="165">
        <v>2999</v>
      </c>
      <c r="C168" s="182">
        <f t="shared" ref="C168:C223" si="23">AVERAGE(A168,B168)</f>
        <v>2499.5</v>
      </c>
      <c r="D168" s="182">
        <f t="shared" si="19"/>
        <v>1430.95875</v>
      </c>
      <c r="E168" s="182">
        <f t="shared" si="19"/>
        <v>17171.505000000001</v>
      </c>
      <c r="F168" s="117">
        <f>'Rate Calculations'!$F$64</f>
        <v>19.629439592226891</v>
      </c>
      <c r="G168" s="117">
        <f>(((C168/1000)-(2000/1000)))*'Rate Calculations'!$F$70</f>
        <v>3.1976253843279192</v>
      </c>
      <c r="H168" s="224">
        <f t="shared" si="21"/>
        <v>22.827064976554809</v>
      </c>
      <c r="I168" s="128">
        <f t="shared" si="22"/>
        <v>337067.02010512206</v>
      </c>
      <c r="J168" s="128">
        <f t="shared" ref="J168:J224" si="24">G168*E168</f>
        <v>54908.040275113788</v>
      </c>
      <c r="K168" s="128">
        <f t="shared" si="20"/>
        <v>391975.06038023584</v>
      </c>
    </row>
    <row r="169" spans="1:12" x14ac:dyDescent="0.35">
      <c r="A169" s="165">
        <f>'Billing Data'!B11</f>
        <v>3000</v>
      </c>
      <c r="B169" s="165">
        <v>3999</v>
      </c>
      <c r="C169" s="182">
        <f t="shared" si="23"/>
        <v>3499.5</v>
      </c>
      <c r="D169" s="182">
        <f t="shared" si="19"/>
        <v>1213.3558333333333</v>
      </c>
      <c r="E169" s="182">
        <f t="shared" si="19"/>
        <v>14560.27</v>
      </c>
      <c r="F169" s="117">
        <f>'Rate Calculations'!$F$64</f>
        <v>19.629439592226891</v>
      </c>
      <c r="G169" s="117">
        <f>(((C169/1000)-(2000/1000)))*'Rate Calculations'!$F$70</f>
        <v>9.5992778054048369</v>
      </c>
      <c r="H169" s="224">
        <f t="shared" si="21"/>
        <v>29.228717397631726</v>
      </c>
      <c r="I169" s="128">
        <f t="shared" si="22"/>
        <v>285809.94041151344</v>
      </c>
      <c r="J169" s="128">
        <f t="shared" si="24"/>
        <v>139768.07665170188</v>
      </c>
      <c r="K169" s="128">
        <f t="shared" si="20"/>
        <v>425578.01706321532</v>
      </c>
    </row>
    <row r="170" spans="1:12" x14ac:dyDescent="0.35">
      <c r="A170" s="165">
        <f>'Billing Data'!B12</f>
        <v>4000</v>
      </c>
      <c r="B170" s="165">
        <v>4999</v>
      </c>
      <c r="C170" s="182">
        <f t="shared" si="23"/>
        <v>4499.5</v>
      </c>
      <c r="D170" s="182">
        <f t="shared" si="19"/>
        <v>939.52583333333325</v>
      </c>
      <c r="E170" s="182">
        <f t="shared" si="19"/>
        <v>11274.31</v>
      </c>
      <c r="F170" s="117">
        <f>'Rate Calculations'!$F$64</f>
        <v>19.629439592226891</v>
      </c>
      <c r="G170" s="117">
        <f>(((C170/1000)-(2000/1000)))*'Rate Calculations'!$F$70</f>
        <v>16.000930226481756</v>
      </c>
      <c r="H170" s="224">
        <f t="shared" si="21"/>
        <v>35.630369818708644</v>
      </c>
      <c r="I170" s="128">
        <f t="shared" si="22"/>
        <v>221308.38708903955</v>
      </c>
      <c r="J170" s="128">
        <f t="shared" si="24"/>
        <v>180399.44766172551</v>
      </c>
      <c r="K170" s="128">
        <f t="shared" si="20"/>
        <v>401707.83475076506</v>
      </c>
    </row>
    <row r="171" spans="1:12" x14ac:dyDescent="0.35">
      <c r="A171" s="165">
        <f>'Billing Data'!B13</f>
        <v>5000</v>
      </c>
      <c r="B171" s="165">
        <v>5999</v>
      </c>
      <c r="C171" s="182">
        <f t="shared" si="23"/>
        <v>5499.5</v>
      </c>
      <c r="D171" s="182">
        <f t="shared" si="19"/>
        <v>622.35583333333329</v>
      </c>
      <c r="E171" s="182">
        <f t="shared" si="19"/>
        <v>7468.2699999999995</v>
      </c>
      <c r="F171" s="117">
        <f>'Rate Calculations'!$F$64</f>
        <v>19.629439592226891</v>
      </c>
      <c r="G171" s="117">
        <f>(((C171/1000)-(2000/1000)))*'Rate Calculations'!$F$70</f>
        <v>22.402582647558674</v>
      </c>
      <c r="H171" s="224">
        <f t="shared" si="21"/>
        <v>42.032022239785562</v>
      </c>
      <c r="I171" s="128">
        <f t="shared" si="22"/>
        <v>146597.95482344032</v>
      </c>
      <c r="J171" s="128">
        <f t="shared" si="24"/>
        <v>167308.535909283</v>
      </c>
      <c r="K171" s="128">
        <f t="shared" si="20"/>
        <v>313906.49073272332</v>
      </c>
    </row>
    <row r="172" spans="1:12" x14ac:dyDescent="0.35">
      <c r="A172" s="165">
        <f>'Billing Data'!B14</f>
        <v>6000</v>
      </c>
      <c r="B172" s="165">
        <v>6999</v>
      </c>
      <c r="C172" s="182">
        <f t="shared" si="23"/>
        <v>6499.5</v>
      </c>
      <c r="D172" s="182">
        <f t="shared" si="19"/>
        <v>403.35750000000002</v>
      </c>
      <c r="E172" s="182">
        <f t="shared" si="19"/>
        <v>4840.29</v>
      </c>
      <c r="F172" s="117">
        <f>'Rate Calculations'!$F$64</f>
        <v>19.629439592226891</v>
      </c>
      <c r="G172" s="117">
        <f>(((C172/1000)-(2000/1000)))*'Rate Calculations'!$F$70</f>
        <v>28.804235068635592</v>
      </c>
      <c r="H172" s="224">
        <f t="shared" si="21"/>
        <v>48.433674660862479</v>
      </c>
      <c r="I172" s="128">
        <f t="shared" si="22"/>
        <v>95012.180163859899</v>
      </c>
      <c r="J172" s="128">
        <f t="shared" si="24"/>
        <v>139420.85096036617</v>
      </c>
      <c r="K172" s="128">
        <f t="shared" si="20"/>
        <v>234433.03112422605</v>
      </c>
    </row>
    <row r="173" spans="1:12" x14ac:dyDescent="0.35">
      <c r="A173" s="165">
        <f>'Billing Data'!B15</f>
        <v>7000</v>
      </c>
      <c r="B173" s="165">
        <v>7999</v>
      </c>
      <c r="C173" s="182">
        <f t="shared" si="23"/>
        <v>7499.5</v>
      </c>
      <c r="D173" s="182">
        <f t="shared" si="19"/>
        <v>247.97375</v>
      </c>
      <c r="E173" s="182">
        <f t="shared" si="19"/>
        <v>2975.6849999999999</v>
      </c>
      <c r="F173" s="117">
        <f>'Rate Calculations'!$F$64</f>
        <v>19.629439592226891</v>
      </c>
      <c r="G173" s="117">
        <f>(((C173/1000)-(2000/1000)))*'Rate Calculations'!$F$70</f>
        <v>35.205887489712509</v>
      </c>
      <c r="H173" s="224">
        <f t="shared" si="21"/>
        <v>54.835327081939397</v>
      </c>
      <c r="I173" s="128">
        <f t="shared" si="22"/>
        <v>58411.028952995679</v>
      </c>
      <c r="J173" s="128">
        <f t="shared" si="24"/>
        <v>104761.63131482516</v>
      </c>
      <c r="K173" s="128">
        <f t="shared" si="20"/>
        <v>163172.66026782084</v>
      </c>
    </row>
    <row r="174" spans="1:12" x14ac:dyDescent="0.35">
      <c r="A174" s="165">
        <f>'Billing Data'!B16</f>
        <v>8000</v>
      </c>
      <c r="B174" s="165">
        <v>8999</v>
      </c>
      <c r="C174" s="182">
        <f t="shared" si="23"/>
        <v>8499.5</v>
      </c>
      <c r="D174" s="182">
        <f t="shared" si="19"/>
        <v>160.55500000000001</v>
      </c>
      <c r="E174" s="182">
        <f t="shared" si="19"/>
        <v>1926.66</v>
      </c>
      <c r="F174" s="117">
        <f>'Rate Calculations'!$F$64</f>
        <v>19.629439592226891</v>
      </c>
      <c r="G174" s="117">
        <f>(((C174/1000)-(2000/1000)))*'Rate Calculations'!$F$70</f>
        <v>41.60753991078942</v>
      </c>
      <c r="H174" s="224">
        <f t="shared" si="21"/>
        <v>61.236979503016315</v>
      </c>
      <c r="I174" s="128">
        <f t="shared" si="22"/>
        <v>37819.256084759865</v>
      </c>
      <c r="J174" s="128">
        <f t="shared" si="24"/>
        <v>80163.582844521545</v>
      </c>
      <c r="K174" s="128">
        <f t="shared" si="20"/>
        <v>117982.83892928141</v>
      </c>
    </row>
    <row r="175" spans="1:12" x14ac:dyDescent="0.35">
      <c r="A175" s="165">
        <f>'Billing Data'!B17</f>
        <v>9000</v>
      </c>
      <c r="B175" s="165">
        <v>9999</v>
      </c>
      <c r="C175" s="182">
        <f t="shared" si="23"/>
        <v>9499.5</v>
      </c>
      <c r="D175" s="182">
        <f t="shared" si="19"/>
        <v>105.96958333333333</v>
      </c>
      <c r="E175" s="182">
        <f t="shared" si="19"/>
        <v>1271.635</v>
      </c>
      <c r="F175" s="117">
        <f>'Rate Calculations'!$F$64</f>
        <v>19.629439592226891</v>
      </c>
      <c r="G175" s="117">
        <f>(((C175/1000)-(2000/1000)))*'Rate Calculations'!$F$70</f>
        <v>48.009192331866338</v>
      </c>
      <c r="H175" s="224">
        <f t="shared" si="21"/>
        <v>67.638631924093232</v>
      </c>
      <c r="I175" s="128">
        <f t="shared" si="22"/>
        <v>24961.482415861443</v>
      </c>
      <c r="J175" s="128">
        <f t="shared" si="24"/>
        <v>61050.169290932849</v>
      </c>
      <c r="K175" s="128">
        <f t="shared" si="20"/>
        <v>86011.651706794291</v>
      </c>
    </row>
    <row r="176" spans="1:12" x14ac:dyDescent="0.35">
      <c r="A176" s="165">
        <f>'Billing Data'!B18</f>
        <v>10000</v>
      </c>
      <c r="B176" s="165">
        <v>10999</v>
      </c>
      <c r="C176" s="182">
        <f t="shared" si="23"/>
        <v>10499.5</v>
      </c>
      <c r="D176" s="182">
        <f t="shared" si="19"/>
        <v>69.524583333333325</v>
      </c>
      <c r="E176" s="182">
        <f t="shared" si="19"/>
        <v>834.29499999999996</v>
      </c>
      <c r="F176" s="117">
        <f>'Rate Calculations'!$F$64</f>
        <v>19.629439592226891</v>
      </c>
      <c r="G176" s="117">
        <f>(((C176/1000)-(2000/1000)))*'Rate Calculations'!$F$70</f>
        <v>54.410844752943255</v>
      </c>
      <c r="H176" s="224">
        <f t="shared" si="21"/>
        <v>74.04028434517015</v>
      </c>
      <c r="I176" s="128">
        <f t="shared" si="22"/>
        <v>16376.743304596934</v>
      </c>
      <c r="J176" s="128">
        <f t="shared" si="24"/>
        <v>45394.695723156794</v>
      </c>
      <c r="K176" s="128">
        <f t="shared" si="20"/>
        <v>61771.439027753731</v>
      </c>
    </row>
    <row r="177" spans="1:11" x14ac:dyDescent="0.35">
      <c r="A177" s="165">
        <f>'Billing Data'!B19</f>
        <v>11000</v>
      </c>
      <c r="B177" s="165">
        <v>11999</v>
      </c>
      <c r="C177" s="182">
        <f t="shared" si="23"/>
        <v>11499.5</v>
      </c>
      <c r="D177" s="182">
        <f t="shared" si="19"/>
        <v>46.459166666666668</v>
      </c>
      <c r="E177" s="182">
        <f t="shared" si="19"/>
        <v>557.51</v>
      </c>
      <c r="F177" s="117">
        <f>'Rate Calculations'!$F$64</f>
        <v>19.629439592226891</v>
      </c>
      <c r="G177" s="117">
        <f>(((C177/1000)-(2000/1000)))*'Rate Calculations'!$F$70</f>
        <v>60.812497174020173</v>
      </c>
      <c r="H177" s="224">
        <f t="shared" si="21"/>
        <v>80.441936766247068</v>
      </c>
      <c r="I177" s="128">
        <f t="shared" si="22"/>
        <v>10943.608867062414</v>
      </c>
      <c r="J177" s="128">
        <f t="shared" si="24"/>
        <v>33903.575299487988</v>
      </c>
      <c r="K177" s="128">
        <f t="shared" si="20"/>
        <v>44847.184166550403</v>
      </c>
    </row>
    <row r="178" spans="1:11" x14ac:dyDescent="0.35">
      <c r="A178" s="165">
        <f>'Billing Data'!B20</f>
        <v>12000</v>
      </c>
      <c r="B178" s="165">
        <v>12999</v>
      </c>
      <c r="C178" s="182">
        <f t="shared" si="23"/>
        <v>12499.5</v>
      </c>
      <c r="D178" s="182">
        <f t="shared" si="19"/>
        <v>36.280833333333334</v>
      </c>
      <c r="E178" s="182">
        <f t="shared" si="19"/>
        <v>435.37</v>
      </c>
      <c r="F178" s="117">
        <f>'Rate Calculations'!$F$64</f>
        <v>19.629439592226891</v>
      </c>
      <c r="G178" s="117">
        <f>(((C178/1000)-(2000/1000)))*'Rate Calculations'!$F$70</f>
        <v>67.214149595097098</v>
      </c>
      <c r="H178" s="224">
        <f t="shared" si="21"/>
        <v>86.843589187323985</v>
      </c>
      <c r="I178" s="128">
        <f t="shared" si="22"/>
        <v>8546.069115267821</v>
      </c>
      <c r="J178" s="128">
        <f t="shared" si="24"/>
        <v>29263.024309217424</v>
      </c>
      <c r="K178" s="128">
        <f t="shared" si="20"/>
        <v>37809.093424485247</v>
      </c>
    </row>
    <row r="179" spans="1:11" x14ac:dyDescent="0.35">
      <c r="A179" s="165">
        <f>'Billing Data'!B21</f>
        <v>13000</v>
      </c>
      <c r="B179" s="165">
        <v>13999</v>
      </c>
      <c r="C179" s="182">
        <f t="shared" si="23"/>
        <v>13499.5</v>
      </c>
      <c r="D179" s="182">
        <f t="shared" si="19"/>
        <v>26.512916666666666</v>
      </c>
      <c r="E179" s="182">
        <f t="shared" si="19"/>
        <v>318.15499999999997</v>
      </c>
      <c r="F179" s="117">
        <f>'Rate Calculations'!$F$64</f>
        <v>19.629439592226891</v>
      </c>
      <c r="G179" s="117">
        <f>(((C179/1000)-(2000/1000)))*'Rate Calculations'!$F$70</f>
        <v>73.615802016174015</v>
      </c>
      <c r="H179" s="224">
        <f t="shared" si="21"/>
        <v>93.245241608400903</v>
      </c>
      <c r="I179" s="128">
        <f t="shared" si="22"/>
        <v>6245.2043534649456</v>
      </c>
      <c r="J179" s="128">
        <f t="shared" si="24"/>
        <v>23421.235490455842</v>
      </c>
      <c r="K179" s="128">
        <f t="shared" si="20"/>
        <v>29666.439843920787</v>
      </c>
    </row>
    <row r="180" spans="1:11" x14ac:dyDescent="0.35">
      <c r="A180" s="165">
        <f>'Billing Data'!B22</f>
        <v>14000</v>
      </c>
      <c r="B180" s="165">
        <v>14999</v>
      </c>
      <c r="C180" s="182">
        <f t="shared" si="23"/>
        <v>14499.5</v>
      </c>
      <c r="D180" s="182">
        <f t="shared" si="19"/>
        <v>23.147499999999997</v>
      </c>
      <c r="E180" s="182">
        <f t="shared" si="19"/>
        <v>277.77</v>
      </c>
      <c r="F180" s="117">
        <f>'Rate Calculations'!$F$64</f>
        <v>19.629439592226891</v>
      </c>
      <c r="G180" s="117">
        <f>(((C180/1000)-(2000/1000)))*'Rate Calculations'!$F$70</f>
        <v>80.017454437250933</v>
      </c>
      <c r="H180" s="224">
        <f t="shared" si="21"/>
        <v>99.646894029477821</v>
      </c>
      <c r="I180" s="128">
        <f t="shared" si="22"/>
        <v>5452.4694355328629</v>
      </c>
      <c r="J180" s="128">
        <f t="shared" si="24"/>
        <v>22226.448319035189</v>
      </c>
      <c r="K180" s="128">
        <f t="shared" si="20"/>
        <v>27678.91775456805</v>
      </c>
    </row>
    <row r="181" spans="1:11" x14ac:dyDescent="0.35">
      <c r="A181" s="165">
        <f>'Billing Data'!B23</f>
        <v>15000</v>
      </c>
      <c r="B181" s="165">
        <v>24999</v>
      </c>
      <c r="C181" s="182">
        <f t="shared" si="23"/>
        <v>19999.5</v>
      </c>
      <c r="D181" s="182">
        <f t="shared" si="19"/>
        <v>91.194583333333341</v>
      </c>
      <c r="E181" s="182">
        <f t="shared" si="19"/>
        <v>1094.335</v>
      </c>
      <c r="F181" s="117">
        <f>'Rate Calculations'!$F$64</f>
        <v>19.629439592226891</v>
      </c>
      <c r="G181" s="117">
        <f>(((C181/1000)-(15000/1000))*'Rate Calculations'!$F$71)+(((15000/1000)-(2000/1000))*'Rate Calculations'!$F$70)</f>
        <v>112.02603662525658</v>
      </c>
      <c r="H181" s="224">
        <f t="shared" si="21"/>
        <v>131.65547621748348</v>
      </c>
      <c r="I181" s="128">
        <f t="shared" si="22"/>
        <v>21481.182776159614</v>
      </c>
      <c r="J181" s="128">
        <f t="shared" si="24"/>
        <v>122594.01279030017</v>
      </c>
      <c r="K181" s="128">
        <f t="shared" si="20"/>
        <v>144075.19556645979</v>
      </c>
    </row>
    <row r="182" spans="1:11" x14ac:dyDescent="0.35">
      <c r="A182" s="165">
        <f>'Billing Data'!B24</f>
        <v>25000</v>
      </c>
      <c r="B182" s="165">
        <v>34999</v>
      </c>
      <c r="C182" s="182">
        <f t="shared" si="23"/>
        <v>29999.5</v>
      </c>
      <c r="D182" s="182">
        <f t="shared" si="19"/>
        <v>29.714166666666667</v>
      </c>
      <c r="E182" s="182">
        <f t="shared" si="19"/>
        <v>356.57</v>
      </c>
      <c r="F182" s="117">
        <f>'Rate Calculations'!$F$64</f>
        <v>19.629439592226891</v>
      </c>
      <c r="G182" s="117">
        <f>(((C182/1000)-(15000/1000))*'Rate Calculations'!$F$71)+(((15000/1000)-(2000/1000))*'Rate Calculations'!$F$70)</f>
        <v>169.64090841494885</v>
      </c>
      <c r="H182" s="224">
        <f t="shared" si="21"/>
        <v>189.27034800717576</v>
      </c>
      <c r="I182" s="128">
        <f t="shared" si="22"/>
        <v>6999.2692754003428</v>
      </c>
      <c r="J182" s="128">
        <f t="shared" si="24"/>
        <v>60488.858713518312</v>
      </c>
      <c r="K182" s="128">
        <f t="shared" si="20"/>
        <v>67488.127988918655</v>
      </c>
    </row>
    <row r="183" spans="1:11" x14ac:dyDescent="0.35">
      <c r="A183" s="165">
        <f>'Billing Data'!B25</f>
        <v>35000</v>
      </c>
      <c r="B183" s="165">
        <v>44999</v>
      </c>
      <c r="C183" s="182">
        <f t="shared" si="23"/>
        <v>39999.5</v>
      </c>
      <c r="D183" s="182">
        <f t="shared" si="19"/>
        <v>20.356666666666666</v>
      </c>
      <c r="E183" s="182">
        <f t="shared" si="19"/>
        <v>244.28</v>
      </c>
      <c r="F183" s="117">
        <f>'Rate Calculations'!$F$64</f>
        <v>19.629439592226891</v>
      </c>
      <c r="G183" s="117">
        <f>(((C183/1000)-(15000/1000))*'Rate Calculations'!$F$71)+(((15000/1000)-(2000/1000))*'Rate Calculations'!$F$70)</f>
        <v>227.2557802046411</v>
      </c>
      <c r="H183" s="224">
        <f t="shared" si="21"/>
        <v>246.885219796868</v>
      </c>
      <c r="I183" s="128">
        <f t="shared" si="22"/>
        <v>4795.0795035891852</v>
      </c>
      <c r="J183" s="128">
        <f t="shared" si="24"/>
        <v>55514.041988389727</v>
      </c>
      <c r="K183" s="128">
        <f t="shared" si="20"/>
        <v>60309.121491978913</v>
      </c>
    </row>
    <row r="184" spans="1:11" x14ac:dyDescent="0.35">
      <c r="A184" s="165">
        <f>'Billing Data'!B26</f>
        <v>45000</v>
      </c>
      <c r="B184" s="165">
        <v>54999</v>
      </c>
      <c r="C184" s="182">
        <f t="shared" si="23"/>
        <v>49999.5</v>
      </c>
      <c r="D184" s="182">
        <f t="shared" si="19"/>
        <v>13.133333333333333</v>
      </c>
      <c r="E184" s="182">
        <f t="shared" si="19"/>
        <v>157.6</v>
      </c>
      <c r="F184" s="117">
        <f>'Rate Calculations'!$F$64</f>
        <v>19.629439592226891</v>
      </c>
      <c r="G184" s="117">
        <f>(((C184/1000)-(15000/1000))*'Rate Calculations'!$F$71)+(((15000/1000)-(2000/1000))*'Rate Calculations'!$F$70)</f>
        <v>284.87065199433334</v>
      </c>
      <c r="H184" s="224">
        <f t="shared" si="21"/>
        <v>304.50009158656025</v>
      </c>
      <c r="I184" s="128">
        <f t="shared" si="22"/>
        <v>3093.599679734958</v>
      </c>
      <c r="J184" s="128">
        <f t="shared" si="24"/>
        <v>44895.614754306931</v>
      </c>
      <c r="K184" s="128">
        <f t="shared" si="20"/>
        <v>47989.214434041889</v>
      </c>
    </row>
    <row r="185" spans="1:11" x14ac:dyDescent="0.35">
      <c r="A185" s="165">
        <f>'Billing Data'!B27</f>
        <v>55000</v>
      </c>
      <c r="B185" s="165">
        <v>64999</v>
      </c>
      <c r="C185" s="182">
        <f t="shared" si="23"/>
        <v>59999.5</v>
      </c>
      <c r="D185" s="182">
        <f t="shared" ref="D185:E204" si="25">D27</f>
        <v>8.3725000000000005</v>
      </c>
      <c r="E185" s="182">
        <f t="shared" si="25"/>
        <v>100.47</v>
      </c>
      <c r="F185" s="117">
        <f>'Rate Calculations'!$F$64</f>
        <v>19.629439592226891</v>
      </c>
      <c r="G185" s="117">
        <f>(((C185/1000)-(15000/1000))*'Rate Calculations'!$F$71)+(((15000/1000)-(2000/1000))*'Rate Calculations'!$F$70)</f>
        <v>342.48552378402559</v>
      </c>
      <c r="H185" s="224">
        <f t="shared" si="21"/>
        <v>362.11496337625249</v>
      </c>
      <c r="I185" s="128">
        <f t="shared" si="22"/>
        <v>1972.1697958310358</v>
      </c>
      <c r="J185" s="128">
        <f t="shared" si="24"/>
        <v>34409.520574581053</v>
      </c>
      <c r="K185" s="128">
        <f t="shared" si="20"/>
        <v>36381.690370412085</v>
      </c>
    </row>
    <row r="186" spans="1:11" x14ac:dyDescent="0.35">
      <c r="A186" s="165">
        <f>'Billing Data'!B28</f>
        <v>65000</v>
      </c>
      <c r="B186" s="165">
        <v>74999</v>
      </c>
      <c r="C186" s="182">
        <f t="shared" si="23"/>
        <v>69999.5</v>
      </c>
      <c r="D186" s="182">
        <f t="shared" si="25"/>
        <v>6.2383333333333333</v>
      </c>
      <c r="E186" s="182">
        <f t="shared" si="25"/>
        <v>74.86</v>
      </c>
      <c r="F186" s="117">
        <f>'Rate Calculations'!$F$64</f>
        <v>19.629439592226891</v>
      </c>
      <c r="G186" s="117">
        <f>(((C186/1000)-(15000/1000))*'Rate Calculations'!$F$71)+(((15000/1000)-(2000/1000))*'Rate Calculations'!$F$70)</f>
        <v>400.10039557371783</v>
      </c>
      <c r="H186" s="224">
        <f t="shared" si="21"/>
        <v>419.72983516594473</v>
      </c>
      <c r="I186" s="128">
        <f t="shared" si="22"/>
        <v>1469.459847874105</v>
      </c>
      <c r="J186" s="128">
        <f t="shared" si="24"/>
        <v>29951.515612648516</v>
      </c>
      <c r="K186" s="128">
        <f t="shared" si="20"/>
        <v>31420.975460522623</v>
      </c>
    </row>
    <row r="187" spans="1:11" x14ac:dyDescent="0.35">
      <c r="A187" s="165">
        <f>'Billing Data'!B29</f>
        <v>75000</v>
      </c>
      <c r="B187" s="165">
        <v>84999</v>
      </c>
      <c r="C187" s="182">
        <f t="shared" si="23"/>
        <v>79999.5</v>
      </c>
      <c r="D187" s="182">
        <f t="shared" si="25"/>
        <v>3.3654166666666665</v>
      </c>
      <c r="E187" s="182">
        <f t="shared" si="25"/>
        <v>40.384999999999998</v>
      </c>
      <c r="F187" s="117">
        <f>'Rate Calculations'!$F$64</f>
        <v>19.629439592226891</v>
      </c>
      <c r="G187" s="117">
        <f>(((C187/1000)-(15000/1000))*'Rate Calculations'!$F$71)+(((15000/1000)-(2000/1000))*'Rate Calculations'!$F$70)</f>
        <v>457.71526736341008</v>
      </c>
      <c r="H187" s="224">
        <f t="shared" si="21"/>
        <v>477.34470695563698</v>
      </c>
      <c r="I187" s="128">
        <f t="shared" si="22"/>
        <v>792.73491793208291</v>
      </c>
      <c r="J187" s="128">
        <f t="shared" si="24"/>
        <v>18484.831072471316</v>
      </c>
      <c r="K187" s="128">
        <f t="shared" si="20"/>
        <v>19277.5659904034</v>
      </c>
    </row>
    <row r="188" spans="1:11" x14ac:dyDescent="0.35">
      <c r="A188" s="165">
        <f>'Billing Data'!B30</f>
        <v>85000</v>
      </c>
      <c r="B188" s="165">
        <v>94999</v>
      </c>
      <c r="C188" s="182">
        <f t="shared" si="23"/>
        <v>89999.5</v>
      </c>
      <c r="D188" s="182">
        <f t="shared" si="25"/>
        <v>2.7087500000000002</v>
      </c>
      <c r="E188" s="182">
        <f t="shared" si="25"/>
        <v>32.505000000000003</v>
      </c>
      <c r="F188" s="117">
        <f>'Rate Calculations'!$F$64</f>
        <v>19.629439592226891</v>
      </c>
      <c r="G188" s="117">
        <f>(((C188/1000)-(15000/1000))*'Rate Calculations'!$F$71)+(((15000/1000)-(2000/1000))*'Rate Calculations'!$F$70)</f>
        <v>515.33013915310244</v>
      </c>
      <c r="H188" s="224">
        <f t="shared" si="21"/>
        <v>534.95957874532928</v>
      </c>
      <c r="I188" s="128">
        <f t="shared" si="22"/>
        <v>638.05493394533516</v>
      </c>
      <c r="J188" s="128">
        <f t="shared" si="24"/>
        <v>16750.806173171597</v>
      </c>
      <c r="K188" s="128">
        <f t="shared" si="20"/>
        <v>17388.861107116933</v>
      </c>
    </row>
    <row r="189" spans="1:11" x14ac:dyDescent="0.35">
      <c r="A189" s="165">
        <f>'Billing Data'!B31</f>
        <v>95000</v>
      </c>
      <c r="B189" s="165">
        <v>104999</v>
      </c>
      <c r="C189" s="182">
        <f t="shared" si="23"/>
        <v>99999.5</v>
      </c>
      <c r="D189" s="182">
        <f t="shared" si="25"/>
        <v>2.2162500000000001</v>
      </c>
      <c r="E189" s="182">
        <f t="shared" si="25"/>
        <v>26.594999999999999</v>
      </c>
      <c r="F189" s="117">
        <f>'Rate Calculations'!$F$64</f>
        <v>19.629439592226891</v>
      </c>
      <c r="G189" s="117">
        <f>(((C189/1000)-(15000/1000))*'Rate Calculations'!$F$71)+(((15000/1000)-(2000/1000))*'Rate Calculations'!$F$70)</f>
        <v>572.94501094279462</v>
      </c>
      <c r="H189" s="224">
        <f t="shared" si="21"/>
        <v>592.57445053502147</v>
      </c>
      <c r="I189" s="128">
        <f t="shared" si="22"/>
        <v>522.0449459552741</v>
      </c>
      <c r="J189" s="128">
        <f t="shared" si="24"/>
        <v>15237.472566023622</v>
      </c>
      <c r="K189" s="128">
        <f t="shared" si="20"/>
        <v>15759.517511978896</v>
      </c>
    </row>
    <row r="190" spans="1:11" x14ac:dyDescent="0.35">
      <c r="A190" s="165">
        <f>'Billing Data'!B32</f>
        <v>105000</v>
      </c>
      <c r="B190" s="165">
        <v>114999</v>
      </c>
      <c r="C190" s="182">
        <f t="shared" si="23"/>
        <v>109999.5</v>
      </c>
      <c r="D190" s="182">
        <f t="shared" si="25"/>
        <v>2.2162500000000001</v>
      </c>
      <c r="E190" s="182">
        <f t="shared" si="25"/>
        <v>26.594999999999999</v>
      </c>
      <c r="F190" s="117">
        <f>'Rate Calculations'!$F$64</f>
        <v>19.629439592226891</v>
      </c>
      <c r="G190" s="117">
        <f>(((C190/1000)-(15000/1000))*'Rate Calculations'!$F$71)+(((15000/1000)-(2000/1000))*'Rate Calculations'!$F$70)</f>
        <v>630.55988273248693</v>
      </c>
      <c r="H190" s="224">
        <f t="shared" si="21"/>
        <v>650.18932232471377</v>
      </c>
      <c r="I190" s="128">
        <f t="shared" si="22"/>
        <v>522.0449459552741</v>
      </c>
      <c r="J190" s="128">
        <f t="shared" si="24"/>
        <v>16769.740081270487</v>
      </c>
      <c r="K190" s="128">
        <f t="shared" si="20"/>
        <v>17291.78502722576</v>
      </c>
    </row>
    <row r="191" spans="1:11" x14ac:dyDescent="0.35">
      <c r="A191" s="165">
        <f>'Billing Data'!B33</f>
        <v>115000</v>
      </c>
      <c r="B191" s="165">
        <v>124999</v>
      </c>
      <c r="C191" s="182">
        <f t="shared" si="23"/>
        <v>119999.5</v>
      </c>
      <c r="D191" s="182">
        <f t="shared" si="25"/>
        <v>1.8879166666666667</v>
      </c>
      <c r="E191" s="182">
        <f t="shared" si="25"/>
        <v>22.655000000000001</v>
      </c>
      <c r="F191" s="117">
        <f>'Rate Calculations'!$F$64</f>
        <v>19.629439592226891</v>
      </c>
      <c r="G191" s="117">
        <f>(((C191/1000)-(15000/1000))*'Rate Calculations'!$F$71)+(((15000/1000)-(2000/1000))*'Rate Calculations'!$F$70)</f>
        <v>688.17475452217911</v>
      </c>
      <c r="H191" s="224">
        <f t="shared" si="21"/>
        <v>707.80419411440596</v>
      </c>
      <c r="I191" s="128">
        <f t="shared" si="22"/>
        <v>444.70495396190023</v>
      </c>
      <c r="J191" s="128">
        <f t="shared" si="24"/>
        <v>15590.599063699969</v>
      </c>
      <c r="K191" s="128">
        <f t="shared" si="20"/>
        <v>16035.304017661869</v>
      </c>
    </row>
    <row r="192" spans="1:11" x14ac:dyDescent="0.35">
      <c r="A192" s="165">
        <f>'Billing Data'!B34</f>
        <v>125000</v>
      </c>
      <c r="B192" s="165">
        <v>134999</v>
      </c>
      <c r="C192" s="182">
        <f t="shared" si="23"/>
        <v>129999.5</v>
      </c>
      <c r="D192" s="182">
        <f t="shared" si="25"/>
        <v>1.4775</v>
      </c>
      <c r="E192" s="182">
        <f t="shared" si="25"/>
        <v>17.73</v>
      </c>
      <c r="F192" s="117">
        <f>'Rate Calculations'!$F$64</f>
        <v>19.629439592226891</v>
      </c>
      <c r="G192" s="117">
        <f>(((C192/1000)-(15000/1000))*'Rate Calculations'!$F$71)+(((15000/1000)-(2000/1000))*'Rate Calculations'!$F$70)</f>
        <v>745.78962631187153</v>
      </c>
      <c r="H192" s="224">
        <f t="shared" si="21"/>
        <v>765.41906590409837</v>
      </c>
      <c r="I192" s="128">
        <f t="shared" si="22"/>
        <v>348.02996397018279</v>
      </c>
      <c r="J192" s="128">
        <f t="shared" si="24"/>
        <v>13222.850074509483</v>
      </c>
      <c r="K192" s="128">
        <f t="shared" si="20"/>
        <v>13570.880038479665</v>
      </c>
    </row>
    <row r="193" spans="1:11" x14ac:dyDescent="0.35">
      <c r="A193" s="165">
        <f>'Billing Data'!B35</f>
        <v>135000</v>
      </c>
      <c r="B193" s="165">
        <v>144999</v>
      </c>
      <c r="C193" s="182">
        <f t="shared" si="23"/>
        <v>139999.5</v>
      </c>
      <c r="D193" s="182">
        <f t="shared" si="25"/>
        <v>1.8058333333333332</v>
      </c>
      <c r="E193" s="182">
        <f t="shared" si="25"/>
        <v>21.669999999999998</v>
      </c>
      <c r="F193" s="117">
        <f>'Rate Calculations'!$F$64</f>
        <v>19.629439592226891</v>
      </c>
      <c r="G193" s="117">
        <f>(((C193/1000)-(15000/1000))*'Rate Calculations'!$F$71)+(((15000/1000)-(2000/1000))*'Rate Calculations'!$F$70)</f>
        <v>803.40449810156372</v>
      </c>
      <c r="H193" s="224">
        <f t="shared" si="21"/>
        <v>823.03393769379056</v>
      </c>
      <c r="I193" s="128">
        <f t="shared" si="22"/>
        <v>425.36995596355672</v>
      </c>
      <c r="J193" s="128">
        <f t="shared" si="24"/>
        <v>17409.775473860886</v>
      </c>
      <c r="K193" s="128">
        <f t="shared" si="20"/>
        <v>17835.145429824443</v>
      </c>
    </row>
    <row r="194" spans="1:11" x14ac:dyDescent="0.35">
      <c r="A194" s="165">
        <f>'Billing Data'!B36</f>
        <v>145000</v>
      </c>
      <c r="B194" s="165">
        <v>154999</v>
      </c>
      <c r="C194" s="182">
        <f t="shared" si="23"/>
        <v>149999.5</v>
      </c>
      <c r="D194" s="182">
        <f t="shared" si="25"/>
        <v>1.6416666666666666</v>
      </c>
      <c r="E194" s="182">
        <f t="shared" si="25"/>
        <v>19.7</v>
      </c>
      <c r="F194" s="117">
        <f>'Rate Calculations'!$F$64</f>
        <v>19.629439592226891</v>
      </c>
      <c r="G194" s="117">
        <f>(((C194/1000)-(15000/1000))*'Rate Calculations'!$F$71)+(((15000/1000)-(2000/1000))*'Rate Calculations'!$F$70)</f>
        <v>861.01936989125602</v>
      </c>
      <c r="H194" s="224">
        <f t="shared" si="21"/>
        <v>880.64880948348286</v>
      </c>
      <c r="I194" s="128">
        <f t="shared" si="22"/>
        <v>386.69995996686976</v>
      </c>
      <c r="J194" s="128">
        <f t="shared" si="24"/>
        <v>16962.081586857745</v>
      </c>
      <c r="K194" s="128">
        <f t="shared" si="20"/>
        <v>17348.781546824615</v>
      </c>
    </row>
    <row r="195" spans="1:11" x14ac:dyDescent="0.35">
      <c r="A195" s="165">
        <f>'Billing Data'!B37</f>
        <v>155000</v>
      </c>
      <c r="B195" s="165">
        <v>164999</v>
      </c>
      <c r="C195" s="182">
        <f t="shared" si="23"/>
        <v>159999.5</v>
      </c>
      <c r="D195" s="182">
        <f t="shared" si="25"/>
        <v>0.98499999999999999</v>
      </c>
      <c r="E195" s="182">
        <f t="shared" si="25"/>
        <v>11.82</v>
      </c>
      <c r="F195" s="117">
        <f>'Rate Calculations'!$F$64</f>
        <v>19.629439592226891</v>
      </c>
      <c r="G195" s="117">
        <f>(((C195/1000)-(15000/1000))*'Rate Calculations'!$F$71)+(((15000/1000)-(2000/1000))*'Rate Calculations'!$F$70)</f>
        <v>918.63424168094821</v>
      </c>
      <c r="H195" s="224">
        <f t="shared" si="21"/>
        <v>938.26368127317505</v>
      </c>
      <c r="I195" s="128">
        <f t="shared" si="22"/>
        <v>232.01997598012187</v>
      </c>
      <c r="J195" s="128">
        <f t="shared" si="24"/>
        <v>10858.256736668807</v>
      </c>
      <c r="K195" s="128">
        <f t="shared" si="20"/>
        <v>11090.276712648929</v>
      </c>
    </row>
    <row r="196" spans="1:11" x14ac:dyDescent="0.35">
      <c r="A196" s="165">
        <f>'Billing Data'!B38</f>
        <v>165000</v>
      </c>
      <c r="B196" s="165">
        <v>174999</v>
      </c>
      <c r="C196" s="182">
        <f t="shared" si="23"/>
        <v>169999.5</v>
      </c>
      <c r="D196" s="182">
        <f t="shared" si="25"/>
        <v>1.0670833333333334</v>
      </c>
      <c r="E196" s="182">
        <f t="shared" si="25"/>
        <v>12.805</v>
      </c>
      <c r="F196" s="117">
        <f>'Rate Calculations'!$F$64</f>
        <v>19.629439592226891</v>
      </c>
      <c r="G196" s="117">
        <f>(((C196/1000)-(15000/1000))*'Rate Calculations'!$F$71)+(((15000/1000)-(2000/1000))*'Rate Calculations'!$F$70)</f>
        <v>976.24911347064051</v>
      </c>
      <c r="H196" s="224">
        <f t="shared" si="21"/>
        <v>995.87855306286735</v>
      </c>
      <c r="I196" s="128">
        <f t="shared" si="22"/>
        <v>251.35497397846532</v>
      </c>
      <c r="J196" s="128">
        <f t="shared" si="24"/>
        <v>12500.869897991552</v>
      </c>
      <c r="K196" s="128">
        <f t="shared" si="20"/>
        <v>12752.224871970016</v>
      </c>
    </row>
    <row r="197" spans="1:11" x14ac:dyDescent="0.35">
      <c r="A197" s="165">
        <f>'Billing Data'!B39</f>
        <v>175000</v>
      </c>
      <c r="B197" s="165">
        <v>184999</v>
      </c>
      <c r="C197" s="182">
        <f t="shared" si="23"/>
        <v>179999.5</v>
      </c>
      <c r="D197" s="182">
        <f t="shared" si="25"/>
        <v>0.98499999999999999</v>
      </c>
      <c r="E197" s="182">
        <f t="shared" si="25"/>
        <v>11.82</v>
      </c>
      <c r="F197" s="117">
        <f>'Rate Calculations'!$F$64</f>
        <v>19.629439592226891</v>
      </c>
      <c r="G197" s="117">
        <f>(((C197/1000)-(15000/1000))*'Rate Calculations'!$F$71)+(((15000/1000)-(2000/1000))*'Rate Calculations'!$F$70)</f>
        <v>1033.8639852603328</v>
      </c>
      <c r="H197" s="224">
        <f t="shared" si="21"/>
        <v>1053.4934248525597</v>
      </c>
      <c r="I197" s="128">
        <f t="shared" si="22"/>
        <v>232.01997598012187</v>
      </c>
      <c r="J197" s="128">
        <f t="shared" si="24"/>
        <v>12220.272305777135</v>
      </c>
      <c r="K197" s="128">
        <f t="shared" si="20"/>
        <v>12452.292281757256</v>
      </c>
    </row>
    <row r="198" spans="1:11" x14ac:dyDescent="0.35">
      <c r="A198" s="165">
        <f>'Billing Data'!B40</f>
        <v>185000</v>
      </c>
      <c r="B198" s="165">
        <v>194999</v>
      </c>
      <c r="C198" s="182">
        <f t="shared" si="23"/>
        <v>189999.5</v>
      </c>
      <c r="D198" s="182">
        <f t="shared" si="25"/>
        <v>0.8208333333333333</v>
      </c>
      <c r="E198" s="182">
        <f t="shared" si="25"/>
        <v>9.85</v>
      </c>
      <c r="F198" s="117">
        <f>'Rate Calculations'!$F$64</f>
        <v>19.629439592226891</v>
      </c>
      <c r="G198" s="117">
        <f>(((C198/1000)-(15000/1000))*'Rate Calculations'!$F$71)+(((15000/1000)-(2000/1000))*'Rate Calculations'!$F$70)</f>
        <v>1091.478857050025</v>
      </c>
      <c r="H198" s="224">
        <f t="shared" si="21"/>
        <v>1111.1082966422518</v>
      </c>
      <c r="I198" s="128">
        <f t="shared" si="22"/>
        <v>193.34997998343488</v>
      </c>
      <c r="J198" s="128">
        <f t="shared" si="24"/>
        <v>10751.066741942746</v>
      </c>
      <c r="K198" s="128">
        <f t="shared" si="20"/>
        <v>10944.416721926182</v>
      </c>
    </row>
    <row r="199" spans="1:11" x14ac:dyDescent="0.35">
      <c r="A199" s="165">
        <f>'Billing Data'!B41</f>
        <v>195000</v>
      </c>
      <c r="B199" s="165">
        <v>204999</v>
      </c>
      <c r="C199" s="182">
        <f t="shared" si="23"/>
        <v>199999.5</v>
      </c>
      <c r="D199" s="182">
        <f t="shared" si="25"/>
        <v>0.41041666666666665</v>
      </c>
      <c r="E199" s="182">
        <f t="shared" si="25"/>
        <v>4.9249999999999998</v>
      </c>
      <c r="F199" s="117">
        <f>'Rate Calculations'!$F$64</f>
        <v>19.629439592226891</v>
      </c>
      <c r="G199" s="117">
        <f>(((C199/1000)-(15000/1000))*'Rate Calculations'!$F$71)+(((15000/1000)-(2000/1000))*'Rate Calculations'!$F$70)</f>
        <v>1149.0937288397174</v>
      </c>
      <c r="H199" s="224">
        <f t="shared" si="21"/>
        <v>1168.7231684319443</v>
      </c>
      <c r="I199" s="128">
        <f t="shared" si="22"/>
        <v>96.674989991717439</v>
      </c>
      <c r="J199" s="128">
        <f t="shared" si="24"/>
        <v>5659.2866145356084</v>
      </c>
      <c r="K199" s="128">
        <f t="shared" si="20"/>
        <v>5755.961604527326</v>
      </c>
    </row>
    <row r="200" spans="1:11" x14ac:dyDescent="0.35">
      <c r="A200" s="165">
        <f>'Billing Data'!B42</f>
        <v>205000</v>
      </c>
      <c r="B200" s="165">
        <v>214999</v>
      </c>
      <c r="C200" s="182">
        <f t="shared" si="23"/>
        <v>209999.5</v>
      </c>
      <c r="D200" s="182">
        <f t="shared" si="25"/>
        <v>0.8208333333333333</v>
      </c>
      <c r="E200" s="182">
        <f t="shared" si="25"/>
        <v>9.85</v>
      </c>
      <c r="F200" s="117">
        <f>'Rate Calculations'!$F$64</f>
        <v>19.629439592226891</v>
      </c>
      <c r="G200" s="117">
        <f>(((C200/1000)-(15000/1000))*'Rate Calculations'!$F$71)+(((15000/1000)-(2000/1000))*'Rate Calculations'!$F$70)</f>
        <v>1206.7086006294096</v>
      </c>
      <c r="H200" s="224">
        <f t="shared" si="21"/>
        <v>1226.3380402216364</v>
      </c>
      <c r="I200" s="128">
        <f t="shared" si="22"/>
        <v>193.34997998343488</v>
      </c>
      <c r="J200" s="128">
        <f t="shared" si="24"/>
        <v>11886.079716199683</v>
      </c>
      <c r="K200" s="128">
        <f t="shared" si="20"/>
        <v>12079.429696183119</v>
      </c>
    </row>
    <row r="201" spans="1:11" x14ac:dyDescent="0.35">
      <c r="A201" s="165">
        <f>'Billing Data'!B43</f>
        <v>215000</v>
      </c>
      <c r="B201" s="165">
        <v>224999</v>
      </c>
      <c r="C201" s="182">
        <f t="shared" si="23"/>
        <v>219999.5</v>
      </c>
      <c r="D201" s="182">
        <f t="shared" si="25"/>
        <v>0.32833333333333331</v>
      </c>
      <c r="E201" s="182">
        <f t="shared" si="25"/>
        <v>3.94</v>
      </c>
      <c r="F201" s="117">
        <f>'Rate Calculations'!$F$64</f>
        <v>19.629439592226891</v>
      </c>
      <c r="G201" s="117">
        <f>(((C201/1000)-(15000/1000))*'Rate Calculations'!$F$71)+(((15000/1000)-(2000/1000))*'Rate Calculations'!$F$70)</f>
        <v>1264.323472419102</v>
      </c>
      <c r="H201" s="224">
        <f t="shared" si="21"/>
        <v>1283.9529120113289</v>
      </c>
      <c r="I201" s="128">
        <f t="shared" si="22"/>
        <v>77.339991993373957</v>
      </c>
      <c r="J201" s="128">
        <f t="shared" si="24"/>
        <v>4981.4344813312618</v>
      </c>
      <c r="K201" s="128">
        <f t="shared" si="20"/>
        <v>5058.7744733246354</v>
      </c>
    </row>
    <row r="202" spans="1:11" x14ac:dyDescent="0.35">
      <c r="A202" s="165">
        <f>'Billing Data'!B44</f>
        <v>225000</v>
      </c>
      <c r="B202" s="165">
        <v>234999</v>
      </c>
      <c r="C202" s="182">
        <f t="shared" si="23"/>
        <v>229999.5</v>
      </c>
      <c r="D202" s="182">
        <f t="shared" si="25"/>
        <v>0.41041666666666665</v>
      </c>
      <c r="E202" s="182">
        <f t="shared" si="25"/>
        <v>4.9249999999999998</v>
      </c>
      <c r="F202" s="117">
        <f>'Rate Calculations'!$F$64</f>
        <v>19.629439592226891</v>
      </c>
      <c r="G202" s="117">
        <f>(((C202/1000)-(15000/1000))*'Rate Calculations'!$F$71)+(((15000/1000)-(2000/1000))*'Rate Calculations'!$F$70)</f>
        <v>1321.9383442087942</v>
      </c>
      <c r="H202" s="224">
        <f t="shared" si="21"/>
        <v>1341.5677838010211</v>
      </c>
      <c r="I202" s="128">
        <f t="shared" si="22"/>
        <v>96.674989991717439</v>
      </c>
      <c r="J202" s="128">
        <f t="shared" si="24"/>
        <v>6510.5463452283111</v>
      </c>
      <c r="K202" s="128">
        <f t="shared" si="20"/>
        <v>6607.2213352200288</v>
      </c>
    </row>
    <row r="203" spans="1:11" x14ac:dyDescent="0.35">
      <c r="A203" s="165">
        <f>'Billing Data'!B45</f>
        <v>235000</v>
      </c>
      <c r="B203" s="165">
        <v>244999</v>
      </c>
      <c r="C203" s="182">
        <f t="shared" si="23"/>
        <v>239999.5</v>
      </c>
      <c r="D203" s="182">
        <f t="shared" si="25"/>
        <v>0.41041666666666665</v>
      </c>
      <c r="E203" s="182">
        <f t="shared" si="25"/>
        <v>4.9249999999999998</v>
      </c>
      <c r="F203" s="117">
        <f>'Rate Calculations'!$F$64</f>
        <v>19.629439592226891</v>
      </c>
      <c r="G203" s="117">
        <f>(((C203/1000)-(15000/1000))*'Rate Calculations'!$F$71)+(((15000/1000)-(2000/1000))*'Rate Calculations'!$F$70)</f>
        <v>1379.5532159984864</v>
      </c>
      <c r="H203" s="224">
        <f t="shared" si="21"/>
        <v>1399.1826555907132</v>
      </c>
      <c r="I203" s="128">
        <f t="shared" si="22"/>
        <v>96.674989991717439</v>
      </c>
      <c r="J203" s="128">
        <f t="shared" si="24"/>
        <v>6794.2995887925454</v>
      </c>
      <c r="K203" s="128">
        <f t="shared" si="20"/>
        <v>6890.974578784263</v>
      </c>
    </row>
    <row r="204" spans="1:11" x14ac:dyDescent="0.35">
      <c r="A204" s="165">
        <f>'Billing Data'!B46</f>
        <v>245000</v>
      </c>
      <c r="B204" s="165">
        <v>254999</v>
      </c>
      <c r="C204" s="182">
        <f t="shared" si="23"/>
        <v>249999.5</v>
      </c>
      <c r="D204" s="182">
        <f t="shared" si="25"/>
        <v>0.32833333333333331</v>
      </c>
      <c r="E204" s="182">
        <f t="shared" si="25"/>
        <v>3.94</v>
      </c>
      <c r="F204" s="117">
        <f>'Rate Calculations'!$F$64</f>
        <v>19.629439592226891</v>
      </c>
      <c r="G204" s="117">
        <f>(((C204/1000)-(15000/1000))*'Rate Calculations'!$F$71)+(((15000/1000)-(2000/1000))*'Rate Calculations'!$F$70)</f>
        <v>1437.1680877881788</v>
      </c>
      <c r="H204" s="224">
        <f t="shared" si="21"/>
        <v>1456.7975273804057</v>
      </c>
      <c r="I204" s="128">
        <f t="shared" si="22"/>
        <v>77.339991993373957</v>
      </c>
      <c r="J204" s="128">
        <f t="shared" si="24"/>
        <v>5662.4422658854246</v>
      </c>
      <c r="K204" s="128">
        <f t="shared" si="20"/>
        <v>5739.7822578787982</v>
      </c>
    </row>
    <row r="205" spans="1:11" x14ac:dyDescent="0.35">
      <c r="A205" s="165">
        <f>'Billing Data'!B47</f>
        <v>255000</v>
      </c>
      <c r="B205" s="165">
        <v>264999</v>
      </c>
      <c r="C205" s="182">
        <f t="shared" si="23"/>
        <v>259999.5</v>
      </c>
      <c r="D205" s="182">
        <f t="shared" ref="D205:E224" si="26">D47</f>
        <v>0.16416666666666666</v>
      </c>
      <c r="E205" s="182">
        <f t="shared" si="26"/>
        <v>1.97</v>
      </c>
      <c r="F205" s="117">
        <f>'Rate Calculations'!$F$64</f>
        <v>19.629439592226891</v>
      </c>
      <c r="G205" s="117">
        <f>(((C205/1000)-(15000/1000))*'Rate Calculations'!$F$71)+(((15000/1000)-(2000/1000))*'Rate Calculations'!$F$70)</f>
        <v>1494.782959577871</v>
      </c>
      <c r="H205" s="224">
        <f t="shared" si="21"/>
        <v>1514.4123991700978</v>
      </c>
      <c r="I205" s="128">
        <f t="shared" si="22"/>
        <v>38.669995996686978</v>
      </c>
      <c r="J205" s="128">
        <f t="shared" si="24"/>
        <v>2944.7224303684056</v>
      </c>
      <c r="K205" s="128">
        <f t="shared" si="20"/>
        <v>2983.3924263650924</v>
      </c>
    </row>
    <row r="206" spans="1:11" x14ac:dyDescent="0.35">
      <c r="A206" s="165">
        <f>'Billing Data'!B48</f>
        <v>265000</v>
      </c>
      <c r="B206" s="165">
        <v>274999</v>
      </c>
      <c r="C206" s="182">
        <f t="shared" si="23"/>
        <v>269999.5</v>
      </c>
      <c r="D206" s="182">
        <f t="shared" si="26"/>
        <v>0.32833333333333331</v>
      </c>
      <c r="E206" s="182">
        <f t="shared" si="26"/>
        <v>3.94</v>
      </c>
      <c r="F206" s="117">
        <f>'Rate Calculations'!$F$64</f>
        <v>19.629439592226891</v>
      </c>
      <c r="G206" s="117">
        <f>(((C206/1000)-(15000/1000))*'Rate Calculations'!$F$71)+(((15000/1000)-(2000/1000))*'Rate Calculations'!$F$70)</f>
        <v>1552.3978313675632</v>
      </c>
      <c r="H206" s="224">
        <f t="shared" si="21"/>
        <v>1572.02727095979</v>
      </c>
      <c r="I206" s="128">
        <f t="shared" si="22"/>
        <v>77.339991993373957</v>
      </c>
      <c r="J206" s="128">
        <f t="shared" si="24"/>
        <v>6116.4474555881989</v>
      </c>
      <c r="K206" s="128">
        <f t="shared" si="20"/>
        <v>6193.7874475815725</v>
      </c>
    </row>
    <row r="207" spans="1:11" x14ac:dyDescent="0.35">
      <c r="A207" s="165">
        <f>'Billing Data'!B49</f>
        <v>275000</v>
      </c>
      <c r="B207" s="165">
        <v>284999</v>
      </c>
      <c r="C207" s="182">
        <f t="shared" si="23"/>
        <v>279999.5</v>
      </c>
      <c r="D207" s="182">
        <f t="shared" si="26"/>
        <v>0.65666666666666662</v>
      </c>
      <c r="E207" s="182">
        <f t="shared" si="26"/>
        <v>7.88</v>
      </c>
      <c r="F207" s="117">
        <f>'Rate Calculations'!$F$64</f>
        <v>19.629439592226891</v>
      </c>
      <c r="G207" s="117">
        <f>(((C207/1000)-(15000/1000))*'Rate Calculations'!$F$71)+(((15000/1000)-(2000/1000))*'Rate Calculations'!$F$70)</f>
        <v>1610.0127031572554</v>
      </c>
      <c r="H207" s="224">
        <f t="shared" si="21"/>
        <v>1629.6421427494822</v>
      </c>
      <c r="I207" s="128">
        <f t="shared" si="22"/>
        <v>154.67998398674791</v>
      </c>
      <c r="J207" s="128">
        <f t="shared" si="24"/>
        <v>12686.900100879173</v>
      </c>
      <c r="K207" s="128">
        <f t="shared" si="20"/>
        <v>12841.58008486592</v>
      </c>
    </row>
    <row r="208" spans="1:11" x14ac:dyDescent="0.35">
      <c r="A208" s="165">
        <f>'Billing Data'!B50</f>
        <v>285000</v>
      </c>
      <c r="B208" s="165">
        <v>294999</v>
      </c>
      <c r="C208" s="182">
        <f t="shared" si="23"/>
        <v>289999.5</v>
      </c>
      <c r="D208" s="182">
        <f t="shared" si="26"/>
        <v>0.41041666666666665</v>
      </c>
      <c r="E208" s="182">
        <f t="shared" si="26"/>
        <v>4.9249999999999998</v>
      </c>
      <c r="F208" s="117">
        <f>'Rate Calculations'!$F$64</f>
        <v>19.629439592226891</v>
      </c>
      <c r="G208" s="117">
        <f>(((C208/1000)-(15000/1000))*'Rate Calculations'!$F$71)+(((15000/1000)-(2000/1000))*'Rate Calculations'!$F$70)</f>
        <v>1667.6275749469478</v>
      </c>
      <c r="H208" s="224">
        <f t="shared" si="21"/>
        <v>1687.2570145391746</v>
      </c>
      <c r="I208" s="128">
        <f t="shared" si="22"/>
        <v>96.674989991717439</v>
      </c>
      <c r="J208" s="128">
        <f t="shared" si="24"/>
        <v>8213.0658066137185</v>
      </c>
      <c r="K208" s="128">
        <f t="shared" si="20"/>
        <v>8309.7407966054361</v>
      </c>
    </row>
    <row r="209" spans="1:11" x14ac:dyDescent="0.35">
      <c r="A209" s="165">
        <f>'Billing Data'!B51</f>
        <v>295000</v>
      </c>
      <c r="B209" s="165">
        <v>304999</v>
      </c>
      <c r="C209" s="182">
        <f t="shared" si="23"/>
        <v>299999.5</v>
      </c>
      <c r="D209" s="182">
        <f t="shared" si="26"/>
        <v>0.41041666666666665</v>
      </c>
      <c r="E209" s="182">
        <f t="shared" si="26"/>
        <v>4.9249999999999998</v>
      </c>
      <c r="F209" s="117">
        <f>'Rate Calculations'!$F$64</f>
        <v>19.629439592226891</v>
      </c>
      <c r="G209" s="117">
        <f>(((C209/1000)-(15000/1000))*'Rate Calculations'!$F$71)+(((15000/1000)-(2000/1000))*'Rate Calculations'!$F$70)</f>
        <v>1725.24244673664</v>
      </c>
      <c r="H209" s="224">
        <f t="shared" si="21"/>
        <v>1744.8718863288668</v>
      </c>
      <c r="I209" s="128">
        <f t="shared" si="22"/>
        <v>96.674989991717439</v>
      </c>
      <c r="J209" s="128">
        <f t="shared" si="24"/>
        <v>8496.8190501779518</v>
      </c>
      <c r="K209" s="128">
        <f t="shared" si="20"/>
        <v>8593.4940401696695</v>
      </c>
    </row>
    <row r="210" spans="1:11" x14ac:dyDescent="0.35">
      <c r="A210" s="165">
        <f>'Billing Data'!B52</f>
        <v>305000</v>
      </c>
      <c r="B210" s="165">
        <v>314999</v>
      </c>
      <c r="C210" s="182">
        <f t="shared" si="23"/>
        <v>309999.5</v>
      </c>
      <c r="D210" s="182">
        <f t="shared" si="26"/>
        <v>0.57458333333333333</v>
      </c>
      <c r="E210" s="182">
        <f t="shared" si="26"/>
        <v>6.8949999999999996</v>
      </c>
      <c r="F210" s="117">
        <f>'Rate Calculations'!$F$64</f>
        <v>19.629439592226891</v>
      </c>
      <c r="G210" s="117">
        <f>(((C210/1000)-(15000/1000))*'Rate Calculations'!$F$71)+(((15000/1000)-(2000/1000))*'Rate Calculations'!$F$70)</f>
        <v>1782.8573185263322</v>
      </c>
      <c r="H210" s="224">
        <f t="shared" si="21"/>
        <v>1802.486758118559</v>
      </c>
      <c r="I210" s="128">
        <f t="shared" si="22"/>
        <v>135.3449859884044</v>
      </c>
      <c r="J210" s="128">
        <f t="shared" si="24"/>
        <v>12292.801211239059</v>
      </c>
      <c r="K210" s="128">
        <f t="shared" si="20"/>
        <v>12428.146197227463</v>
      </c>
    </row>
    <row r="211" spans="1:11" x14ac:dyDescent="0.35">
      <c r="A211" s="165">
        <f>'Billing Data'!B53</f>
        <v>315000</v>
      </c>
      <c r="B211" s="165">
        <v>324999</v>
      </c>
      <c r="C211" s="182">
        <f t="shared" si="23"/>
        <v>319999.5</v>
      </c>
      <c r="D211" s="182">
        <f t="shared" si="26"/>
        <v>0.24625</v>
      </c>
      <c r="E211" s="182">
        <f t="shared" si="26"/>
        <v>2.9550000000000001</v>
      </c>
      <c r="F211" s="117">
        <f>'Rate Calculations'!$F$64</f>
        <v>19.629439592226891</v>
      </c>
      <c r="G211" s="117">
        <f>(((C211/1000)-(15000/1000))*'Rate Calculations'!$F$71)+(((15000/1000)-(2000/1000))*'Rate Calculations'!$F$70)</f>
        <v>1840.4721903160246</v>
      </c>
      <c r="H211" s="224">
        <f t="shared" si="21"/>
        <v>1860.1016299082514</v>
      </c>
      <c r="I211" s="128">
        <f t="shared" si="22"/>
        <v>58.004993995030468</v>
      </c>
      <c r="J211" s="128">
        <f t="shared" si="24"/>
        <v>5438.5953223838524</v>
      </c>
      <c r="K211" s="128">
        <f t="shared" si="20"/>
        <v>5496.6003163788828</v>
      </c>
    </row>
    <row r="212" spans="1:11" x14ac:dyDescent="0.35">
      <c r="A212" s="165">
        <f>'Billing Data'!B54</f>
        <v>325000</v>
      </c>
      <c r="B212" s="165">
        <v>334999</v>
      </c>
      <c r="C212" s="182">
        <f t="shared" si="23"/>
        <v>329999.5</v>
      </c>
      <c r="D212" s="182">
        <f t="shared" si="26"/>
        <v>0.57458333333333333</v>
      </c>
      <c r="E212" s="182">
        <f t="shared" si="26"/>
        <v>6.8949999999999996</v>
      </c>
      <c r="F212" s="117">
        <f>'Rate Calculations'!$F$64</f>
        <v>19.629439592226891</v>
      </c>
      <c r="G212" s="117">
        <f>(((C212/1000)-(15000/1000))*'Rate Calculations'!$F$71)+(((15000/1000)-(2000/1000))*'Rate Calculations'!$F$70)</f>
        <v>1898.0870621057168</v>
      </c>
      <c r="H212" s="224">
        <f t="shared" si="21"/>
        <v>1917.7165016979436</v>
      </c>
      <c r="I212" s="128">
        <f t="shared" si="22"/>
        <v>135.3449859884044</v>
      </c>
      <c r="J212" s="128">
        <f t="shared" si="24"/>
        <v>13087.310293218916</v>
      </c>
      <c r="K212" s="128">
        <f t="shared" si="20"/>
        <v>13222.65527920732</v>
      </c>
    </row>
    <row r="213" spans="1:11" x14ac:dyDescent="0.35">
      <c r="A213" s="165">
        <f>'Billing Data'!B55</f>
        <v>335000</v>
      </c>
      <c r="B213" s="165">
        <v>344999</v>
      </c>
      <c r="C213" s="182">
        <f t="shared" si="23"/>
        <v>339999.5</v>
      </c>
      <c r="D213" s="182">
        <f t="shared" si="26"/>
        <v>0.32833333333333331</v>
      </c>
      <c r="E213" s="182">
        <f t="shared" si="26"/>
        <v>3.94</v>
      </c>
      <c r="F213" s="117">
        <f>'Rate Calculations'!$F$64</f>
        <v>19.629439592226891</v>
      </c>
      <c r="G213" s="117">
        <f>(((C213/1000)-(15000/1000))*'Rate Calculations'!$F$71)+(((15000/1000)-(2000/1000))*'Rate Calculations'!$F$70)</f>
        <v>1955.701933895409</v>
      </c>
      <c r="H213" s="224">
        <f t="shared" si="21"/>
        <v>1975.3313734876358</v>
      </c>
      <c r="I213" s="128">
        <f t="shared" si="22"/>
        <v>77.339991993373957</v>
      </c>
      <c r="J213" s="128">
        <f t="shared" si="24"/>
        <v>7705.465619547911</v>
      </c>
      <c r="K213" s="128">
        <f t="shared" si="20"/>
        <v>7782.8056115412846</v>
      </c>
    </row>
    <row r="214" spans="1:11" x14ac:dyDescent="0.35">
      <c r="A214" s="165">
        <f>'Billing Data'!B56</f>
        <v>345000</v>
      </c>
      <c r="B214" s="165">
        <v>354999</v>
      </c>
      <c r="C214" s="182">
        <f t="shared" si="23"/>
        <v>349999.5</v>
      </c>
      <c r="D214" s="182">
        <f t="shared" si="26"/>
        <v>0</v>
      </c>
      <c r="E214" s="182">
        <f t="shared" si="26"/>
        <v>0</v>
      </c>
      <c r="F214" s="117">
        <f>'Rate Calculations'!$F$64</f>
        <v>19.629439592226891</v>
      </c>
      <c r="G214" s="117">
        <f>(((C214/1000)-(15000/1000))*'Rate Calculations'!$F$71)+(((15000/1000)-(2000/1000))*'Rate Calculations'!$F$70)</f>
        <v>2013.3168056851014</v>
      </c>
      <c r="H214" s="224">
        <f t="shared" si="21"/>
        <v>2032.9462452773282</v>
      </c>
      <c r="I214" s="128">
        <f t="shared" si="22"/>
        <v>0</v>
      </c>
      <c r="J214" s="128">
        <f t="shared" si="24"/>
        <v>0</v>
      </c>
      <c r="K214" s="128">
        <f t="shared" si="20"/>
        <v>0</v>
      </c>
    </row>
    <row r="215" spans="1:11" x14ac:dyDescent="0.35">
      <c r="A215" s="165">
        <f>'Billing Data'!B57</f>
        <v>355000</v>
      </c>
      <c r="B215" s="165">
        <v>374999</v>
      </c>
      <c r="C215" s="182">
        <f t="shared" si="23"/>
        <v>364999.5</v>
      </c>
      <c r="D215" s="182">
        <f t="shared" si="26"/>
        <v>0.32833333333333331</v>
      </c>
      <c r="E215" s="182">
        <f t="shared" si="26"/>
        <v>3.94</v>
      </c>
      <c r="F215" s="117">
        <f>'Rate Calculations'!$F$64</f>
        <v>19.629439592226891</v>
      </c>
      <c r="G215" s="117">
        <f>(((C215/1000)-(15000/1000))*'Rate Calculations'!$F$71)+(((15000/1000)-(2000/1000))*'Rate Calculations'!$F$70)</f>
        <v>2099.7391133696397</v>
      </c>
      <c r="H215" s="224">
        <f t="shared" si="21"/>
        <v>2119.3685529618665</v>
      </c>
      <c r="I215" s="128">
        <f t="shared" si="22"/>
        <v>77.339991993373957</v>
      </c>
      <c r="J215" s="128">
        <f t="shared" si="24"/>
        <v>8272.9721066763796</v>
      </c>
      <c r="K215" s="128">
        <f t="shared" si="20"/>
        <v>8350.3120986697541</v>
      </c>
    </row>
    <row r="216" spans="1:11" x14ac:dyDescent="0.35">
      <c r="A216" s="165">
        <f>'Billing Data'!B58</f>
        <v>375000</v>
      </c>
      <c r="B216" s="165">
        <v>384999</v>
      </c>
      <c r="C216" s="182">
        <f t="shared" si="23"/>
        <v>379999.5</v>
      </c>
      <c r="D216" s="182">
        <f t="shared" si="26"/>
        <v>0.16416666666666666</v>
      </c>
      <c r="E216" s="182">
        <f t="shared" si="26"/>
        <v>1.97</v>
      </c>
      <c r="F216" s="117">
        <f>'Rate Calculations'!$F$64</f>
        <v>19.629439592226891</v>
      </c>
      <c r="G216" s="117">
        <f>(((C216/1000)-(15000/1000))*'Rate Calculations'!$F$71)+(((15000/1000)-(2000/1000))*'Rate Calculations'!$F$70)</f>
        <v>2186.1614210541779</v>
      </c>
      <c r="H216" s="224">
        <f t="shared" si="21"/>
        <v>2205.7908606464048</v>
      </c>
      <c r="I216" s="128">
        <f t="shared" si="22"/>
        <v>38.669995996686978</v>
      </c>
      <c r="J216" s="128">
        <f t="shared" si="24"/>
        <v>4306.7379994767307</v>
      </c>
      <c r="K216" s="128">
        <f t="shared" si="20"/>
        <v>4345.4079954734179</v>
      </c>
    </row>
    <row r="217" spans="1:11" x14ac:dyDescent="0.35">
      <c r="A217" s="165">
        <f>'Billing Data'!B59</f>
        <v>385000</v>
      </c>
      <c r="B217" s="165">
        <v>404999</v>
      </c>
      <c r="C217" s="182">
        <f t="shared" si="23"/>
        <v>394999.5</v>
      </c>
      <c r="D217" s="182">
        <f t="shared" si="26"/>
        <v>0.24625</v>
      </c>
      <c r="E217" s="182">
        <f t="shared" si="26"/>
        <v>2.9550000000000001</v>
      </c>
      <c r="F217" s="117">
        <f>'Rate Calculations'!$F$64</f>
        <v>19.629439592226891</v>
      </c>
      <c r="G217" s="117">
        <f>(((C217/1000)-(15000/1000))*'Rate Calculations'!$F$71)+(((15000/1000)-(2000/1000))*'Rate Calculations'!$F$70)</f>
        <v>2272.5837287387167</v>
      </c>
      <c r="H217" s="224">
        <f t="shared" si="21"/>
        <v>2292.2131683309435</v>
      </c>
      <c r="I217" s="128">
        <f t="shared" si="22"/>
        <v>58.004993995030468</v>
      </c>
      <c r="J217" s="128">
        <f t="shared" si="24"/>
        <v>6715.4849184229079</v>
      </c>
      <c r="K217" s="128">
        <f t="shared" si="20"/>
        <v>6773.4899124179383</v>
      </c>
    </row>
    <row r="218" spans="1:11" x14ac:dyDescent="0.35">
      <c r="A218" s="165">
        <f>'Billing Data'!B60</f>
        <v>405000</v>
      </c>
      <c r="B218" s="165">
        <v>424999</v>
      </c>
      <c r="C218" s="182">
        <f t="shared" si="23"/>
        <v>414999.5</v>
      </c>
      <c r="D218" s="182">
        <f t="shared" si="26"/>
        <v>8.2083333333333328E-2</v>
      </c>
      <c r="E218" s="182">
        <f t="shared" si="26"/>
        <v>0.98499999999999999</v>
      </c>
      <c r="F218" s="117">
        <f>'Rate Calculations'!$F$64</f>
        <v>19.629439592226891</v>
      </c>
      <c r="G218" s="117">
        <f>(((C218/1000)-(15000/1000))*'Rate Calculations'!$F$71)+(((15000/1000)-(2000/1000))*'Rate Calculations'!$F$70)</f>
        <v>2387.813472318101</v>
      </c>
      <c r="H218" s="224">
        <f t="shared" si="21"/>
        <v>2407.4429119103279</v>
      </c>
      <c r="I218" s="128">
        <f t="shared" si="22"/>
        <v>19.334997998343489</v>
      </c>
      <c r="J218" s="128">
        <f t="shared" si="24"/>
        <v>2351.9962702333296</v>
      </c>
      <c r="K218" s="128">
        <f t="shared" si="20"/>
        <v>2371.3312682316732</v>
      </c>
    </row>
    <row r="219" spans="1:11" x14ac:dyDescent="0.35">
      <c r="A219" s="165">
        <f>'Billing Data'!B61</f>
        <v>425000</v>
      </c>
      <c r="B219" s="165">
        <v>464999</v>
      </c>
      <c r="C219" s="182">
        <f t="shared" si="23"/>
        <v>444999.5</v>
      </c>
      <c r="D219" s="182">
        <f t="shared" si="26"/>
        <v>0.41041666666666665</v>
      </c>
      <c r="E219" s="182">
        <f t="shared" si="26"/>
        <v>4.9249999999999998</v>
      </c>
      <c r="F219" s="117">
        <f>'Rate Calculations'!$F$64</f>
        <v>19.629439592226891</v>
      </c>
      <c r="G219" s="117">
        <f>(((C219/1000)-(15000/1000))*'Rate Calculations'!$F$71)+(((15000/1000)-(2000/1000))*'Rate Calculations'!$F$70)</f>
        <v>2560.6580876871776</v>
      </c>
      <c r="H219" s="224">
        <f t="shared" si="21"/>
        <v>2580.2875272794045</v>
      </c>
      <c r="I219" s="128">
        <f t="shared" si="22"/>
        <v>96.674989991717439</v>
      </c>
      <c r="J219" s="128">
        <f t="shared" si="24"/>
        <v>12611.241081859349</v>
      </c>
      <c r="K219" s="128">
        <f t="shared" si="20"/>
        <v>12707.916071851067</v>
      </c>
    </row>
    <row r="220" spans="1:11" x14ac:dyDescent="0.35">
      <c r="A220" s="165">
        <f>'Billing Data'!B62</f>
        <v>465000</v>
      </c>
      <c r="B220" s="165">
        <v>624999</v>
      </c>
      <c r="C220" s="182">
        <f t="shared" si="23"/>
        <v>544999.5</v>
      </c>
      <c r="D220" s="182">
        <f t="shared" si="26"/>
        <v>1.0670833333333334</v>
      </c>
      <c r="E220" s="182">
        <f t="shared" si="26"/>
        <v>12.805</v>
      </c>
      <c r="F220" s="117">
        <f>'Rate Calculations'!$F$64</f>
        <v>19.629439592226891</v>
      </c>
      <c r="G220" s="117">
        <f>(((C220/1000)-(15000/1000))*'Rate Calculations'!$F$71)+(((15000/1000)-(2000/1000))*'Rate Calculations'!$F$70)</f>
        <v>3136.8068055841004</v>
      </c>
      <c r="H220" s="224">
        <f t="shared" si="21"/>
        <v>3156.4362451763272</v>
      </c>
      <c r="I220" s="128">
        <f t="shared" si="22"/>
        <v>251.35497397846532</v>
      </c>
      <c r="J220" s="128">
        <f t="shared" si="24"/>
        <v>40166.811145504405</v>
      </c>
      <c r="K220" s="128">
        <f t="shared" si="20"/>
        <v>40418.16611948287</v>
      </c>
    </row>
    <row r="221" spans="1:11" x14ac:dyDescent="0.35">
      <c r="A221" s="165">
        <f>'Billing Data'!B63</f>
        <v>625000</v>
      </c>
      <c r="B221" s="165">
        <v>654999</v>
      </c>
      <c r="C221" s="182">
        <f t="shared" si="23"/>
        <v>639999.5</v>
      </c>
      <c r="D221" s="182">
        <f t="shared" si="26"/>
        <v>0.16416666666666666</v>
      </c>
      <c r="E221" s="182">
        <f t="shared" si="26"/>
        <v>1.97</v>
      </c>
      <c r="F221" s="117">
        <f>'Rate Calculations'!$F$64</f>
        <v>19.629439592226891</v>
      </c>
      <c r="G221" s="117">
        <f>(((C221/1000)-(15000/1000))*'Rate Calculations'!$F$71)+(((15000/1000)-(2000/1000))*'Rate Calculations'!$F$70)</f>
        <v>3684.1480875861766</v>
      </c>
      <c r="H221" s="224">
        <f t="shared" si="21"/>
        <v>3703.7775271784035</v>
      </c>
      <c r="I221" s="128">
        <f t="shared" si="22"/>
        <v>38.669995996686978</v>
      </c>
      <c r="J221" s="128">
        <f t="shared" si="24"/>
        <v>7257.7717325447675</v>
      </c>
      <c r="K221" s="128">
        <f t="shared" si="20"/>
        <v>7296.4417285414547</v>
      </c>
    </row>
    <row r="222" spans="1:11" x14ac:dyDescent="0.35">
      <c r="A222" s="165">
        <f>'Billing Data'!B64</f>
        <v>655000</v>
      </c>
      <c r="B222" s="165">
        <v>714999</v>
      </c>
      <c r="C222" s="182">
        <f t="shared" si="23"/>
        <v>684999.5</v>
      </c>
      <c r="D222" s="182">
        <f t="shared" si="26"/>
        <v>0.65666666666666662</v>
      </c>
      <c r="E222" s="182">
        <f t="shared" si="26"/>
        <v>7.88</v>
      </c>
      <c r="F222" s="117">
        <f>'Rate Calculations'!$F$64</f>
        <v>19.629439592226891</v>
      </c>
      <c r="G222" s="117">
        <f>(((C222/1000)-(15000/1000))*'Rate Calculations'!$F$71)+(((15000/1000)-(2000/1000))*'Rate Calculations'!$F$70)</f>
        <v>3943.4150106397919</v>
      </c>
      <c r="H222" s="224">
        <f t="shared" si="21"/>
        <v>3963.0444502320188</v>
      </c>
      <c r="I222" s="128">
        <f t="shared" si="22"/>
        <v>154.67998398674791</v>
      </c>
      <c r="J222" s="128">
        <f t="shared" si="24"/>
        <v>31074.110283841561</v>
      </c>
      <c r="K222" s="128">
        <f t="shared" si="20"/>
        <v>31228.79026782831</v>
      </c>
    </row>
    <row r="223" spans="1:11" x14ac:dyDescent="0.35">
      <c r="A223" s="165">
        <f>'Billing Data'!B65</f>
        <v>715000</v>
      </c>
      <c r="B223" s="165">
        <v>844999</v>
      </c>
      <c r="C223" s="182">
        <f t="shared" si="23"/>
        <v>779999.5</v>
      </c>
      <c r="D223" s="182">
        <f t="shared" si="26"/>
        <v>1.8058333333333332</v>
      </c>
      <c r="E223" s="182">
        <f t="shared" si="26"/>
        <v>21.669999999999998</v>
      </c>
      <c r="F223" s="117">
        <f>'Rate Calculations'!$F$64</f>
        <v>19.629439592226891</v>
      </c>
      <c r="G223" s="117">
        <f>(((C223/1000)-(15000/1000))*'Rate Calculations'!$F$71)+(((15000/1000)-(2000/1000))*'Rate Calculations'!$F$70)</f>
        <v>4490.7562926418686</v>
      </c>
      <c r="H223" s="224">
        <f t="shared" si="21"/>
        <v>4510.3857322340955</v>
      </c>
      <c r="I223" s="128">
        <f t="shared" si="22"/>
        <v>425.36995596355672</v>
      </c>
      <c r="J223" s="128">
        <f t="shared" si="24"/>
        <v>97314.688861549279</v>
      </c>
      <c r="K223" s="128">
        <f t="shared" si="20"/>
        <v>97740.058817512836</v>
      </c>
    </row>
    <row r="224" spans="1:11" x14ac:dyDescent="0.35">
      <c r="A224" s="203">
        <f>'Billing Data'!B66</f>
        <v>845000</v>
      </c>
      <c r="B224" s="203">
        <v>900000</v>
      </c>
      <c r="C224" s="219">
        <v>845000</v>
      </c>
      <c r="D224" s="219">
        <f t="shared" si="26"/>
        <v>0</v>
      </c>
      <c r="E224" s="219">
        <f t="shared" si="26"/>
        <v>0</v>
      </c>
      <c r="F224" s="121">
        <f>'Rate Calculations'!$F$64</f>
        <v>19.629439592226891</v>
      </c>
      <c r="G224" s="121">
        <f>(((C224/1000)-(15000/1000))*'Rate Calculations'!$F$71)+(((15000/1000)-(2000/1000))*'Rate Calculations'!$F$70)</f>
        <v>4865.2558400184571</v>
      </c>
      <c r="H224" s="226">
        <f t="shared" si="21"/>
        <v>4884.8852796106839</v>
      </c>
      <c r="I224" s="120">
        <f t="shared" si="22"/>
        <v>0</v>
      </c>
      <c r="J224" s="120">
        <f t="shared" si="24"/>
        <v>0</v>
      </c>
      <c r="K224" s="120">
        <f t="shared" si="20"/>
        <v>0</v>
      </c>
    </row>
    <row r="225" spans="1:11" x14ac:dyDescent="0.35">
      <c r="A225" s="165"/>
    </row>
    <row r="226" spans="1:11" x14ac:dyDescent="0.35">
      <c r="A226" s="165"/>
      <c r="D226" s="182">
        <f>SUM(D165:D225)</f>
        <v>8679.4916666666704</v>
      </c>
      <c r="E226" s="182">
        <f>SUM(E165:E225)</f>
        <v>104153.90000000007</v>
      </c>
      <c r="I226" s="128">
        <f>SUM(I165:I225)</f>
        <v>2044482.68834484</v>
      </c>
      <c r="J226" s="33">
        <f>SUM(J165:J225)</f>
        <v>1935149.5309599121</v>
      </c>
      <c r="K226" s="33">
        <f>SUM(K165:K225)</f>
        <v>3979632.2193047535</v>
      </c>
    </row>
    <row r="227" spans="1:11" x14ac:dyDescent="0.35">
      <c r="A227" s="165"/>
    </row>
    <row r="228" spans="1:11" x14ac:dyDescent="0.35">
      <c r="A228" s="165"/>
      <c r="I228" s="26" t="s">
        <v>325</v>
      </c>
      <c r="J228" s="92"/>
      <c r="K228" s="222">
        <f>K150</f>
        <v>3371082.18</v>
      </c>
    </row>
    <row r="229" spans="1:11" x14ac:dyDescent="0.35">
      <c r="A229" s="165"/>
    </row>
    <row r="230" spans="1:11" x14ac:dyDescent="0.35">
      <c r="A230" s="165"/>
      <c r="I230" s="26" t="s">
        <v>1568</v>
      </c>
    </row>
    <row r="231" spans="1:11" x14ac:dyDescent="0.35">
      <c r="A231" s="165"/>
      <c r="I231" s="26" t="s">
        <v>988</v>
      </c>
      <c r="K231" s="128">
        <f>I226</f>
        <v>2044482.68834484</v>
      </c>
    </row>
    <row r="232" spans="1:11" x14ac:dyDescent="0.35">
      <c r="A232" s="165"/>
      <c r="I232" s="26" t="s">
        <v>327</v>
      </c>
      <c r="K232" s="35">
        <f>J226</f>
        <v>1935149.5309599121</v>
      </c>
    </row>
    <row r="233" spans="1:11" x14ac:dyDescent="0.35">
      <c r="I233" s="26" t="s">
        <v>44</v>
      </c>
      <c r="K233" s="128">
        <f>SUM(K231:K232)</f>
        <v>3979632.2193047521</v>
      </c>
    </row>
    <row r="234" spans="1:11" x14ac:dyDescent="0.35">
      <c r="K234" s="128"/>
    </row>
    <row r="235" spans="1:11" x14ac:dyDescent="0.35">
      <c r="A235" s="26" t="s">
        <v>322</v>
      </c>
    </row>
    <row r="236" spans="1:11" x14ac:dyDescent="0.35">
      <c r="K236" s="128"/>
    </row>
    <row r="237" spans="1:11" x14ac:dyDescent="0.35">
      <c r="K237" s="128"/>
    </row>
    <row r="238" spans="1:11" s="122" customFormat="1" ht="3" hidden="1" customHeight="1" outlineLevel="1" x14ac:dyDescent="0.35">
      <c r="K238" s="230"/>
    </row>
    <row r="239" spans="1:11" hidden="1" outlineLevel="1" x14ac:dyDescent="0.35">
      <c r="A239" s="25" t="s">
        <v>4</v>
      </c>
    </row>
    <row r="240" spans="1:11" hidden="1" outlineLevel="1" x14ac:dyDescent="0.35">
      <c r="A240" s="25" t="s">
        <v>109</v>
      </c>
    </row>
    <row r="241" spans="1:9" hidden="1" outlineLevel="1" x14ac:dyDescent="0.35">
      <c r="A241" s="25" t="s">
        <v>1130</v>
      </c>
    </row>
    <row r="242" spans="1:9" hidden="1" outlineLevel="1" x14ac:dyDescent="0.35"/>
    <row r="243" spans="1:9" hidden="1" outlineLevel="1" x14ac:dyDescent="0.35">
      <c r="F243" s="29" t="s">
        <v>333</v>
      </c>
      <c r="G243" s="29" t="s">
        <v>297</v>
      </c>
    </row>
    <row r="244" spans="1:9" ht="41.65" hidden="1" customHeight="1" outlineLevel="1" x14ac:dyDescent="0.35">
      <c r="A244" s="205" t="s">
        <v>317</v>
      </c>
      <c r="B244" s="205" t="s">
        <v>318</v>
      </c>
      <c r="C244" s="114" t="s">
        <v>319</v>
      </c>
      <c r="D244" s="205" t="s">
        <v>320</v>
      </c>
      <c r="E244" s="205" t="s">
        <v>266</v>
      </c>
      <c r="F244" s="114" t="s">
        <v>321</v>
      </c>
      <c r="G244" s="114" t="s">
        <v>321</v>
      </c>
      <c r="H244" s="205" t="s">
        <v>334</v>
      </c>
      <c r="I244" s="205" t="s">
        <v>33</v>
      </c>
    </row>
    <row r="245" spans="1:9" hidden="1" outlineLevel="1" x14ac:dyDescent="0.35">
      <c r="A245" s="223">
        <f>A87</f>
        <v>0</v>
      </c>
      <c r="B245" s="223">
        <f>B87</f>
        <v>0</v>
      </c>
      <c r="C245" s="223">
        <f>C87</f>
        <v>0</v>
      </c>
      <c r="D245" s="223">
        <f>D87</f>
        <v>788</v>
      </c>
      <c r="E245" s="223">
        <f>E87</f>
        <v>9456</v>
      </c>
      <c r="F245" s="224">
        <f>H7</f>
        <v>17.11</v>
      </c>
      <c r="G245" s="117">
        <f>H87</f>
        <v>9.1098976322656817</v>
      </c>
      <c r="H245" s="117">
        <f>G245-F245</f>
        <v>-8.0001023677343177</v>
      </c>
      <c r="I245" s="168">
        <f>(G245-F245)/F245</f>
        <v>-0.46756881167354286</v>
      </c>
    </row>
    <row r="246" spans="1:9" hidden="1" outlineLevel="1" x14ac:dyDescent="0.35">
      <c r="A246" s="182">
        <f t="shared" ref="A246:B304" si="27">A88</f>
        <v>0</v>
      </c>
      <c r="B246" s="182">
        <f t="shared" si="27"/>
        <v>999</v>
      </c>
      <c r="C246" s="182">
        <f t="shared" ref="C246:E265" si="28">C88</f>
        <v>499.5</v>
      </c>
      <c r="D246" s="182">
        <f t="shared" si="28"/>
        <v>958.07666666666671</v>
      </c>
      <c r="E246" s="182">
        <f t="shared" si="28"/>
        <v>11496.92</v>
      </c>
      <c r="F246" s="224">
        <f t="shared" ref="F246:F304" si="29">H8</f>
        <v>17.11</v>
      </c>
      <c r="G246" s="117">
        <f t="shared" ref="G246:G304" si="30">H88</f>
        <v>12.326580204576263</v>
      </c>
      <c r="H246" s="117">
        <f t="shared" ref="H246:H304" si="31">G246-F246</f>
        <v>-4.7834197954237361</v>
      </c>
      <c r="I246" s="168">
        <f t="shared" ref="I246:I304" si="32">(G246-F246)/F246</f>
        <v>-0.27956866133394132</v>
      </c>
    </row>
    <row r="247" spans="1:9" hidden="1" outlineLevel="1" x14ac:dyDescent="0.35">
      <c r="A247" s="182">
        <f t="shared" si="27"/>
        <v>1000</v>
      </c>
      <c r="B247" s="182">
        <f t="shared" si="27"/>
        <v>1999</v>
      </c>
      <c r="C247" s="182">
        <f t="shared" si="28"/>
        <v>1499.5</v>
      </c>
      <c r="D247" s="182">
        <f t="shared" si="28"/>
        <v>1405.9233333333332</v>
      </c>
      <c r="E247" s="182">
        <f t="shared" si="28"/>
        <v>16871.079999999998</v>
      </c>
      <c r="F247" s="224">
        <f t="shared" si="29"/>
        <v>17.11</v>
      </c>
      <c r="G247" s="117">
        <f t="shared" si="30"/>
        <v>18.766385154147002</v>
      </c>
      <c r="H247" s="117">
        <f t="shared" si="31"/>
        <v>1.6563851541470029</v>
      </c>
      <c r="I247" s="168">
        <f t="shared" si="32"/>
        <v>9.6808016022618529E-2</v>
      </c>
    </row>
    <row r="248" spans="1:9" hidden="1" outlineLevel="1" x14ac:dyDescent="0.35">
      <c r="A248" s="182">
        <f t="shared" si="27"/>
        <v>2000</v>
      </c>
      <c r="B248" s="182">
        <f t="shared" si="27"/>
        <v>2999</v>
      </c>
      <c r="C248" s="182">
        <f t="shared" si="28"/>
        <v>2499.5</v>
      </c>
      <c r="D248" s="182">
        <f t="shared" si="28"/>
        <v>1430.95875</v>
      </c>
      <c r="E248" s="182">
        <f t="shared" si="28"/>
        <v>17171.505000000001</v>
      </c>
      <c r="F248" s="224">
        <f t="shared" si="29"/>
        <v>19.897209999999998</v>
      </c>
      <c r="G248" s="117">
        <f t="shared" si="30"/>
        <v>25.206190103717734</v>
      </c>
      <c r="H248" s="117">
        <f t="shared" si="31"/>
        <v>5.3089801037177367</v>
      </c>
      <c r="I248" s="168">
        <f t="shared" si="32"/>
        <v>0.26682032826299451</v>
      </c>
    </row>
    <row r="249" spans="1:9" hidden="1" outlineLevel="1" x14ac:dyDescent="0.35">
      <c r="A249" s="182">
        <f t="shared" si="27"/>
        <v>3000</v>
      </c>
      <c r="B249" s="182">
        <f t="shared" si="27"/>
        <v>3999</v>
      </c>
      <c r="C249" s="182">
        <f t="shared" si="28"/>
        <v>3499.5</v>
      </c>
      <c r="D249" s="182">
        <f t="shared" si="28"/>
        <v>1213.3558333333333</v>
      </c>
      <c r="E249" s="182">
        <f t="shared" si="28"/>
        <v>14560.27</v>
      </c>
      <c r="F249" s="224">
        <f t="shared" si="29"/>
        <v>25.477209999999999</v>
      </c>
      <c r="G249" s="117">
        <f t="shared" si="30"/>
        <v>31.64599505328847</v>
      </c>
      <c r="H249" s="117">
        <f t="shared" si="31"/>
        <v>6.1687850532884703</v>
      </c>
      <c r="I249" s="168">
        <f t="shared" si="32"/>
        <v>0.24212953668350931</v>
      </c>
    </row>
    <row r="250" spans="1:9" hidden="1" outlineLevel="1" x14ac:dyDescent="0.35">
      <c r="A250" s="182">
        <f t="shared" si="27"/>
        <v>4000</v>
      </c>
      <c r="B250" s="182">
        <f t="shared" si="27"/>
        <v>4999</v>
      </c>
      <c r="C250" s="182">
        <f t="shared" si="28"/>
        <v>4499.5</v>
      </c>
      <c r="D250" s="182">
        <f t="shared" si="28"/>
        <v>939.52583333333325</v>
      </c>
      <c r="E250" s="182">
        <f t="shared" si="28"/>
        <v>11274.31</v>
      </c>
      <c r="F250" s="224">
        <f t="shared" si="29"/>
        <v>31.057210000000001</v>
      </c>
      <c r="G250" s="117">
        <f t="shared" si="30"/>
        <v>38.085800002859209</v>
      </c>
      <c r="H250" s="117">
        <f t="shared" si="31"/>
        <v>7.0285900028592074</v>
      </c>
      <c r="I250" s="168">
        <f t="shared" si="32"/>
        <v>0.22631105636530799</v>
      </c>
    </row>
    <row r="251" spans="1:9" hidden="1" outlineLevel="1" x14ac:dyDescent="0.35">
      <c r="A251" s="182">
        <f t="shared" si="27"/>
        <v>5000</v>
      </c>
      <c r="B251" s="182">
        <f t="shared" si="27"/>
        <v>5999</v>
      </c>
      <c r="C251" s="182">
        <f t="shared" si="28"/>
        <v>5499.5</v>
      </c>
      <c r="D251" s="182">
        <f t="shared" si="28"/>
        <v>622.35583333333329</v>
      </c>
      <c r="E251" s="182">
        <f t="shared" si="28"/>
        <v>7468.2699999999995</v>
      </c>
      <c r="F251" s="224">
        <f t="shared" si="29"/>
        <v>36.637209999999996</v>
      </c>
      <c r="G251" s="117">
        <f t="shared" si="30"/>
        <v>44.525604952429944</v>
      </c>
      <c r="H251" s="117">
        <f t="shared" si="31"/>
        <v>7.8883949524299481</v>
      </c>
      <c r="I251" s="168">
        <f t="shared" si="32"/>
        <v>0.2153110171989065</v>
      </c>
    </row>
    <row r="252" spans="1:9" hidden="1" outlineLevel="1" x14ac:dyDescent="0.35">
      <c r="A252" s="182">
        <f t="shared" si="27"/>
        <v>6000</v>
      </c>
      <c r="B252" s="182">
        <f t="shared" si="27"/>
        <v>6999</v>
      </c>
      <c r="C252" s="182">
        <f t="shared" si="28"/>
        <v>6499.5</v>
      </c>
      <c r="D252" s="182">
        <f t="shared" si="28"/>
        <v>403.35750000000002</v>
      </c>
      <c r="E252" s="182">
        <f t="shared" si="28"/>
        <v>4840.29</v>
      </c>
      <c r="F252" s="224">
        <f t="shared" si="29"/>
        <v>42.217210000000001</v>
      </c>
      <c r="G252" s="117">
        <f t="shared" si="30"/>
        <v>50.965409902000673</v>
      </c>
      <c r="H252" s="117">
        <f t="shared" si="31"/>
        <v>8.7481999020006711</v>
      </c>
      <c r="I252" s="168">
        <f t="shared" si="32"/>
        <v>0.20721880725895128</v>
      </c>
    </row>
    <row r="253" spans="1:9" hidden="1" outlineLevel="1" x14ac:dyDescent="0.35">
      <c r="A253" s="182">
        <f t="shared" si="27"/>
        <v>7000</v>
      </c>
      <c r="B253" s="182">
        <f t="shared" si="27"/>
        <v>7999</v>
      </c>
      <c r="C253" s="182">
        <f t="shared" si="28"/>
        <v>7499.5</v>
      </c>
      <c r="D253" s="182">
        <f t="shared" si="28"/>
        <v>247.97375</v>
      </c>
      <c r="E253" s="182">
        <f t="shared" si="28"/>
        <v>2975.6849999999999</v>
      </c>
      <c r="F253" s="224">
        <f t="shared" si="29"/>
        <v>47.79721</v>
      </c>
      <c r="G253" s="117">
        <f t="shared" si="30"/>
        <v>57.405214851571415</v>
      </c>
      <c r="H253" s="117">
        <f t="shared" si="31"/>
        <v>9.6080048515714154</v>
      </c>
      <c r="I253" s="168">
        <f t="shared" si="32"/>
        <v>0.20101601854106999</v>
      </c>
    </row>
    <row r="254" spans="1:9" hidden="1" outlineLevel="1" x14ac:dyDescent="0.35">
      <c r="A254" s="182">
        <f t="shared" si="27"/>
        <v>8000</v>
      </c>
      <c r="B254" s="182">
        <f t="shared" si="27"/>
        <v>8999</v>
      </c>
      <c r="C254" s="182">
        <f t="shared" si="28"/>
        <v>8499.5</v>
      </c>
      <c r="D254" s="182">
        <f t="shared" si="28"/>
        <v>160.55500000000001</v>
      </c>
      <c r="E254" s="182">
        <f t="shared" si="28"/>
        <v>1926.66</v>
      </c>
      <c r="F254" s="224">
        <f t="shared" si="29"/>
        <v>53.377209999999998</v>
      </c>
      <c r="G254" s="117">
        <f t="shared" si="30"/>
        <v>63.845019801142143</v>
      </c>
      <c r="H254" s="117">
        <f t="shared" si="31"/>
        <v>10.467809801142145</v>
      </c>
      <c r="I254" s="168">
        <f t="shared" si="32"/>
        <v>0.19611009644644495</v>
      </c>
    </row>
    <row r="255" spans="1:9" hidden="1" outlineLevel="1" x14ac:dyDescent="0.35">
      <c r="A255" s="182">
        <f t="shared" si="27"/>
        <v>9000</v>
      </c>
      <c r="B255" s="182">
        <f t="shared" si="27"/>
        <v>9999</v>
      </c>
      <c r="C255" s="182">
        <f t="shared" si="28"/>
        <v>9499.5</v>
      </c>
      <c r="D255" s="182">
        <f t="shared" si="28"/>
        <v>105.96958333333333</v>
      </c>
      <c r="E255" s="182">
        <f t="shared" si="28"/>
        <v>1271.635</v>
      </c>
      <c r="F255" s="224">
        <f t="shared" si="29"/>
        <v>58.957209999999996</v>
      </c>
      <c r="G255" s="117">
        <f t="shared" si="30"/>
        <v>70.284824750712886</v>
      </c>
      <c r="H255" s="117">
        <f t="shared" si="31"/>
        <v>11.32761475071289</v>
      </c>
      <c r="I255" s="168">
        <f t="shared" si="32"/>
        <v>0.19213281548962188</v>
      </c>
    </row>
    <row r="256" spans="1:9" hidden="1" outlineLevel="1" x14ac:dyDescent="0.35">
      <c r="A256" s="182">
        <f t="shared" si="27"/>
        <v>10000</v>
      </c>
      <c r="B256" s="182">
        <f t="shared" si="27"/>
        <v>10999</v>
      </c>
      <c r="C256" s="182">
        <f t="shared" si="28"/>
        <v>10499.5</v>
      </c>
      <c r="D256" s="182">
        <f t="shared" si="28"/>
        <v>69.524583333333325</v>
      </c>
      <c r="E256" s="182">
        <f t="shared" si="28"/>
        <v>834.29499999999996</v>
      </c>
      <c r="F256" s="224">
        <f t="shared" si="29"/>
        <v>64.537209999999988</v>
      </c>
      <c r="G256" s="117">
        <f t="shared" si="30"/>
        <v>76.724629700283614</v>
      </c>
      <c r="H256" s="117">
        <f t="shared" si="31"/>
        <v>12.187419700283627</v>
      </c>
      <c r="I256" s="168">
        <f t="shared" si="32"/>
        <v>0.18884329986194986</v>
      </c>
    </row>
    <row r="257" spans="1:9" hidden="1" outlineLevel="1" x14ac:dyDescent="0.35">
      <c r="A257" s="182">
        <f t="shared" si="27"/>
        <v>11000</v>
      </c>
      <c r="B257" s="182">
        <f t="shared" si="27"/>
        <v>11999</v>
      </c>
      <c r="C257" s="182">
        <f t="shared" si="28"/>
        <v>11499.5</v>
      </c>
      <c r="D257" s="182">
        <f t="shared" si="28"/>
        <v>46.459166666666668</v>
      </c>
      <c r="E257" s="182">
        <f t="shared" si="28"/>
        <v>557.51</v>
      </c>
      <c r="F257" s="224">
        <f t="shared" si="29"/>
        <v>70.11721</v>
      </c>
      <c r="G257" s="117">
        <f t="shared" si="30"/>
        <v>83.164434649854357</v>
      </c>
      <c r="H257" s="117">
        <f t="shared" si="31"/>
        <v>13.047224649854357</v>
      </c>
      <c r="I257" s="168">
        <f t="shared" si="32"/>
        <v>0.18607735033744721</v>
      </c>
    </row>
    <row r="258" spans="1:9" hidden="1" outlineLevel="1" x14ac:dyDescent="0.35">
      <c r="A258" s="182">
        <f t="shared" si="27"/>
        <v>12000</v>
      </c>
      <c r="B258" s="182">
        <f t="shared" si="27"/>
        <v>12999</v>
      </c>
      <c r="C258" s="182">
        <f t="shared" si="28"/>
        <v>12499.5</v>
      </c>
      <c r="D258" s="182">
        <f t="shared" si="28"/>
        <v>36.280833333333334</v>
      </c>
      <c r="E258" s="182">
        <f t="shared" si="28"/>
        <v>435.37</v>
      </c>
      <c r="F258" s="224">
        <f t="shared" si="29"/>
        <v>75.697209999999998</v>
      </c>
      <c r="G258" s="117">
        <f t="shared" si="30"/>
        <v>89.604239599425085</v>
      </c>
      <c r="H258" s="117">
        <f t="shared" si="31"/>
        <v>13.907029599425087</v>
      </c>
      <c r="I258" s="168">
        <f t="shared" si="32"/>
        <v>0.18371918330180317</v>
      </c>
    </row>
    <row r="259" spans="1:9" hidden="1" outlineLevel="1" x14ac:dyDescent="0.35">
      <c r="A259" s="182">
        <f t="shared" si="27"/>
        <v>13000</v>
      </c>
      <c r="B259" s="182">
        <f t="shared" si="27"/>
        <v>13999</v>
      </c>
      <c r="C259" s="182">
        <f t="shared" si="28"/>
        <v>13499.5</v>
      </c>
      <c r="D259" s="182">
        <f t="shared" si="28"/>
        <v>26.512916666666666</v>
      </c>
      <c r="E259" s="182">
        <f t="shared" si="28"/>
        <v>318.15499999999997</v>
      </c>
      <c r="F259" s="224">
        <f t="shared" si="29"/>
        <v>81.277209999999997</v>
      </c>
      <c r="G259" s="117">
        <f t="shared" si="30"/>
        <v>96.044044548995828</v>
      </c>
      <c r="H259" s="117">
        <f t="shared" si="31"/>
        <v>14.766834548995831</v>
      </c>
      <c r="I259" s="168">
        <f t="shared" si="32"/>
        <v>0.18168481114196502</v>
      </c>
    </row>
    <row r="260" spans="1:9" hidden="1" outlineLevel="1" x14ac:dyDescent="0.35">
      <c r="A260" s="182">
        <f t="shared" si="27"/>
        <v>14000</v>
      </c>
      <c r="B260" s="182">
        <f t="shared" si="27"/>
        <v>14999</v>
      </c>
      <c r="C260" s="182">
        <f t="shared" si="28"/>
        <v>14499.5</v>
      </c>
      <c r="D260" s="182">
        <f t="shared" si="28"/>
        <v>23.147499999999997</v>
      </c>
      <c r="E260" s="182">
        <f t="shared" si="28"/>
        <v>277.77</v>
      </c>
      <c r="F260" s="224">
        <f t="shared" si="29"/>
        <v>86.857209999999995</v>
      </c>
      <c r="G260" s="117">
        <f t="shared" si="30"/>
        <v>102.48384949856656</v>
      </c>
      <c r="H260" s="117">
        <f t="shared" si="31"/>
        <v>15.626639498566561</v>
      </c>
      <c r="I260" s="168">
        <f t="shared" si="32"/>
        <v>0.17991182883454998</v>
      </c>
    </row>
    <row r="261" spans="1:9" hidden="1" outlineLevel="1" x14ac:dyDescent="0.35">
      <c r="A261" s="182">
        <f t="shared" si="27"/>
        <v>15000</v>
      </c>
      <c r="B261" s="182">
        <f t="shared" si="27"/>
        <v>24999</v>
      </c>
      <c r="C261" s="182">
        <f t="shared" si="28"/>
        <v>19999.5</v>
      </c>
      <c r="D261" s="182">
        <f t="shared" si="28"/>
        <v>91.194583333333341</v>
      </c>
      <c r="E261" s="182">
        <f t="shared" si="28"/>
        <v>1094.335</v>
      </c>
      <c r="F261" s="224">
        <f t="shared" si="29"/>
        <v>111.997765</v>
      </c>
      <c r="G261" s="117">
        <f t="shared" si="30"/>
        <v>137.90277672120561</v>
      </c>
      <c r="H261" s="117">
        <f t="shared" si="31"/>
        <v>25.905011721205611</v>
      </c>
      <c r="I261" s="168">
        <f t="shared" si="32"/>
        <v>0.2312993631721634</v>
      </c>
    </row>
    <row r="262" spans="1:9" hidden="1" outlineLevel="1" x14ac:dyDescent="0.35">
      <c r="A262" s="182">
        <f t="shared" si="27"/>
        <v>25000</v>
      </c>
      <c r="B262" s="182">
        <f t="shared" si="27"/>
        <v>34999</v>
      </c>
      <c r="C262" s="182">
        <f t="shared" si="28"/>
        <v>29999.5</v>
      </c>
      <c r="D262" s="182">
        <f t="shared" si="28"/>
        <v>29.714166666666667</v>
      </c>
      <c r="E262" s="182">
        <f t="shared" si="28"/>
        <v>356.57</v>
      </c>
      <c r="F262" s="224">
        <f t="shared" si="29"/>
        <v>156.697765</v>
      </c>
      <c r="G262" s="117">
        <f t="shared" si="30"/>
        <v>202.30082621691295</v>
      </c>
      <c r="H262" s="117">
        <f t="shared" si="31"/>
        <v>45.603061216912948</v>
      </c>
      <c r="I262" s="168">
        <f t="shared" si="32"/>
        <v>0.29102560088788088</v>
      </c>
    </row>
    <row r="263" spans="1:9" hidden="1" outlineLevel="1" x14ac:dyDescent="0.35">
      <c r="A263" s="182">
        <f t="shared" si="27"/>
        <v>35000</v>
      </c>
      <c r="B263" s="182">
        <f t="shared" si="27"/>
        <v>44999</v>
      </c>
      <c r="C263" s="182">
        <f t="shared" si="28"/>
        <v>39999.5</v>
      </c>
      <c r="D263" s="182">
        <f t="shared" si="28"/>
        <v>20.356666666666666</v>
      </c>
      <c r="E263" s="182">
        <f t="shared" si="28"/>
        <v>244.28</v>
      </c>
      <c r="F263" s="224">
        <f t="shared" si="29"/>
        <v>201.39776499999999</v>
      </c>
      <c r="G263" s="117">
        <f t="shared" si="30"/>
        <v>266.69887571262029</v>
      </c>
      <c r="H263" s="117">
        <f t="shared" si="31"/>
        <v>65.3011107126203</v>
      </c>
      <c r="I263" s="168">
        <f t="shared" si="32"/>
        <v>0.32423950043646366</v>
      </c>
    </row>
    <row r="264" spans="1:9" hidden="1" outlineLevel="1" x14ac:dyDescent="0.35">
      <c r="A264" s="182">
        <f t="shared" si="27"/>
        <v>45000</v>
      </c>
      <c r="B264" s="182">
        <f t="shared" si="27"/>
        <v>54999</v>
      </c>
      <c r="C264" s="182">
        <f t="shared" si="28"/>
        <v>49999.5</v>
      </c>
      <c r="D264" s="182">
        <f t="shared" si="28"/>
        <v>13.133333333333333</v>
      </c>
      <c r="E264" s="182">
        <f t="shared" si="28"/>
        <v>157.6</v>
      </c>
      <c r="F264" s="224">
        <f t="shared" si="29"/>
        <v>246.09776499999998</v>
      </c>
      <c r="G264" s="117">
        <f t="shared" si="30"/>
        <v>331.09692520832766</v>
      </c>
      <c r="H264" s="117">
        <f t="shared" si="31"/>
        <v>84.99916020832768</v>
      </c>
      <c r="I264" s="168">
        <f t="shared" si="32"/>
        <v>0.34538777793584469</v>
      </c>
    </row>
    <row r="265" spans="1:9" hidden="1" outlineLevel="1" x14ac:dyDescent="0.35">
      <c r="A265" s="182">
        <f t="shared" si="27"/>
        <v>55000</v>
      </c>
      <c r="B265" s="182">
        <f t="shared" si="27"/>
        <v>64999</v>
      </c>
      <c r="C265" s="182">
        <f t="shared" si="28"/>
        <v>59999.5</v>
      </c>
      <c r="D265" s="182">
        <f t="shared" si="28"/>
        <v>8.3725000000000005</v>
      </c>
      <c r="E265" s="182">
        <f t="shared" si="28"/>
        <v>100.47</v>
      </c>
      <c r="F265" s="224">
        <f t="shared" si="29"/>
        <v>290.79776499999997</v>
      </c>
      <c r="G265" s="117">
        <f t="shared" si="30"/>
        <v>395.49497470403503</v>
      </c>
      <c r="H265" s="117">
        <f t="shared" si="31"/>
        <v>104.69720970403506</v>
      </c>
      <c r="I265" s="168">
        <f t="shared" si="32"/>
        <v>0.360034437348702</v>
      </c>
    </row>
    <row r="266" spans="1:9" hidden="1" outlineLevel="1" x14ac:dyDescent="0.35">
      <c r="A266" s="182">
        <f t="shared" si="27"/>
        <v>65000</v>
      </c>
      <c r="B266" s="182">
        <f t="shared" si="27"/>
        <v>74999</v>
      </c>
      <c r="C266" s="182">
        <f t="shared" ref="C266:E285" si="33">C108</f>
        <v>69999.5</v>
      </c>
      <c r="D266" s="182">
        <f t="shared" si="33"/>
        <v>6.2383333333333333</v>
      </c>
      <c r="E266" s="182">
        <f t="shared" si="33"/>
        <v>74.86</v>
      </c>
      <c r="F266" s="224">
        <f t="shared" si="29"/>
        <v>335.49776500000002</v>
      </c>
      <c r="G266" s="117">
        <f t="shared" si="30"/>
        <v>459.8930241997424</v>
      </c>
      <c r="H266" s="117">
        <f t="shared" si="31"/>
        <v>124.39525919974238</v>
      </c>
      <c r="I266" s="168">
        <f t="shared" si="32"/>
        <v>0.37077820533243305</v>
      </c>
    </row>
    <row r="267" spans="1:9" hidden="1" outlineLevel="1" x14ac:dyDescent="0.35">
      <c r="A267" s="182">
        <f t="shared" si="27"/>
        <v>75000</v>
      </c>
      <c r="B267" s="182">
        <f t="shared" si="27"/>
        <v>84999</v>
      </c>
      <c r="C267" s="182">
        <f t="shared" si="33"/>
        <v>79999.5</v>
      </c>
      <c r="D267" s="182">
        <f t="shared" si="33"/>
        <v>3.3654166666666665</v>
      </c>
      <c r="E267" s="182">
        <f t="shared" si="33"/>
        <v>40.384999999999998</v>
      </c>
      <c r="F267" s="224">
        <f t="shared" si="29"/>
        <v>380.197765</v>
      </c>
      <c r="G267" s="117">
        <f t="shared" si="30"/>
        <v>524.29107369544965</v>
      </c>
      <c r="H267" s="117">
        <f t="shared" si="31"/>
        <v>144.09330869544965</v>
      </c>
      <c r="I267" s="168">
        <f t="shared" si="32"/>
        <v>0.37899567530453432</v>
      </c>
    </row>
    <row r="268" spans="1:9" hidden="1" outlineLevel="1" x14ac:dyDescent="0.35">
      <c r="A268" s="182">
        <f t="shared" si="27"/>
        <v>85000</v>
      </c>
      <c r="B268" s="182">
        <f t="shared" si="27"/>
        <v>94999</v>
      </c>
      <c r="C268" s="182">
        <f t="shared" si="33"/>
        <v>89999.5</v>
      </c>
      <c r="D268" s="182">
        <f t="shared" si="33"/>
        <v>2.7087500000000002</v>
      </c>
      <c r="E268" s="182">
        <f t="shared" si="33"/>
        <v>32.505000000000003</v>
      </c>
      <c r="F268" s="224">
        <f t="shared" si="29"/>
        <v>424.89776499999999</v>
      </c>
      <c r="G268" s="117">
        <f t="shared" si="30"/>
        <v>588.68912319115702</v>
      </c>
      <c r="H268" s="117">
        <f t="shared" si="31"/>
        <v>163.79135819115703</v>
      </c>
      <c r="I268" s="168">
        <f t="shared" si="32"/>
        <v>0.38548416038657446</v>
      </c>
    </row>
    <row r="269" spans="1:9" hidden="1" outlineLevel="1" x14ac:dyDescent="0.35">
      <c r="A269" s="182">
        <f t="shared" si="27"/>
        <v>95000</v>
      </c>
      <c r="B269" s="182">
        <f t="shared" si="27"/>
        <v>104999</v>
      </c>
      <c r="C269" s="182">
        <f t="shared" si="33"/>
        <v>99999.5</v>
      </c>
      <c r="D269" s="182">
        <f t="shared" si="33"/>
        <v>2.2162500000000001</v>
      </c>
      <c r="E269" s="182">
        <f t="shared" si="33"/>
        <v>26.594999999999999</v>
      </c>
      <c r="F269" s="224">
        <f t="shared" si="29"/>
        <v>469.59776499999998</v>
      </c>
      <c r="G269" s="117">
        <f t="shared" si="30"/>
        <v>653.08717268686439</v>
      </c>
      <c r="H269" s="117">
        <f t="shared" si="31"/>
        <v>183.48940768686441</v>
      </c>
      <c r="I269" s="168">
        <f t="shared" si="32"/>
        <v>0.39073739562381526</v>
      </c>
    </row>
    <row r="270" spans="1:9" hidden="1" outlineLevel="1" x14ac:dyDescent="0.35">
      <c r="A270" s="182">
        <f t="shared" si="27"/>
        <v>105000</v>
      </c>
      <c r="B270" s="182">
        <f t="shared" si="27"/>
        <v>114999</v>
      </c>
      <c r="C270" s="182">
        <f t="shared" si="33"/>
        <v>109999.5</v>
      </c>
      <c r="D270" s="182">
        <f t="shared" si="33"/>
        <v>2.2162500000000001</v>
      </c>
      <c r="E270" s="182">
        <f t="shared" si="33"/>
        <v>26.594999999999999</v>
      </c>
      <c r="F270" s="224">
        <f t="shared" si="29"/>
        <v>514.29776500000003</v>
      </c>
      <c r="G270" s="117">
        <f t="shared" si="30"/>
        <v>717.48522218257176</v>
      </c>
      <c r="H270" s="117">
        <f t="shared" si="31"/>
        <v>203.18745718257173</v>
      </c>
      <c r="I270" s="168">
        <f t="shared" si="32"/>
        <v>0.39507746486623702</v>
      </c>
    </row>
    <row r="271" spans="1:9" hidden="1" outlineLevel="1" x14ac:dyDescent="0.35">
      <c r="A271" s="182">
        <f t="shared" si="27"/>
        <v>115000</v>
      </c>
      <c r="B271" s="182">
        <f t="shared" si="27"/>
        <v>124999</v>
      </c>
      <c r="C271" s="182">
        <f t="shared" si="33"/>
        <v>119999.5</v>
      </c>
      <c r="D271" s="182">
        <f t="shared" si="33"/>
        <v>1.8879166666666667</v>
      </c>
      <c r="E271" s="182">
        <f t="shared" si="33"/>
        <v>22.655000000000001</v>
      </c>
      <c r="F271" s="224">
        <f t="shared" si="29"/>
        <v>558.99776499999996</v>
      </c>
      <c r="G271" s="117">
        <f t="shared" si="30"/>
        <v>781.88327167827913</v>
      </c>
      <c r="H271" s="117">
        <f t="shared" si="31"/>
        <v>222.88550667827917</v>
      </c>
      <c r="I271" s="168">
        <f t="shared" si="32"/>
        <v>0.39872343081421657</v>
      </c>
    </row>
    <row r="272" spans="1:9" hidden="1" outlineLevel="1" x14ac:dyDescent="0.35">
      <c r="A272" s="182">
        <f t="shared" si="27"/>
        <v>125000</v>
      </c>
      <c r="B272" s="182">
        <f t="shared" si="27"/>
        <v>134999</v>
      </c>
      <c r="C272" s="182">
        <f t="shared" si="33"/>
        <v>129999.5</v>
      </c>
      <c r="D272" s="182">
        <f t="shared" si="33"/>
        <v>1.4775</v>
      </c>
      <c r="E272" s="182">
        <f t="shared" si="33"/>
        <v>17.73</v>
      </c>
      <c r="F272" s="224">
        <f t="shared" si="29"/>
        <v>603.697765</v>
      </c>
      <c r="G272" s="117">
        <f t="shared" si="30"/>
        <v>846.2813211739865</v>
      </c>
      <c r="H272" s="117">
        <f t="shared" si="31"/>
        <v>242.58355617398649</v>
      </c>
      <c r="I272" s="168">
        <f t="shared" si="32"/>
        <v>0.40182947534017538</v>
      </c>
    </row>
    <row r="273" spans="1:9" hidden="1" outlineLevel="1" x14ac:dyDescent="0.35">
      <c r="A273" s="182">
        <f t="shared" si="27"/>
        <v>135000</v>
      </c>
      <c r="B273" s="182">
        <f t="shared" si="27"/>
        <v>144999</v>
      </c>
      <c r="C273" s="182">
        <f t="shared" si="33"/>
        <v>139999.5</v>
      </c>
      <c r="D273" s="182">
        <f t="shared" si="33"/>
        <v>1.8058333333333332</v>
      </c>
      <c r="E273" s="182">
        <f t="shared" si="33"/>
        <v>21.669999999999998</v>
      </c>
      <c r="F273" s="224">
        <f t="shared" si="29"/>
        <v>648.39776500000005</v>
      </c>
      <c r="G273" s="117">
        <f t="shared" si="30"/>
        <v>910.67937066969387</v>
      </c>
      <c r="H273" s="117">
        <f t="shared" si="31"/>
        <v>262.28160566969382</v>
      </c>
      <c r="I273" s="168">
        <f t="shared" si="32"/>
        <v>0.40450726363884643</v>
      </c>
    </row>
    <row r="274" spans="1:9" hidden="1" outlineLevel="1" x14ac:dyDescent="0.35">
      <c r="A274" s="182">
        <f t="shared" si="27"/>
        <v>145000</v>
      </c>
      <c r="B274" s="182">
        <f t="shared" si="27"/>
        <v>154999</v>
      </c>
      <c r="C274" s="182">
        <f t="shared" si="33"/>
        <v>149999.5</v>
      </c>
      <c r="D274" s="182">
        <f t="shared" si="33"/>
        <v>1.6416666666666666</v>
      </c>
      <c r="E274" s="182">
        <f t="shared" si="33"/>
        <v>19.7</v>
      </c>
      <c r="F274" s="224">
        <f t="shared" si="29"/>
        <v>693.09776499999998</v>
      </c>
      <c r="G274" s="117">
        <f t="shared" si="30"/>
        <v>975.07742016540124</v>
      </c>
      <c r="H274" s="117">
        <f t="shared" si="31"/>
        <v>281.97965516540125</v>
      </c>
      <c r="I274" s="168">
        <f t="shared" si="32"/>
        <v>0.40683965438180464</v>
      </c>
    </row>
    <row r="275" spans="1:9" hidden="1" outlineLevel="1" x14ac:dyDescent="0.35">
      <c r="A275" s="182">
        <f t="shared" si="27"/>
        <v>155000</v>
      </c>
      <c r="B275" s="182">
        <f t="shared" si="27"/>
        <v>164999</v>
      </c>
      <c r="C275" s="182">
        <f t="shared" si="33"/>
        <v>159999.5</v>
      </c>
      <c r="D275" s="182">
        <f t="shared" si="33"/>
        <v>0.98499999999999999</v>
      </c>
      <c r="E275" s="182">
        <f t="shared" si="33"/>
        <v>11.82</v>
      </c>
      <c r="F275" s="224">
        <f t="shared" si="29"/>
        <v>737.79776500000003</v>
      </c>
      <c r="G275" s="117">
        <f t="shared" si="30"/>
        <v>1039.4754696611087</v>
      </c>
      <c r="H275" s="117">
        <f t="shared" si="31"/>
        <v>301.67770466110869</v>
      </c>
      <c r="I275" s="168">
        <f t="shared" si="32"/>
        <v>0.40888942603547829</v>
      </c>
    </row>
    <row r="276" spans="1:9" hidden="1" outlineLevel="1" x14ac:dyDescent="0.35">
      <c r="A276" s="182">
        <f t="shared" si="27"/>
        <v>165000</v>
      </c>
      <c r="B276" s="182">
        <f t="shared" si="27"/>
        <v>174999</v>
      </c>
      <c r="C276" s="182">
        <f t="shared" si="33"/>
        <v>169999.5</v>
      </c>
      <c r="D276" s="182">
        <f t="shared" si="33"/>
        <v>1.0670833333333334</v>
      </c>
      <c r="E276" s="182">
        <f t="shared" si="33"/>
        <v>12.805</v>
      </c>
      <c r="F276" s="224">
        <f t="shared" si="29"/>
        <v>782.49776499999996</v>
      </c>
      <c r="G276" s="117">
        <f t="shared" si="30"/>
        <v>1103.873519156816</v>
      </c>
      <c r="H276" s="117">
        <f t="shared" si="31"/>
        <v>321.37575415681601</v>
      </c>
      <c r="I276" s="168">
        <f t="shared" si="32"/>
        <v>0.4107050122460299</v>
      </c>
    </row>
    <row r="277" spans="1:9" hidden="1" outlineLevel="1" x14ac:dyDescent="0.35">
      <c r="A277" s="182">
        <f t="shared" si="27"/>
        <v>175000</v>
      </c>
      <c r="B277" s="182">
        <f t="shared" si="27"/>
        <v>184999</v>
      </c>
      <c r="C277" s="182">
        <f t="shared" si="33"/>
        <v>179999.5</v>
      </c>
      <c r="D277" s="182">
        <f t="shared" si="33"/>
        <v>0.98499999999999999</v>
      </c>
      <c r="E277" s="182">
        <f t="shared" si="33"/>
        <v>11.82</v>
      </c>
      <c r="F277" s="224">
        <f t="shared" si="29"/>
        <v>827.197765</v>
      </c>
      <c r="G277" s="117">
        <f t="shared" si="30"/>
        <v>1168.2715686525235</v>
      </c>
      <c r="H277" s="117">
        <f t="shared" si="31"/>
        <v>341.07380365252345</v>
      </c>
      <c r="I277" s="168">
        <f t="shared" si="32"/>
        <v>0.41232437765656133</v>
      </c>
    </row>
    <row r="278" spans="1:9" hidden="1" outlineLevel="1" x14ac:dyDescent="0.35">
      <c r="A278" s="182">
        <f t="shared" si="27"/>
        <v>185000</v>
      </c>
      <c r="B278" s="182">
        <f t="shared" si="27"/>
        <v>194999</v>
      </c>
      <c r="C278" s="182">
        <f t="shared" si="33"/>
        <v>189999.5</v>
      </c>
      <c r="D278" s="182">
        <f t="shared" si="33"/>
        <v>0.8208333333333333</v>
      </c>
      <c r="E278" s="182">
        <f t="shared" si="33"/>
        <v>9.85</v>
      </c>
      <c r="F278" s="224">
        <f t="shared" si="29"/>
        <v>871.89776499999994</v>
      </c>
      <c r="G278" s="117">
        <f t="shared" si="30"/>
        <v>1232.6696181482307</v>
      </c>
      <c r="H278" s="117">
        <f t="shared" si="31"/>
        <v>360.77185314823078</v>
      </c>
      <c r="I278" s="168">
        <f t="shared" si="32"/>
        <v>0.41377770150406429</v>
      </c>
    </row>
    <row r="279" spans="1:9" hidden="1" outlineLevel="1" x14ac:dyDescent="0.35">
      <c r="A279" s="182">
        <f t="shared" si="27"/>
        <v>195000</v>
      </c>
      <c r="B279" s="182">
        <f t="shared" si="27"/>
        <v>204999</v>
      </c>
      <c r="C279" s="182">
        <f t="shared" si="33"/>
        <v>199999.5</v>
      </c>
      <c r="D279" s="182">
        <f t="shared" si="33"/>
        <v>0.41041666666666665</v>
      </c>
      <c r="E279" s="182">
        <f t="shared" si="33"/>
        <v>4.9249999999999998</v>
      </c>
      <c r="F279" s="224">
        <f t="shared" si="29"/>
        <v>916.59776499999998</v>
      </c>
      <c r="G279" s="117">
        <f t="shared" si="30"/>
        <v>1297.0676676439382</v>
      </c>
      <c r="H279" s="117">
        <f t="shared" si="31"/>
        <v>380.46990264393821</v>
      </c>
      <c r="I279" s="168">
        <f t="shared" si="32"/>
        <v>0.41508927598567535</v>
      </c>
    </row>
    <row r="280" spans="1:9" hidden="1" outlineLevel="1" x14ac:dyDescent="0.35">
      <c r="A280" s="182">
        <f t="shared" si="27"/>
        <v>205000</v>
      </c>
      <c r="B280" s="182">
        <f t="shared" si="27"/>
        <v>214999</v>
      </c>
      <c r="C280" s="182">
        <f t="shared" si="33"/>
        <v>209999.5</v>
      </c>
      <c r="D280" s="182">
        <f t="shared" si="33"/>
        <v>0.8208333333333333</v>
      </c>
      <c r="E280" s="182">
        <f t="shared" si="33"/>
        <v>9.85</v>
      </c>
      <c r="F280" s="224">
        <f t="shared" si="29"/>
        <v>961.29776500000003</v>
      </c>
      <c r="G280" s="117">
        <f t="shared" si="30"/>
        <v>1361.4657171396454</v>
      </c>
      <c r="H280" s="117">
        <f t="shared" si="31"/>
        <v>400.16795213964542</v>
      </c>
      <c r="I280" s="168">
        <f t="shared" si="32"/>
        <v>0.4162788749848445</v>
      </c>
    </row>
    <row r="281" spans="1:9" hidden="1" outlineLevel="1" x14ac:dyDescent="0.35">
      <c r="A281" s="182">
        <f t="shared" si="27"/>
        <v>215000</v>
      </c>
      <c r="B281" s="182">
        <f t="shared" si="27"/>
        <v>224999</v>
      </c>
      <c r="C281" s="182">
        <f t="shared" si="33"/>
        <v>219999.5</v>
      </c>
      <c r="D281" s="182">
        <f t="shared" si="33"/>
        <v>0.32833333333333331</v>
      </c>
      <c r="E281" s="182">
        <f t="shared" si="33"/>
        <v>3.94</v>
      </c>
      <c r="F281" s="224">
        <f t="shared" si="29"/>
        <v>1005.997765</v>
      </c>
      <c r="G281" s="117">
        <f t="shared" si="30"/>
        <v>1425.8637666353529</v>
      </c>
      <c r="H281" s="117">
        <f t="shared" si="31"/>
        <v>419.86600163535297</v>
      </c>
      <c r="I281" s="168">
        <f t="shared" si="32"/>
        <v>0.41736275789375438</v>
      </c>
    </row>
    <row r="282" spans="1:9" hidden="1" outlineLevel="1" x14ac:dyDescent="0.35">
      <c r="A282" s="182">
        <f t="shared" si="27"/>
        <v>225000</v>
      </c>
      <c r="B282" s="182">
        <f t="shared" si="27"/>
        <v>234999</v>
      </c>
      <c r="C282" s="182">
        <f t="shared" si="33"/>
        <v>229999.5</v>
      </c>
      <c r="D282" s="182">
        <f t="shared" si="33"/>
        <v>0.41041666666666665</v>
      </c>
      <c r="E282" s="182">
        <f t="shared" si="33"/>
        <v>4.9249999999999998</v>
      </c>
      <c r="F282" s="224">
        <f t="shared" si="29"/>
        <v>1050.6977649999999</v>
      </c>
      <c r="G282" s="117">
        <f t="shared" si="30"/>
        <v>1490.2618161310602</v>
      </c>
      <c r="H282" s="117">
        <f t="shared" si="31"/>
        <v>439.5640511310603</v>
      </c>
      <c r="I282" s="168">
        <f t="shared" si="32"/>
        <v>0.41835441720108762</v>
      </c>
    </row>
    <row r="283" spans="1:9" hidden="1" outlineLevel="1" x14ac:dyDescent="0.35">
      <c r="A283" s="182">
        <f t="shared" si="27"/>
        <v>235000</v>
      </c>
      <c r="B283" s="182">
        <f t="shared" si="27"/>
        <v>244999</v>
      </c>
      <c r="C283" s="182">
        <f t="shared" si="33"/>
        <v>239999.5</v>
      </c>
      <c r="D283" s="182">
        <f t="shared" si="33"/>
        <v>0.41041666666666665</v>
      </c>
      <c r="E283" s="182">
        <f t="shared" si="33"/>
        <v>4.9249999999999998</v>
      </c>
      <c r="F283" s="224">
        <f t="shared" si="29"/>
        <v>1095.3977649999999</v>
      </c>
      <c r="G283" s="117">
        <f t="shared" si="30"/>
        <v>1554.6598656267677</v>
      </c>
      <c r="H283" s="117">
        <f t="shared" si="31"/>
        <v>459.26210062676773</v>
      </c>
      <c r="I283" s="168">
        <f t="shared" si="32"/>
        <v>0.41926514303849044</v>
      </c>
    </row>
    <row r="284" spans="1:9" hidden="1" outlineLevel="1" x14ac:dyDescent="0.35">
      <c r="A284" s="182">
        <f t="shared" si="27"/>
        <v>245000</v>
      </c>
      <c r="B284" s="182">
        <f t="shared" si="27"/>
        <v>254999</v>
      </c>
      <c r="C284" s="182">
        <f t="shared" si="33"/>
        <v>249999.5</v>
      </c>
      <c r="D284" s="182">
        <f t="shared" si="33"/>
        <v>0.32833333333333331</v>
      </c>
      <c r="E284" s="182">
        <f t="shared" si="33"/>
        <v>3.94</v>
      </c>
      <c r="F284" s="224">
        <f t="shared" si="29"/>
        <v>1140.0977649999998</v>
      </c>
      <c r="G284" s="117">
        <f t="shared" si="30"/>
        <v>1619.0579151224749</v>
      </c>
      <c r="H284" s="117">
        <f t="shared" si="31"/>
        <v>478.96015012247517</v>
      </c>
      <c r="I284" s="168">
        <f t="shared" si="32"/>
        <v>0.4201044549214385</v>
      </c>
    </row>
    <row r="285" spans="1:9" hidden="1" outlineLevel="1" x14ac:dyDescent="0.35">
      <c r="A285" s="182">
        <f t="shared" si="27"/>
        <v>255000</v>
      </c>
      <c r="B285" s="182">
        <f t="shared" si="27"/>
        <v>264999</v>
      </c>
      <c r="C285" s="182">
        <f t="shared" si="33"/>
        <v>259999.5</v>
      </c>
      <c r="D285" s="182">
        <f t="shared" si="33"/>
        <v>0.16416666666666666</v>
      </c>
      <c r="E285" s="182">
        <f t="shared" si="33"/>
        <v>1.97</v>
      </c>
      <c r="F285" s="224">
        <f t="shared" si="29"/>
        <v>1184.7977649999998</v>
      </c>
      <c r="G285" s="117">
        <f t="shared" si="30"/>
        <v>1683.4559646181822</v>
      </c>
      <c r="H285" s="117">
        <f t="shared" si="31"/>
        <v>498.65819961818238</v>
      </c>
      <c r="I285" s="168">
        <f t="shared" si="32"/>
        <v>0.42088043575789702</v>
      </c>
    </row>
    <row r="286" spans="1:9" hidden="1" outlineLevel="1" x14ac:dyDescent="0.35">
      <c r="A286" s="182">
        <f t="shared" si="27"/>
        <v>265000</v>
      </c>
      <c r="B286" s="182">
        <f t="shared" si="27"/>
        <v>274999</v>
      </c>
      <c r="C286" s="182">
        <f t="shared" ref="C286:E304" si="34">C128</f>
        <v>269999.5</v>
      </c>
      <c r="D286" s="182">
        <f t="shared" si="34"/>
        <v>0.32833333333333331</v>
      </c>
      <c r="E286" s="182">
        <f t="shared" si="34"/>
        <v>3.94</v>
      </c>
      <c r="F286" s="224">
        <f t="shared" si="29"/>
        <v>1229.4977649999998</v>
      </c>
      <c r="G286" s="117">
        <f t="shared" si="30"/>
        <v>1747.8540141138897</v>
      </c>
      <c r="H286" s="117">
        <f t="shared" si="31"/>
        <v>518.35624911388982</v>
      </c>
      <c r="I286" s="168">
        <f t="shared" si="32"/>
        <v>0.42159999299705103</v>
      </c>
    </row>
    <row r="287" spans="1:9" hidden="1" outlineLevel="1" x14ac:dyDescent="0.35">
      <c r="A287" s="182">
        <f t="shared" si="27"/>
        <v>275000</v>
      </c>
      <c r="B287" s="182">
        <f t="shared" si="27"/>
        <v>284999</v>
      </c>
      <c r="C287" s="182">
        <f t="shared" si="34"/>
        <v>279999.5</v>
      </c>
      <c r="D287" s="182">
        <f t="shared" si="34"/>
        <v>0.65666666666666662</v>
      </c>
      <c r="E287" s="182">
        <f t="shared" si="34"/>
        <v>7.88</v>
      </c>
      <c r="F287" s="224">
        <f t="shared" si="29"/>
        <v>1274.1977649999999</v>
      </c>
      <c r="G287" s="117">
        <f t="shared" si="30"/>
        <v>1812.2520636095969</v>
      </c>
      <c r="H287" s="117">
        <f t="shared" si="31"/>
        <v>538.05429860959703</v>
      </c>
      <c r="I287" s="168">
        <f t="shared" si="32"/>
        <v>0.42226906481004312</v>
      </c>
    </row>
    <row r="288" spans="1:9" hidden="1" outlineLevel="1" x14ac:dyDescent="0.35">
      <c r="A288" s="182">
        <f t="shared" si="27"/>
        <v>285000</v>
      </c>
      <c r="B288" s="182">
        <f t="shared" si="27"/>
        <v>294999</v>
      </c>
      <c r="C288" s="182">
        <f t="shared" si="34"/>
        <v>289999.5</v>
      </c>
      <c r="D288" s="182">
        <f t="shared" si="34"/>
        <v>0.41041666666666665</v>
      </c>
      <c r="E288" s="182">
        <f t="shared" si="34"/>
        <v>4.9249999999999998</v>
      </c>
      <c r="F288" s="224">
        <f t="shared" si="29"/>
        <v>1318.8977649999999</v>
      </c>
      <c r="G288" s="117">
        <f t="shared" si="30"/>
        <v>1876.6501131053044</v>
      </c>
      <c r="H288" s="117">
        <f t="shared" si="31"/>
        <v>557.75234810530446</v>
      </c>
      <c r="I288" s="168">
        <f t="shared" si="32"/>
        <v>0.42289278434352678</v>
      </c>
    </row>
    <row r="289" spans="1:9" hidden="1" outlineLevel="1" x14ac:dyDescent="0.35">
      <c r="A289" s="182">
        <f t="shared" si="27"/>
        <v>295000</v>
      </c>
      <c r="B289" s="182">
        <f t="shared" si="27"/>
        <v>304999</v>
      </c>
      <c r="C289" s="182">
        <f t="shared" si="34"/>
        <v>299999.5</v>
      </c>
      <c r="D289" s="182">
        <f t="shared" si="34"/>
        <v>0.41041666666666665</v>
      </c>
      <c r="E289" s="182">
        <f t="shared" si="34"/>
        <v>4.9249999999999998</v>
      </c>
      <c r="F289" s="224">
        <f t="shared" si="29"/>
        <v>1363.5977649999998</v>
      </c>
      <c r="G289" s="117">
        <f t="shared" si="30"/>
        <v>1941.0481626010117</v>
      </c>
      <c r="H289" s="117">
        <f t="shared" si="31"/>
        <v>577.4503976010119</v>
      </c>
      <c r="I289" s="168">
        <f t="shared" si="32"/>
        <v>0.42347561166691411</v>
      </c>
    </row>
    <row r="290" spans="1:9" hidden="1" outlineLevel="1" x14ac:dyDescent="0.35">
      <c r="A290" s="182">
        <f t="shared" si="27"/>
        <v>305000</v>
      </c>
      <c r="B290" s="182">
        <f t="shared" si="27"/>
        <v>314999</v>
      </c>
      <c r="C290" s="182">
        <f t="shared" si="34"/>
        <v>309999.5</v>
      </c>
      <c r="D290" s="182">
        <f t="shared" si="34"/>
        <v>0.57458333333333333</v>
      </c>
      <c r="E290" s="182">
        <f t="shared" si="34"/>
        <v>6.8949999999999996</v>
      </c>
      <c r="F290" s="224">
        <f t="shared" si="29"/>
        <v>1408.2977649999998</v>
      </c>
      <c r="G290" s="117">
        <f t="shared" si="30"/>
        <v>2005.4462120967191</v>
      </c>
      <c r="H290" s="117">
        <f t="shared" si="31"/>
        <v>597.14844709671934</v>
      </c>
      <c r="I290" s="168">
        <f t="shared" si="32"/>
        <v>0.42402144059123703</v>
      </c>
    </row>
    <row r="291" spans="1:9" hidden="1" outlineLevel="1" x14ac:dyDescent="0.35">
      <c r="A291" s="182">
        <f t="shared" si="27"/>
        <v>315000</v>
      </c>
      <c r="B291" s="182">
        <f t="shared" si="27"/>
        <v>324999</v>
      </c>
      <c r="C291" s="182">
        <f t="shared" si="34"/>
        <v>319999.5</v>
      </c>
      <c r="D291" s="182">
        <f t="shared" si="34"/>
        <v>0.24625</v>
      </c>
      <c r="E291" s="182">
        <f t="shared" si="34"/>
        <v>2.9550000000000001</v>
      </c>
      <c r="F291" s="224">
        <f t="shared" si="29"/>
        <v>1452.9977649999998</v>
      </c>
      <c r="G291" s="117">
        <f t="shared" si="30"/>
        <v>2069.8442615924264</v>
      </c>
      <c r="H291" s="117">
        <f t="shared" si="31"/>
        <v>616.84649659242655</v>
      </c>
      <c r="I291" s="168">
        <f t="shared" si="32"/>
        <v>0.42453368577096651</v>
      </c>
    </row>
    <row r="292" spans="1:9" hidden="1" outlineLevel="1" x14ac:dyDescent="0.35">
      <c r="A292" s="182">
        <f t="shared" si="27"/>
        <v>325000</v>
      </c>
      <c r="B292" s="182">
        <f t="shared" si="27"/>
        <v>334999</v>
      </c>
      <c r="C292" s="182">
        <f t="shared" si="34"/>
        <v>329999.5</v>
      </c>
      <c r="D292" s="182">
        <f t="shared" si="34"/>
        <v>0.57458333333333333</v>
      </c>
      <c r="E292" s="182">
        <f t="shared" si="34"/>
        <v>6.8949999999999996</v>
      </c>
      <c r="F292" s="224">
        <f t="shared" si="29"/>
        <v>1497.6977649999999</v>
      </c>
      <c r="G292" s="117">
        <f t="shared" si="30"/>
        <v>2134.2423110881336</v>
      </c>
      <c r="H292" s="117">
        <f t="shared" si="31"/>
        <v>636.54454608813376</v>
      </c>
      <c r="I292" s="168">
        <f t="shared" si="32"/>
        <v>0.42501535420808606</v>
      </c>
    </row>
    <row r="293" spans="1:9" hidden="1" outlineLevel="1" x14ac:dyDescent="0.35">
      <c r="A293" s="182">
        <f t="shared" si="27"/>
        <v>335000</v>
      </c>
      <c r="B293" s="182">
        <f t="shared" si="27"/>
        <v>344999</v>
      </c>
      <c r="C293" s="182">
        <f t="shared" si="34"/>
        <v>339999.5</v>
      </c>
      <c r="D293" s="182">
        <f t="shared" si="34"/>
        <v>0.32833333333333331</v>
      </c>
      <c r="E293" s="182">
        <f t="shared" si="34"/>
        <v>3.94</v>
      </c>
      <c r="F293" s="224">
        <f t="shared" si="29"/>
        <v>1542.3977649999999</v>
      </c>
      <c r="G293" s="117">
        <f t="shared" si="30"/>
        <v>2198.6403605838409</v>
      </c>
      <c r="H293" s="117">
        <f t="shared" si="31"/>
        <v>656.24259558384097</v>
      </c>
      <c r="I293" s="168">
        <f t="shared" si="32"/>
        <v>0.42546910432267193</v>
      </c>
    </row>
    <row r="294" spans="1:9" hidden="1" outlineLevel="1" x14ac:dyDescent="0.35">
      <c r="A294" s="182">
        <f t="shared" si="27"/>
        <v>345000</v>
      </c>
      <c r="B294" s="182">
        <f t="shared" si="27"/>
        <v>354999</v>
      </c>
      <c r="C294" s="182">
        <f t="shared" si="34"/>
        <v>349999.5</v>
      </c>
      <c r="D294" s="182">
        <f t="shared" si="34"/>
        <v>0</v>
      </c>
      <c r="E294" s="182">
        <f t="shared" si="34"/>
        <v>0</v>
      </c>
      <c r="F294" s="224">
        <f t="shared" si="29"/>
        <v>1587.0977649999998</v>
      </c>
      <c r="G294" s="117">
        <f t="shared" si="30"/>
        <v>2263.0384100795482</v>
      </c>
      <c r="H294" s="117">
        <f t="shared" si="31"/>
        <v>675.9406450795484</v>
      </c>
      <c r="I294" s="168">
        <f t="shared" si="32"/>
        <v>0.42589729504127211</v>
      </c>
    </row>
    <row r="295" spans="1:9" hidden="1" outlineLevel="1" x14ac:dyDescent="0.35">
      <c r="A295" s="182">
        <f t="shared" si="27"/>
        <v>355000</v>
      </c>
      <c r="B295" s="182">
        <f t="shared" si="27"/>
        <v>374999</v>
      </c>
      <c r="C295" s="182">
        <f t="shared" si="34"/>
        <v>364999.5</v>
      </c>
      <c r="D295" s="182">
        <f t="shared" si="34"/>
        <v>0.32833333333333331</v>
      </c>
      <c r="E295" s="182">
        <f t="shared" si="34"/>
        <v>3.94</v>
      </c>
      <c r="F295" s="224">
        <f t="shared" si="29"/>
        <v>1654.1477649999999</v>
      </c>
      <c r="G295" s="117">
        <f t="shared" si="30"/>
        <v>2359.6354843231093</v>
      </c>
      <c r="H295" s="117">
        <f t="shared" si="31"/>
        <v>705.48771932310933</v>
      </c>
      <c r="I295" s="168">
        <f t="shared" si="32"/>
        <v>0.42649618991149157</v>
      </c>
    </row>
    <row r="296" spans="1:9" hidden="1" outlineLevel="1" x14ac:dyDescent="0.35">
      <c r="A296" s="182">
        <f t="shared" si="27"/>
        <v>375000</v>
      </c>
      <c r="B296" s="182">
        <f t="shared" si="27"/>
        <v>384999</v>
      </c>
      <c r="C296" s="182">
        <f t="shared" si="34"/>
        <v>379999.5</v>
      </c>
      <c r="D296" s="182">
        <f t="shared" si="34"/>
        <v>0.16416666666666666</v>
      </c>
      <c r="E296" s="182">
        <f t="shared" si="34"/>
        <v>1.97</v>
      </c>
      <c r="F296" s="224">
        <f t="shared" si="29"/>
        <v>1721.1977649999999</v>
      </c>
      <c r="G296" s="117">
        <f t="shared" si="30"/>
        <v>2456.2325585666704</v>
      </c>
      <c r="H296" s="117">
        <f t="shared" si="31"/>
        <v>735.03479356667049</v>
      </c>
      <c r="I296" s="168">
        <f t="shared" si="32"/>
        <v>0.42704842436666218</v>
      </c>
    </row>
    <row r="297" spans="1:9" hidden="1" outlineLevel="1" x14ac:dyDescent="0.35">
      <c r="A297" s="182">
        <f t="shared" si="27"/>
        <v>385000</v>
      </c>
      <c r="B297" s="182">
        <f t="shared" si="27"/>
        <v>404999</v>
      </c>
      <c r="C297" s="182">
        <f t="shared" si="34"/>
        <v>394999.5</v>
      </c>
      <c r="D297" s="182">
        <f t="shared" si="34"/>
        <v>0.24625</v>
      </c>
      <c r="E297" s="182">
        <f t="shared" si="34"/>
        <v>2.9550000000000001</v>
      </c>
      <c r="F297" s="224">
        <f t="shared" si="29"/>
        <v>1788.2477649999998</v>
      </c>
      <c r="G297" s="117">
        <f t="shared" si="30"/>
        <v>2552.8296328102315</v>
      </c>
      <c r="H297" s="117">
        <f t="shared" si="31"/>
        <v>764.58186781023164</v>
      </c>
      <c r="I297" s="168">
        <f t="shared" si="32"/>
        <v>0.42755924697617709</v>
      </c>
    </row>
    <row r="298" spans="1:9" hidden="1" outlineLevel="1" x14ac:dyDescent="0.35">
      <c r="A298" s="182">
        <f t="shared" si="27"/>
        <v>405000</v>
      </c>
      <c r="B298" s="182">
        <f t="shared" si="27"/>
        <v>424999</v>
      </c>
      <c r="C298" s="182">
        <f t="shared" si="34"/>
        <v>414999.5</v>
      </c>
      <c r="D298" s="182">
        <f t="shared" si="34"/>
        <v>8.2083333333333328E-2</v>
      </c>
      <c r="E298" s="182">
        <f t="shared" si="34"/>
        <v>0.98499999999999999</v>
      </c>
      <c r="F298" s="224">
        <f t="shared" si="29"/>
        <v>1877.6477649999997</v>
      </c>
      <c r="G298" s="117">
        <f t="shared" si="30"/>
        <v>2681.625731801646</v>
      </c>
      <c r="H298" s="117">
        <f t="shared" si="31"/>
        <v>803.97796680164629</v>
      </c>
      <c r="I298" s="168">
        <f t="shared" si="32"/>
        <v>0.42818359321065014</v>
      </c>
    </row>
    <row r="299" spans="1:9" hidden="1" outlineLevel="1" x14ac:dyDescent="0.35">
      <c r="A299" s="182">
        <f t="shared" si="27"/>
        <v>425000</v>
      </c>
      <c r="B299" s="182">
        <f t="shared" si="27"/>
        <v>464999</v>
      </c>
      <c r="C299" s="182">
        <f t="shared" si="34"/>
        <v>444999.5</v>
      </c>
      <c r="D299" s="182">
        <f t="shared" si="34"/>
        <v>0.41041666666666665</v>
      </c>
      <c r="E299" s="182">
        <f t="shared" si="34"/>
        <v>4.9249999999999998</v>
      </c>
      <c r="F299" s="224">
        <f t="shared" si="29"/>
        <v>2011.7477649999998</v>
      </c>
      <c r="G299" s="117">
        <f t="shared" si="30"/>
        <v>2874.8198802887682</v>
      </c>
      <c r="H299" s="117">
        <f t="shared" si="31"/>
        <v>863.07211528876837</v>
      </c>
      <c r="I299" s="168">
        <f t="shared" si="32"/>
        <v>0.4290160676722653</v>
      </c>
    </row>
    <row r="300" spans="1:9" hidden="1" outlineLevel="1" x14ac:dyDescent="0.35">
      <c r="A300" s="182">
        <f t="shared" si="27"/>
        <v>465000</v>
      </c>
      <c r="B300" s="182">
        <f t="shared" si="27"/>
        <v>624999</v>
      </c>
      <c r="C300" s="182">
        <f t="shared" si="34"/>
        <v>544999.5</v>
      </c>
      <c r="D300" s="182">
        <f t="shared" si="34"/>
        <v>1.0670833333333334</v>
      </c>
      <c r="E300" s="182">
        <f t="shared" si="34"/>
        <v>12.805</v>
      </c>
      <c r="F300" s="224">
        <f t="shared" si="29"/>
        <v>2458.7477650000001</v>
      </c>
      <c r="G300" s="117">
        <f t="shared" si="30"/>
        <v>3518.8003752458417</v>
      </c>
      <c r="H300" s="117">
        <f t="shared" si="31"/>
        <v>1060.0526102458416</v>
      </c>
      <c r="I300" s="168">
        <f t="shared" si="32"/>
        <v>0.43113515966768617</v>
      </c>
    </row>
    <row r="301" spans="1:9" hidden="1" outlineLevel="1" x14ac:dyDescent="0.35">
      <c r="A301" s="182">
        <f t="shared" si="27"/>
        <v>625000</v>
      </c>
      <c r="B301" s="182">
        <f t="shared" si="27"/>
        <v>654999</v>
      </c>
      <c r="C301" s="182">
        <f t="shared" si="34"/>
        <v>639999.5</v>
      </c>
      <c r="D301" s="182">
        <f t="shared" si="34"/>
        <v>0.16416666666666666</v>
      </c>
      <c r="E301" s="182">
        <f t="shared" si="34"/>
        <v>1.97</v>
      </c>
      <c r="F301" s="224">
        <f t="shared" si="29"/>
        <v>2883.3977650000002</v>
      </c>
      <c r="G301" s="117">
        <f t="shared" si="30"/>
        <v>4130.5818454550617</v>
      </c>
      <c r="H301" s="117">
        <f t="shared" si="31"/>
        <v>1247.1840804550616</v>
      </c>
      <c r="I301" s="168">
        <f t="shared" si="32"/>
        <v>0.43253972642760286</v>
      </c>
    </row>
    <row r="302" spans="1:9" hidden="1" outlineLevel="1" x14ac:dyDescent="0.35">
      <c r="A302" s="182">
        <f t="shared" si="27"/>
        <v>655000</v>
      </c>
      <c r="B302" s="182">
        <f t="shared" si="27"/>
        <v>714999</v>
      </c>
      <c r="C302" s="182">
        <f t="shared" si="34"/>
        <v>684999.5</v>
      </c>
      <c r="D302" s="182">
        <f t="shared" si="34"/>
        <v>0.65666666666666662</v>
      </c>
      <c r="E302" s="182">
        <f t="shared" si="34"/>
        <v>7.88</v>
      </c>
      <c r="F302" s="224">
        <f t="shared" si="29"/>
        <v>3084.5477649999998</v>
      </c>
      <c r="G302" s="117">
        <f t="shared" si="30"/>
        <v>4420.3730681857442</v>
      </c>
      <c r="H302" s="117">
        <f t="shared" si="31"/>
        <v>1335.8253031857444</v>
      </c>
      <c r="I302" s="168">
        <f t="shared" si="32"/>
        <v>0.43307006568132833</v>
      </c>
    </row>
    <row r="303" spans="1:9" hidden="1" outlineLevel="1" x14ac:dyDescent="0.35">
      <c r="A303" s="182">
        <f t="shared" si="27"/>
        <v>715000</v>
      </c>
      <c r="B303" s="182">
        <f t="shared" si="27"/>
        <v>844999</v>
      </c>
      <c r="C303" s="182">
        <f t="shared" si="34"/>
        <v>779999.5</v>
      </c>
      <c r="D303" s="182">
        <f t="shared" si="34"/>
        <v>1.8058333333333332</v>
      </c>
      <c r="E303" s="182">
        <f t="shared" si="34"/>
        <v>21.669999999999998</v>
      </c>
      <c r="F303" s="224">
        <f t="shared" si="29"/>
        <v>3509.1977649999999</v>
      </c>
      <c r="G303" s="117">
        <f t="shared" si="30"/>
        <v>5032.1545383949642</v>
      </c>
      <c r="H303" s="117">
        <f t="shared" si="31"/>
        <v>1522.9567733949643</v>
      </c>
      <c r="I303" s="168">
        <f t="shared" si="32"/>
        <v>0.43399001007712212</v>
      </c>
    </row>
    <row r="304" spans="1:9" hidden="1" outlineLevel="1" x14ac:dyDescent="0.35">
      <c r="A304" s="219">
        <f t="shared" si="27"/>
        <v>845000</v>
      </c>
      <c r="B304" s="219">
        <f t="shared" si="27"/>
        <v>900000</v>
      </c>
      <c r="C304" s="219">
        <f t="shared" si="34"/>
        <v>845000</v>
      </c>
      <c r="D304" s="219">
        <f t="shared" si="34"/>
        <v>0</v>
      </c>
      <c r="E304" s="219">
        <f t="shared" si="34"/>
        <v>0</v>
      </c>
      <c r="F304" s="226">
        <f t="shared" si="29"/>
        <v>3799.75</v>
      </c>
      <c r="G304" s="121">
        <f t="shared" si="30"/>
        <v>5450.7450800195365</v>
      </c>
      <c r="H304" s="121">
        <f t="shared" si="31"/>
        <v>1650.9950800195365</v>
      </c>
      <c r="I304" s="231">
        <f t="shared" si="32"/>
        <v>0.43450097506929047</v>
      </c>
    </row>
    <row r="305" spans="1:12" hidden="1" outlineLevel="1" x14ac:dyDescent="0.35">
      <c r="A305" s="165"/>
    </row>
    <row r="306" spans="1:12" hidden="1" outlineLevel="1" x14ac:dyDescent="0.35">
      <c r="A306" s="165"/>
      <c r="D306" s="182">
        <f>SUM(D245:D305)</f>
        <v>8679.4916666666704</v>
      </c>
      <c r="E306" s="182">
        <f>SUM(E245:E305)</f>
        <v>104153.90000000007</v>
      </c>
    </row>
    <row r="307" spans="1:12" hidden="1" outlineLevel="1" x14ac:dyDescent="0.35"/>
    <row r="308" spans="1:12" hidden="1" outlineLevel="1" x14ac:dyDescent="0.35"/>
    <row r="309" spans="1:12" hidden="1" outlineLevel="1" x14ac:dyDescent="0.35"/>
    <row r="310" spans="1:12" s="122" customFormat="1" ht="7.5" customHeight="1" collapsed="1" x14ac:dyDescent="0.35">
      <c r="K310" s="230"/>
    </row>
    <row r="311" spans="1:12" x14ac:dyDescent="0.35">
      <c r="A311" s="25" t="s">
        <v>4</v>
      </c>
      <c r="J311" s="50" t="s">
        <v>1656</v>
      </c>
      <c r="L311" s="589" t="s">
        <v>154</v>
      </c>
    </row>
    <row r="312" spans="1:12" x14ac:dyDescent="0.35">
      <c r="A312" s="25" t="s">
        <v>109</v>
      </c>
    </row>
    <row r="313" spans="1:12" x14ac:dyDescent="0.35">
      <c r="A313" s="25" t="s">
        <v>1569</v>
      </c>
    </row>
    <row r="315" spans="1:12" x14ac:dyDescent="0.35">
      <c r="F315" s="29" t="s">
        <v>333</v>
      </c>
      <c r="G315" s="29" t="s">
        <v>297</v>
      </c>
    </row>
    <row r="316" spans="1:12" ht="31" x14ac:dyDescent="0.35">
      <c r="A316" s="205" t="s">
        <v>317</v>
      </c>
      <c r="B316" s="205" t="s">
        <v>318</v>
      </c>
      <c r="C316" s="114" t="s">
        <v>319</v>
      </c>
      <c r="D316" s="205" t="s">
        <v>320</v>
      </c>
      <c r="E316" s="205" t="s">
        <v>266</v>
      </c>
      <c r="F316" s="114" t="s">
        <v>321</v>
      </c>
      <c r="G316" s="114" t="s">
        <v>321</v>
      </c>
      <c r="H316" s="205" t="s">
        <v>334</v>
      </c>
      <c r="I316" s="205" t="s">
        <v>33</v>
      </c>
    </row>
    <row r="317" spans="1:12" x14ac:dyDescent="0.35">
      <c r="A317" s="182">
        <f t="shared" ref="A317:F317" si="35">A245</f>
        <v>0</v>
      </c>
      <c r="B317" s="182">
        <f t="shared" si="35"/>
        <v>0</v>
      </c>
      <c r="C317" s="182">
        <f t="shared" si="35"/>
        <v>0</v>
      </c>
      <c r="D317" s="182">
        <f t="shared" si="35"/>
        <v>788</v>
      </c>
      <c r="E317" s="182">
        <f t="shared" si="35"/>
        <v>9456</v>
      </c>
      <c r="F317" s="225">
        <f t="shared" si="35"/>
        <v>17.11</v>
      </c>
      <c r="G317" s="214">
        <f>H165</f>
        <v>19.629439592226891</v>
      </c>
      <c r="H317" s="117">
        <f>G317-F317</f>
        <v>2.5194395922268917</v>
      </c>
      <c r="I317" s="168">
        <f>(G317-F317)/F317</f>
        <v>0.14724953782740455</v>
      </c>
    </row>
    <row r="318" spans="1:12" x14ac:dyDescent="0.35">
      <c r="A318" s="182">
        <f t="shared" ref="A318:F318" si="36">A246</f>
        <v>0</v>
      </c>
      <c r="B318" s="182">
        <f t="shared" si="36"/>
        <v>999</v>
      </c>
      <c r="C318" s="182">
        <f t="shared" si="36"/>
        <v>499.5</v>
      </c>
      <c r="D318" s="182">
        <f t="shared" si="36"/>
        <v>958.07666666666671</v>
      </c>
      <c r="E318" s="182">
        <f t="shared" si="36"/>
        <v>11496.92</v>
      </c>
      <c r="F318" s="224">
        <f t="shared" si="36"/>
        <v>17.11</v>
      </c>
      <c r="G318" s="117">
        <f t="shared" ref="G318:G376" si="37">H166</f>
        <v>19.629439592226891</v>
      </c>
      <c r="H318" s="117">
        <f t="shared" ref="H318:H376" si="38">G318-F318</f>
        <v>2.5194395922268917</v>
      </c>
      <c r="I318" s="168">
        <f t="shared" ref="I318:I376" si="39">(G318-F318)/F318</f>
        <v>0.14724953782740455</v>
      </c>
    </row>
    <row r="319" spans="1:12" x14ac:dyDescent="0.35">
      <c r="A319" s="182">
        <f t="shared" ref="A319:F319" si="40">A247</f>
        <v>1000</v>
      </c>
      <c r="B319" s="182">
        <f t="shared" si="40"/>
        <v>1999</v>
      </c>
      <c r="C319" s="182">
        <f t="shared" si="40"/>
        <v>1499.5</v>
      </c>
      <c r="D319" s="182">
        <f t="shared" si="40"/>
        <v>1405.9233333333332</v>
      </c>
      <c r="E319" s="182">
        <f t="shared" si="40"/>
        <v>16871.079999999998</v>
      </c>
      <c r="F319" s="224">
        <f t="shared" si="40"/>
        <v>17.11</v>
      </c>
      <c r="G319" s="117">
        <f t="shared" si="37"/>
        <v>19.629439592226891</v>
      </c>
      <c r="H319" s="117">
        <f t="shared" si="38"/>
        <v>2.5194395922268917</v>
      </c>
      <c r="I319" s="168">
        <f t="shared" si="39"/>
        <v>0.14724953782740455</v>
      </c>
    </row>
    <row r="320" spans="1:12" x14ac:dyDescent="0.35">
      <c r="A320" s="182">
        <f t="shared" ref="A320:F320" si="41">A248</f>
        <v>2000</v>
      </c>
      <c r="B320" s="182">
        <f t="shared" si="41"/>
        <v>2999</v>
      </c>
      <c r="C320" s="182">
        <f t="shared" si="41"/>
        <v>2499.5</v>
      </c>
      <c r="D320" s="182">
        <f t="shared" si="41"/>
        <v>1430.95875</v>
      </c>
      <c r="E320" s="182">
        <f t="shared" si="41"/>
        <v>17171.505000000001</v>
      </c>
      <c r="F320" s="224">
        <f t="shared" si="41"/>
        <v>19.897209999999998</v>
      </c>
      <c r="G320" s="117">
        <f t="shared" si="37"/>
        <v>22.827064976554809</v>
      </c>
      <c r="H320" s="117">
        <f t="shared" si="38"/>
        <v>2.929854976554811</v>
      </c>
      <c r="I320" s="168">
        <f t="shared" si="39"/>
        <v>0.14724953782740452</v>
      </c>
    </row>
    <row r="321" spans="1:9" x14ac:dyDescent="0.35">
      <c r="A321" s="182">
        <f t="shared" ref="A321:F321" si="42">A249</f>
        <v>3000</v>
      </c>
      <c r="B321" s="182">
        <f t="shared" si="42"/>
        <v>3999</v>
      </c>
      <c r="C321" s="182">
        <f t="shared" si="42"/>
        <v>3499.5</v>
      </c>
      <c r="D321" s="182">
        <f t="shared" si="42"/>
        <v>1213.3558333333333</v>
      </c>
      <c r="E321" s="182">
        <f t="shared" si="42"/>
        <v>14560.27</v>
      </c>
      <c r="F321" s="224">
        <f t="shared" si="42"/>
        <v>25.477209999999999</v>
      </c>
      <c r="G321" s="117">
        <f t="shared" si="37"/>
        <v>29.228717397631726</v>
      </c>
      <c r="H321" s="117">
        <f t="shared" si="38"/>
        <v>3.7515073976317268</v>
      </c>
      <c r="I321" s="168">
        <f t="shared" si="39"/>
        <v>0.14724953782740444</v>
      </c>
    </row>
    <row r="322" spans="1:9" x14ac:dyDescent="0.35">
      <c r="A322" s="182">
        <f t="shared" ref="A322:F322" si="43">A250</f>
        <v>4000</v>
      </c>
      <c r="B322" s="182">
        <f t="shared" si="43"/>
        <v>4999</v>
      </c>
      <c r="C322" s="182">
        <f t="shared" si="43"/>
        <v>4499.5</v>
      </c>
      <c r="D322" s="182">
        <f t="shared" si="43"/>
        <v>939.52583333333325</v>
      </c>
      <c r="E322" s="182">
        <f t="shared" si="43"/>
        <v>11274.31</v>
      </c>
      <c r="F322" s="224">
        <f t="shared" si="43"/>
        <v>31.057210000000001</v>
      </c>
      <c r="G322" s="117">
        <f t="shared" si="37"/>
        <v>35.630369818708644</v>
      </c>
      <c r="H322" s="117">
        <f t="shared" si="38"/>
        <v>4.5731598187086426</v>
      </c>
      <c r="I322" s="168">
        <f t="shared" si="39"/>
        <v>0.14724953782740441</v>
      </c>
    </row>
    <row r="323" spans="1:9" x14ac:dyDescent="0.35">
      <c r="A323" s="182">
        <f t="shared" ref="A323:F323" si="44">A251</f>
        <v>5000</v>
      </c>
      <c r="B323" s="182">
        <f t="shared" si="44"/>
        <v>5999</v>
      </c>
      <c r="C323" s="182">
        <f t="shared" si="44"/>
        <v>5499.5</v>
      </c>
      <c r="D323" s="182">
        <f t="shared" si="44"/>
        <v>622.35583333333329</v>
      </c>
      <c r="E323" s="182">
        <f t="shared" si="44"/>
        <v>7468.2699999999995</v>
      </c>
      <c r="F323" s="224">
        <f t="shared" si="44"/>
        <v>36.637209999999996</v>
      </c>
      <c r="G323" s="117">
        <f t="shared" si="37"/>
        <v>42.032022239785562</v>
      </c>
      <c r="H323" s="117">
        <f t="shared" si="38"/>
        <v>5.3948122397855656</v>
      </c>
      <c r="I323" s="168">
        <f t="shared" si="39"/>
        <v>0.1472495378274046</v>
      </c>
    </row>
    <row r="324" spans="1:9" x14ac:dyDescent="0.35">
      <c r="A324" s="182">
        <f t="shared" ref="A324:F324" si="45">A252</f>
        <v>6000</v>
      </c>
      <c r="B324" s="182">
        <f t="shared" si="45"/>
        <v>6999</v>
      </c>
      <c r="C324" s="182">
        <f t="shared" si="45"/>
        <v>6499.5</v>
      </c>
      <c r="D324" s="182">
        <f t="shared" si="45"/>
        <v>403.35750000000002</v>
      </c>
      <c r="E324" s="182">
        <f t="shared" si="45"/>
        <v>4840.29</v>
      </c>
      <c r="F324" s="224">
        <f t="shared" si="45"/>
        <v>42.217210000000001</v>
      </c>
      <c r="G324" s="117">
        <f t="shared" si="37"/>
        <v>48.433674660862479</v>
      </c>
      <c r="H324" s="117">
        <f t="shared" si="38"/>
        <v>6.2164646608624778</v>
      </c>
      <c r="I324" s="168">
        <f t="shared" si="39"/>
        <v>0.14724953782740446</v>
      </c>
    </row>
    <row r="325" spans="1:9" x14ac:dyDescent="0.35">
      <c r="A325" s="182">
        <f t="shared" ref="A325:F325" si="46">A253</f>
        <v>7000</v>
      </c>
      <c r="B325" s="182">
        <f t="shared" si="46"/>
        <v>7999</v>
      </c>
      <c r="C325" s="182">
        <f t="shared" si="46"/>
        <v>7499.5</v>
      </c>
      <c r="D325" s="182">
        <f t="shared" si="46"/>
        <v>247.97375</v>
      </c>
      <c r="E325" s="182">
        <f t="shared" si="46"/>
        <v>2975.6849999999999</v>
      </c>
      <c r="F325" s="224">
        <f t="shared" si="46"/>
        <v>47.79721</v>
      </c>
      <c r="G325" s="117">
        <f t="shared" si="37"/>
        <v>54.835327081939397</v>
      </c>
      <c r="H325" s="117">
        <f t="shared" si="38"/>
        <v>7.0381170819393972</v>
      </c>
      <c r="I325" s="168">
        <f t="shared" si="39"/>
        <v>0.14724953782740452</v>
      </c>
    </row>
    <row r="326" spans="1:9" x14ac:dyDescent="0.35">
      <c r="A326" s="182">
        <f t="shared" ref="A326:F326" si="47">A254</f>
        <v>8000</v>
      </c>
      <c r="B326" s="182">
        <f t="shared" si="47"/>
        <v>8999</v>
      </c>
      <c r="C326" s="182">
        <f t="shared" si="47"/>
        <v>8499.5</v>
      </c>
      <c r="D326" s="182">
        <f t="shared" si="47"/>
        <v>160.55500000000001</v>
      </c>
      <c r="E326" s="182">
        <f t="shared" si="47"/>
        <v>1926.66</v>
      </c>
      <c r="F326" s="224">
        <f t="shared" si="47"/>
        <v>53.377209999999998</v>
      </c>
      <c r="G326" s="117">
        <f t="shared" si="37"/>
        <v>61.236979503016315</v>
      </c>
      <c r="H326" s="117">
        <f t="shared" si="38"/>
        <v>7.8597695030163166</v>
      </c>
      <c r="I326" s="168">
        <f t="shared" si="39"/>
        <v>0.14724953782740455</v>
      </c>
    </row>
    <row r="327" spans="1:9" x14ac:dyDescent="0.35">
      <c r="A327" s="182">
        <f t="shared" ref="A327:F327" si="48">A255</f>
        <v>9000</v>
      </c>
      <c r="B327" s="182">
        <f t="shared" si="48"/>
        <v>9999</v>
      </c>
      <c r="C327" s="182">
        <f t="shared" si="48"/>
        <v>9499.5</v>
      </c>
      <c r="D327" s="182">
        <f t="shared" si="48"/>
        <v>105.96958333333333</v>
      </c>
      <c r="E327" s="182">
        <f t="shared" si="48"/>
        <v>1271.635</v>
      </c>
      <c r="F327" s="224">
        <f t="shared" si="48"/>
        <v>58.957209999999996</v>
      </c>
      <c r="G327" s="117">
        <f t="shared" si="37"/>
        <v>67.638631924093232</v>
      </c>
      <c r="H327" s="117">
        <f t="shared" si="38"/>
        <v>8.681421924093236</v>
      </c>
      <c r="I327" s="168">
        <f t="shared" si="39"/>
        <v>0.1472495378274046</v>
      </c>
    </row>
    <row r="328" spans="1:9" x14ac:dyDescent="0.35">
      <c r="A328" s="182">
        <f t="shared" ref="A328:F328" si="49">A256</f>
        <v>10000</v>
      </c>
      <c r="B328" s="182">
        <f t="shared" si="49"/>
        <v>10999</v>
      </c>
      <c r="C328" s="182">
        <f t="shared" si="49"/>
        <v>10499.5</v>
      </c>
      <c r="D328" s="182">
        <f t="shared" si="49"/>
        <v>69.524583333333325</v>
      </c>
      <c r="E328" s="182">
        <f t="shared" si="49"/>
        <v>834.29499999999996</v>
      </c>
      <c r="F328" s="224">
        <f t="shared" si="49"/>
        <v>64.537209999999988</v>
      </c>
      <c r="G328" s="117">
        <f t="shared" si="37"/>
        <v>74.04028434517015</v>
      </c>
      <c r="H328" s="117">
        <f t="shared" si="38"/>
        <v>9.5030743451701625</v>
      </c>
      <c r="I328" s="168">
        <f t="shared" si="39"/>
        <v>0.14724953782740474</v>
      </c>
    </row>
    <row r="329" spans="1:9" x14ac:dyDescent="0.35">
      <c r="A329" s="182">
        <f t="shared" ref="A329:F329" si="50">A257</f>
        <v>11000</v>
      </c>
      <c r="B329" s="182">
        <f t="shared" si="50"/>
        <v>11999</v>
      </c>
      <c r="C329" s="182">
        <f t="shared" si="50"/>
        <v>11499.5</v>
      </c>
      <c r="D329" s="182">
        <f t="shared" si="50"/>
        <v>46.459166666666668</v>
      </c>
      <c r="E329" s="182">
        <f t="shared" si="50"/>
        <v>557.51</v>
      </c>
      <c r="F329" s="224">
        <f t="shared" si="50"/>
        <v>70.11721</v>
      </c>
      <c r="G329" s="117">
        <f t="shared" si="37"/>
        <v>80.441936766247068</v>
      </c>
      <c r="H329" s="117">
        <f t="shared" si="38"/>
        <v>10.324726766247068</v>
      </c>
      <c r="I329" s="168">
        <f t="shared" si="39"/>
        <v>0.14724953782740455</v>
      </c>
    </row>
    <row r="330" spans="1:9" x14ac:dyDescent="0.35">
      <c r="A330" s="182">
        <f t="shared" ref="A330:F330" si="51">A258</f>
        <v>12000</v>
      </c>
      <c r="B330" s="182">
        <f t="shared" si="51"/>
        <v>12999</v>
      </c>
      <c r="C330" s="182">
        <f t="shared" si="51"/>
        <v>12499.5</v>
      </c>
      <c r="D330" s="182">
        <f t="shared" si="51"/>
        <v>36.280833333333334</v>
      </c>
      <c r="E330" s="182">
        <f t="shared" si="51"/>
        <v>435.37</v>
      </c>
      <c r="F330" s="224">
        <f t="shared" si="51"/>
        <v>75.697209999999998</v>
      </c>
      <c r="G330" s="117">
        <f t="shared" si="37"/>
        <v>86.843589187323985</v>
      </c>
      <c r="H330" s="117">
        <f t="shared" si="38"/>
        <v>11.146379187323987</v>
      </c>
      <c r="I330" s="168">
        <f t="shared" si="39"/>
        <v>0.14724953782740458</v>
      </c>
    </row>
    <row r="331" spans="1:9" x14ac:dyDescent="0.35">
      <c r="A331" s="182">
        <f t="shared" ref="A331:F331" si="52">A259</f>
        <v>13000</v>
      </c>
      <c r="B331" s="182">
        <f t="shared" si="52"/>
        <v>13999</v>
      </c>
      <c r="C331" s="182">
        <f t="shared" si="52"/>
        <v>13499.5</v>
      </c>
      <c r="D331" s="182">
        <f t="shared" si="52"/>
        <v>26.512916666666666</v>
      </c>
      <c r="E331" s="182">
        <f t="shared" si="52"/>
        <v>318.15499999999997</v>
      </c>
      <c r="F331" s="224">
        <f t="shared" si="52"/>
        <v>81.277209999999997</v>
      </c>
      <c r="G331" s="117">
        <f t="shared" si="37"/>
        <v>93.245241608400903</v>
      </c>
      <c r="H331" s="117">
        <f t="shared" si="38"/>
        <v>11.968031608400906</v>
      </c>
      <c r="I331" s="168">
        <f t="shared" si="39"/>
        <v>0.1472495378274046</v>
      </c>
    </row>
    <row r="332" spans="1:9" x14ac:dyDescent="0.35">
      <c r="A332" s="182">
        <f t="shared" ref="A332:F332" si="53">A260</f>
        <v>14000</v>
      </c>
      <c r="B332" s="182">
        <f t="shared" si="53"/>
        <v>14999</v>
      </c>
      <c r="C332" s="182">
        <f t="shared" si="53"/>
        <v>14499.5</v>
      </c>
      <c r="D332" s="182">
        <f t="shared" si="53"/>
        <v>23.147499999999997</v>
      </c>
      <c r="E332" s="182">
        <f t="shared" si="53"/>
        <v>277.77</v>
      </c>
      <c r="F332" s="224">
        <f t="shared" si="53"/>
        <v>86.857209999999995</v>
      </c>
      <c r="G332" s="117">
        <f t="shared" si="37"/>
        <v>99.646894029477821</v>
      </c>
      <c r="H332" s="117">
        <f t="shared" si="38"/>
        <v>12.789684029477826</v>
      </c>
      <c r="I332" s="168">
        <f t="shared" si="39"/>
        <v>0.1472495378274046</v>
      </c>
    </row>
    <row r="333" spans="1:9" x14ac:dyDescent="0.35">
      <c r="A333" s="182">
        <f t="shared" ref="A333:F333" si="54">A261</f>
        <v>15000</v>
      </c>
      <c r="B333" s="182">
        <f t="shared" si="54"/>
        <v>24999</v>
      </c>
      <c r="C333" s="182">
        <f t="shared" si="54"/>
        <v>19999.5</v>
      </c>
      <c r="D333" s="182">
        <f t="shared" si="54"/>
        <v>91.194583333333341</v>
      </c>
      <c r="E333" s="182">
        <f t="shared" si="54"/>
        <v>1094.335</v>
      </c>
      <c r="F333" s="224">
        <f t="shared" si="54"/>
        <v>111.997765</v>
      </c>
      <c r="G333" s="117">
        <f t="shared" si="37"/>
        <v>131.65547621748348</v>
      </c>
      <c r="H333" s="117">
        <f t="shared" si="38"/>
        <v>19.657711217483481</v>
      </c>
      <c r="I333" s="168">
        <f t="shared" si="39"/>
        <v>0.17551878126749654</v>
      </c>
    </row>
    <row r="334" spans="1:9" x14ac:dyDescent="0.35">
      <c r="A334" s="182">
        <f t="shared" ref="A334:F334" si="55">A262</f>
        <v>25000</v>
      </c>
      <c r="B334" s="182">
        <f t="shared" si="55"/>
        <v>34999</v>
      </c>
      <c r="C334" s="182">
        <f t="shared" si="55"/>
        <v>29999.5</v>
      </c>
      <c r="D334" s="182">
        <f t="shared" si="55"/>
        <v>29.714166666666667</v>
      </c>
      <c r="E334" s="182">
        <f t="shared" si="55"/>
        <v>356.57</v>
      </c>
      <c r="F334" s="224">
        <f t="shared" si="55"/>
        <v>156.697765</v>
      </c>
      <c r="G334" s="117">
        <f t="shared" si="37"/>
        <v>189.27034800717576</v>
      </c>
      <c r="H334" s="117">
        <f t="shared" si="38"/>
        <v>32.572583007175751</v>
      </c>
      <c r="I334" s="168">
        <f t="shared" si="39"/>
        <v>0.20786884233591812</v>
      </c>
    </row>
    <row r="335" spans="1:9" x14ac:dyDescent="0.35">
      <c r="A335" s="182">
        <f t="shared" ref="A335:F335" si="56">A263</f>
        <v>35000</v>
      </c>
      <c r="B335" s="182">
        <f t="shared" si="56"/>
        <v>44999</v>
      </c>
      <c r="C335" s="182">
        <f t="shared" si="56"/>
        <v>39999.5</v>
      </c>
      <c r="D335" s="182">
        <f t="shared" si="56"/>
        <v>20.356666666666666</v>
      </c>
      <c r="E335" s="182">
        <f t="shared" si="56"/>
        <v>244.28</v>
      </c>
      <c r="F335" s="224">
        <f t="shared" si="56"/>
        <v>201.39776499999999</v>
      </c>
      <c r="G335" s="117">
        <f t="shared" si="37"/>
        <v>246.885219796868</v>
      </c>
      <c r="H335" s="117">
        <f t="shared" si="38"/>
        <v>45.487454796868008</v>
      </c>
      <c r="I335" s="168">
        <f t="shared" si="39"/>
        <v>0.22585878645112079</v>
      </c>
    </row>
    <row r="336" spans="1:9" x14ac:dyDescent="0.35">
      <c r="A336" s="182">
        <f t="shared" ref="A336:F336" si="57">A264</f>
        <v>45000</v>
      </c>
      <c r="B336" s="182">
        <f t="shared" si="57"/>
        <v>54999</v>
      </c>
      <c r="C336" s="182">
        <f t="shared" si="57"/>
        <v>49999.5</v>
      </c>
      <c r="D336" s="182">
        <f t="shared" si="57"/>
        <v>13.133333333333333</v>
      </c>
      <c r="E336" s="182">
        <f t="shared" si="57"/>
        <v>157.6</v>
      </c>
      <c r="F336" s="224">
        <f t="shared" si="57"/>
        <v>246.09776499999998</v>
      </c>
      <c r="G336" s="117">
        <f t="shared" si="37"/>
        <v>304.50009158656025</v>
      </c>
      <c r="H336" s="117">
        <f t="shared" si="38"/>
        <v>58.402326586560264</v>
      </c>
      <c r="I336" s="168">
        <f t="shared" si="39"/>
        <v>0.23731351882273399</v>
      </c>
    </row>
    <row r="337" spans="1:9" x14ac:dyDescent="0.35">
      <c r="A337" s="182">
        <f t="shared" ref="A337:F337" si="58">A265</f>
        <v>55000</v>
      </c>
      <c r="B337" s="182">
        <f t="shared" si="58"/>
        <v>64999</v>
      </c>
      <c r="C337" s="182">
        <f t="shared" si="58"/>
        <v>59999.5</v>
      </c>
      <c r="D337" s="182">
        <f t="shared" si="58"/>
        <v>8.3725000000000005</v>
      </c>
      <c r="E337" s="182">
        <f t="shared" si="58"/>
        <v>100.47</v>
      </c>
      <c r="F337" s="224">
        <f t="shared" si="58"/>
        <v>290.79776499999997</v>
      </c>
      <c r="G337" s="117">
        <f t="shared" si="37"/>
        <v>362.11496337625249</v>
      </c>
      <c r="H337" s="117">
        <f t="shared" si="38"/>
        <v>71.31719837625252</v>
      </c>
      <c r="I337" s="168">
        <f t="shared" si="39"/>
        <v>0.24524672112336396</v>
      </c>
    </row>
    <row r="338" spans="1:9" x14ac:dyDescent="0.35">
      <c r="A338" s="182">
        <f t="shared" ref="A338:F338" si="59">A266</f>
        <v>65000</v>
      </c>
      <c r="B338" s="182">
        <f t="shared" si="59"/>
        <v>74999</v>
      </c>
      <c r="C338" s="182">
        <f t="shared" si="59"/>
        <v>69999.5</v>
      </c>
      <c r="D338" s="182">
        <f t="shared" si="59"/>
        <v>6.2383333333333333</v>
      </c>
      <c r="E338" s="182">
        <f t="shared" si="59"/>
        <v>74.86</v>
      </c>
      <c r="F338" s="224">
        <f t="shared" si="59"/>
        <v>335.49776500000002</v>
      </c>
      <c r="G338" s="117">
        <f t="shared" si="37"/>
        <v>419.72983516594473</v>
      </c>
      <c r="H338" s="117">
        <f t="shared" si="38"/>
        <v>84.23207016594472</v>
      </c>
      <c r="I338" s="168">
        <f t="shared" si="39"/>
        <v>0.25106596512183832</v>
      </c>
    </row>
    <row r="339" spans="1:9" x14ac:dyDescent="0.35">
      <c r="A339" s="182">
        <f t="shared" ref="A339:F339" si="60">A267</f>
        <v>75000</v>
      </c>
      <c r="B339" s="182">
        <f t="shared" si="60"/>
        <v>84999</v>
      </c>
      <c r="C339" s="182">
        <f t="shared" si="60"/>
        <v>79999.5</v>
      </c>
      <c r="D339" s="182">
        <f t="shared" si="60"/>
        <v>3.3654166666666665</v>
      </c>
      <c r="E339" s="182">
        <f t="shared" si="60"/>
        <v>40.384999999999998</v>
      </c>
      <c r="F339" s="224">
        <f t="shared" si="60"/>
        <v>380.197765</v>
      </c>
      <c r="G339" s="117">
        <f t="shared" si="37"/>
        <v>477.34470695563698</v>
      </c>
      <c r="H339" s="117">
        <f t="shared" si="38"/>
        <v>97.146941955636976</v>
      </c>
      <c r="I339" s="168">
        <f t="shared" si="39"/>
        <v>0.25551686753244585</v>
      </c>
    </row>
    <row r="340" spans="1:9" x14ac:dyDescent="0.35">
      <c r="A340" s="182">
        <f t="shared" ref="A340:F340" si="61">A268</f>
        <v>85000</v>
      </c>
      <c r="B340" s="182">
        <f t="shared" si="61"/>
        <v>94999</v>
      </c>
      <c r="C340" s="182">
        <f t="shared" si="61"/>
        <v>89999.5</v>
      </c>
      <c r="D340" s="182">
        <f t="shared" si="61"/>
        <v>2.7087500000000002</v>
      </c>
      <c r="E340" s="182">
        <f t="shared" si="61"/>
        <v>32.505000000000003</v>
      </c>
      <c r="F340" s="224">
        <f t="shared" si="61"/>
        <v>424.89776499999999</v>
      </c>
      <c r="G340" s="117">
        <f t="shared" si="37"/>
        <v>534.95957874532928</v>
      </c>
      <c r="H340" s="117">
        <f t="shared" si="38"/>
        <v>110.06181374532929</v>
      </c>
      <c r="I340" s="168">
        <f t="shared" si="39"/>
        <v>0.25903128425570626</v>
      </c>
    </row>
    <row r="341" spans="1:9" x14ac:dyDescent="0.35">
      <c r="A341" s="182">
        <f t="shared" ref="A341:F341" si="62">A269</f>
        <v>95000</v>
      </c>
      <c r="B341" s="182">
        <f t="shared" si="62"/>
        <v>104999</v>
      </c>
      <c r="C341" s="182">
        <f t="shared" si="62"/>
        <v>99999.5</v>
      </c>
      <c r="D341" s="182">
        <f t="shared" si="62"/>
        <v>2.2162500000000001</v>
      </c>
      <c r="E341" s="182">
        <f t="shared" si="62"/>
        <v>26.594999999999999</v>
      </c>
      <c r="F341" s="224">
        <f t="shared" si="62"/>
        <v>469.59776499999998</v>
      </c>
      <c r="G341" s="117">
        <f t="shared" si="37"/>
        <v>592.57445053502147</v>
      </c>
      <c r="H341" s="117">
        <f t="shared" si="38"/>
        <v>122.97668553502149</v>
      </c>
      <c r="I341" s="168">
        <f t="shared" si="39"/>
        <v>0.26187664145935935</v>
      </c>
    </row>
    <row r="342" spans="1:9" x14ac:dyDescent="0.35">
      <c r="A342" s="182">
        <f t="shared" ref="A342:F342" si="63">A270</f>
        <v>105000</v>
      </c>
      <c r="B342" s="182">
        <f t="shared" si="63"/>
        <v>114999</v>
      </c>
      <c r="C342" s="182">
        <f t="shared" si="63"/>
        <v>109999.5</v>
      </c>
      <c r="D342" s="182">
        <f t="shared" si="63"/>
        <v>2.2162500000000001</v>
      </c>
      <c r="E342" s="182">
        <f t="shared" si="63"/>
        <v>26.594999999999999</v>
      </c>
      <c r="F342" s="224">
        <f t="shared" si="63"/>
        <v>514.29776500000003</v>
      </c>
      <c r="G342" s="117">
        <f t="shared" si="37"/>
        <v>650.18932232471377</v>
      </c>
      <c r="H342" s="117">
        <f t="shared" si="38"/>
        <v>135.89155732471374</v>
      </c>
      <c r="I342" s="168">
        <f t="shared" si="39"/>
        <v>0.26422739232536568</v>
      </c>
    </row>
    <row r="343" spans="1:9" x14ac:dyDescent="0.35">
      <c r="A343" s="182">
        <f t="shared" ref="A343:F343" si="64">A271</f>
        <v>115000</v>
      </c>
      <c r="B343" s="182">
        <f t="shared" si="64"/>
        <v>124999</v>
      </c>
      <c r="C343" s="182">
        <f t="shared" si="64"/>
        <v>119999.5</v>
      </c>
      <c r="D343" s="182">
        <f t="shared" si="64"/>
        <v>1.8879166666666667</v>
      </c>
      <c r="E343" s="182">
        <f t="shared" si="64"/>
        <v>22.655000000000001</v>
      </c>
      <c r="F343" s="224">
        <f t="shared" si="64"/>
        <v>558.99776499999996</v>
      </c>
      <c r="G343" s="117">
        <f t="shared" si="37"/>
        <v>707.80419411440596</v>
      </c>
      <c r="H343" s="117">
        <f t="shared" si="38"/>
        <v>148.806429114406</v>
      </c>
      <c r="I343" s="168">
        <f t="shared" si="39"/>
        <v>0.2662021897608231</v>
      </c>
    </row>
    <row r="344" spans="1:9" x14ac:dyDescent="0.35">
      <c r="A344" s="182">
        <f t="shared" ref="A344:F344" si="65">A272</f>
        <v>125000</v>
      </c>
      <c r="B344" s="182">
        <f t="shared" si="65"/>
        <v>134999</v>
      </c>
      <c r="C344" s="182">
        <f t="shared" si="65"/>
        <v>129999.5</v>
      </c>
      <c r="D344" s="182">
        <f t="shared" si="65"/>
        <v>1.4775</v>
      </c>
      <c r="E344" s="182">
        <f t="shared" si="65"/>
        <v>17.73</v>
      </c>
      <c r="F344" s="224">
        <f t="shared" si="65"/>
        <v>603.697765</v>
      </c>
      <c r="G344" s="117">
        <f t="shared" si="37"/>
        <v>765.41906590409837</v>
      </c>
      <c r="H344" s="117">
        <f t="shared" si="38"/>
        <v>161.72130090409837</v>
      </c>
      <c r="I344" s="168">
        <f t="shared" si="39"/>
        <v>0.26788454468453826</v>
      </c>
    </row>
    <row r="345" spans="1:9" x14ac:dyDescent="0.35">
      <c r="A345" s="182">
        <f t="shared" ref="A345:F345" si="66">A273</f>
        <v>135000</v>
      </c>
      <c r="B345" s="182">
        <f t="shared" si="66"/>
        <v>144999</v>
      </c>
      <c r="C345" s="182">
        <f t="shared" si="66"/>
        <v>139999.5</v>
      </c>
      <c r="D345" s="182">
        <f t="shared" si="66"/>
        <v>1.8058333333333332</v>
      </c>
      <c r="E345" s="182">
        <f t="shared" si="66"/>
        <v>21.669999999999998</v>
      </c>
      <c r="F345" s="224">
        <f t="shared" si="66"/>
        <v>648.39776500000005</v>
      </c>
      <c r="G345" s="117">
        <f t="shared" si="37"/>
        <v>823.03393769379056</v>
      </c>
      <c r="H345" s="117">
        <f t="shared" si="38"/>
        <v>174.63617269379051</v>
      </c>
      <c r="I345" s="168">
        <f t="shared" si="39"/>
        <v>0.26933493932353469</v>
      </c>
    </row>
    <row r="346" spans="1:9" x14ac:dyDescent="0.35">
      <c r="A346" s="182">
        <f t="shared" ref="A346:F346" si="67">A274</f>
        <v>145000</v>
      </c>
      <c r="B346" s="182">
        <f t="shared" si="67"/>
        <v>154999</v>
      </c>
      <c r="C346" s="182">
        <f t="shared" si="67"/>
        <v>149999.5</v>
      </c>
      <c r="D346" s="182">
        <f t="shared" si="67"/>
        <v>1.6416666666666666</v>
      </c>
      <c r="E346" s="182">
        <f t="shared" si="67"/>
        <v>19.7</v>
      </c>
      <c r="F346" s="224">
        <f t="shared" si="67"/>
        <v>693.09776499999998</v>
      </c>
      <c r="G346" s="117">
        <f t="shared" si="37"/>
        <v>880.64880948348286</v>
      </c>
      <c r="H346" s="117">
        <f t="shared" si="38"/>
        <v>187.55104448348288</v>
      </c>
      <c r="I346" s="168">
        <f t="shared" si="39"/>
        <v>0.27059825316776615</v>
      </c>
    </row>
    <row r="347" spans="1:9" x14ac:dyDescent="0.35">
      <c r="A347" s="182">
        <f t="shared" ref="A347:F347" si="68">A275</f>
        <v>155000</v>
      </c>
      <c r="B347" s="182">
        <f t="shared" si="68"/>
        <v>164999</v>
      </c>
      <c r="C347" s="182">
        <f t="shared" si="68"/>
        <v>159999.5</v>
      </c>
      <c r="D347" s="182">
        <f t="shared" si="68"/>
        <v>0.98499999999999999</v>
      </c>
      <c r="E347" s="182">
        <f t="shared" si="68"/>
        <v>11.82</v>
      </c>
      <c r="F347" s="224">
        <f t="shared" si="68"/>
        <v>737.79776500000003</v>
      </c>
      <c r="G347" s="117">
        <f t="shared" si="37"/>
        <v>938.26368127317505</v>
      </c>
      <c r="H347" s="117">
        <f t="shared" si="38"/>
        <v>200.46591627317503</v>
      </c>
      <c r="I347" s="168">
        <f t="shared" si="39"/>
        <v>0.27170848948447957</v>
      </c>
    </row>
    <row r="348" spans="1:9" x14ac:dyDescent="0.35">
      <c r="A348" s="182">
        <f t="shared" ref="A348:F348" si="69">A276</f>
        <v>165000</v>
      </c>
      <c r="B348" s="182">
        <f t="shared" si="69"/>
        <v>174999</v>
      </c>
      <c r="C348" s="182">
        <f t="shared" si="69"/>
        <v>169999.5</v>
      </c>
      <c r="D348" s="182">
        <f t="shared" si="69"/>
        <v>1.0670833333333334</v>
      </c>
      <c r="E348" s="182">
        <f t="shared" si="69"/>
        <v>12.805</v>
      </c>
      <c r="F348" s="224">
        <f t="shared" si="69"/>
        <v>782.49776499999996</v>
      </c>
      <c r="G348" s="117">
        <f t="shared" si="37"/>
        <v>995.87855306286735</v>
      </c>
      <c r="H348" s="117">
        <f t="shared" si="38"/>
        <v>213.3807880628674</v>
      </c>
      <c r="I348" s="168">
        <f t="shared" si="39"/>
        <v>0.27269188182648346</v>
      </c>
    </row>
    <row r="349" spans="1:9" x14ac:dyDescent="0.35">
      <c r="A349" s="182">
        <f t="shared" ref="A349:F349" si="70">A277</f>
        <v>175000</v>
      </c>
      <c r="B349" s="182">
        <f t="shared" si="70"/>
        <v>184999</v>
      </c>
      <c r="C349" s="182">
        <f t="shared" si="70"/>
        <v>179999.5</v>
      </c>
      <c r="D349" s="182">
        <f t="shared" si="70"/>
        <v>0.98499999999999999</v>
      </c>
      <c r="E349" s="182">
        <f t="shared" si="70"/>
        <v>11.82</v>
      </c>
      <c r="F349" s="224">
        <f t="shared" si="70"/>
        <v>827.197765</v>
      </c>
      <c r="G349" s="117">
        <f t="shared" si="37"/>
        <v>1053.4934248525597</v>
      </c>
      <c r="H349" s="117">
        <f t="shared" si="38"/>
        <v>226.29565985255965</v>
      </c>
      <c r="I349" s="168">
        <f t="shared" si="39"/>
        <v>0.27356899332599099</v>
      </c>
    </row>
    <row r="350" spans="1:9" x14ac:dyDescent="0.35">
      <c r="A350" s="182">
        <f t="shared" ref="A350:F350" si="71">A278</f>
        <v>185000</v>
      </c>
      <c r="B350" s="182">
        <f t="shared" si="71"/>
        <v>194999</v>
      </c>
      <c r="C350" s="182">
        <f t="shared" si="71"/>
        <v>189999.5</v>
      </c>
      <c r="D350" s="182">
        <f t="shared" si="71"/>
        <v>0.8208333333333333</v>
      </c>
      <c r="E350" s="182">
        <f t="shared" si="71"/>
        <v>9.85</v>
      </c>
      <c r="F350" s="224">
        <f t="shared" si="71"/>
        <v>871.89776499999994</v>
      </c>
      <c r="G350" s="117">
        <f t="shared" si="37"/>
        <v>1111.1082966422518</v>
      </c>
      <c r="H350" s="117">
        <f t="shared" si="38"/>
        <v>239.21053164225191</v>
      </c>
      <c r="I350" s="168">
        <f t="shared" si="39"/>
        <v>0.27435617023545406</v>
      </c>
    </row>
    <row r="351" spans="1:9" x14ac:dyDescent="0.35">
      <c r="A351" s="182">
        <f t="shared" ref="A351:F351" si="72">A279</f>
        <v>195000</v>
      </c>
      <c r="B351" s="182">
        <f t="shared" si="72"/>
        <v>204999</v>
      </c>
      <c r="C351" s="182">
        <f t="shared" si="72"/>
        <v>199999.5</v>
      </c>
      <c r="D351" s="182">
        <f t="shared" si="72"/>
        <v>0.41041666666666665</v>
      </c>
      <c r="E351" s="182">
        <f t="shared" si="72"/>
        <v>4.9249999999999998</v>
      </c>
      <c r="F351" s="224">
        <f t="shared" si="72"/>
        <v>916.59776499999998</v>
      </c>
      <c r="G351" s="117">
        <f t="shared" si="37"/>
        <v>1168.7231684319443</v>
      </c>
      <c r="H351" s="117">
        <f t="shared" si="38"/>
        <v>252.12540343194428</v>
      </c>
      <c r="I351" s="168">
        <f t="shared" si="39"/>
        <v>0.27506657015680624</v>
      </c>
    </row>
    <row r="352" spans="1:9" x14ac:dyDescent="0.35">
      <c r="A352" s="182">
        <f t="shared" ref="A352:F352" si="73">A280</f>
        <v>205000</v>
      </c>
      <c r="B352" s="182">
        <f t="shared" si="73"/>
        <v>214999</v>
      </c>
      <c r="C352" s="182">
        <f t="shared" si="73"/>
        <v>209999.5</v>
      </c>
      <c r="D352" s="182">
        <f t="shared" si="73"/>
        <v>0.8208333333333333</v>
      </c>
      <c r="E352" s="182">
        <f t="shared" si="73"/>
        <v>9.85</v>
      </c>
      <c r="F352" s="224">
        <f t="shared" si="73"/>
        <v>961.29776500000003</v>
      </c>
      <c r="G352" s="117">
        <f t="shared" si="37"/>
        <v>1226.3380402216364</v>
      </c>
      <c r="H352" s="117">
        <f t="shared" si="38"/>
        <v>265.04027522163642</v>
      </c>
      <c r="I352" s="168">
        <f t="shared" si="39"/>
        <v>0.27571090339696819</v>
      </c>
    </row>
    <row r="353" spans="1:9" x14ac:dyDescent="0.35">
      <c r="A353" s="182">
        <f t="shared" ref="A353:F353" si="74">A281</f>
        <v>215000</v>
      </c>
      <c r="B353" s="182">
        <f t="shared" si="74"/>
        <v>224999</v>
      </c>
      <c r="C353" s="182">
        <f t="shared" si="74"/>
        <v>219999.5</v>
      </c>
      <c r="D353" s="182">
        <f t="shared" si="74"/>
        <v>0.32833333333333331</v>
      </c>
      <c r="E353" s="182">
        <f t="shared" si="74"/>
        <v>3.94</v>
      </c>
      <c r="F353" s="224">
        <f t="shared" si="74"/>
        <v>1005.997765</v>
      </c>
      <c r="G353" s="117">
        <f t="shared" si="37"/>
        <v>1283.9529120113289</v>
      </c>
      <c r="H353" s="117">
        <f t="shared" si="38"/>
        <v>277.9551470113289</v>
      </c>
      <c r="I353" s="168">
        <f t="shared" si="39"/>
        <v>0.27629797667724332</v>
      </c>
    </row>
    <row r="354" spans="1:9" x14ac:dyDescent="0.35">
      <c r="A354" s="182">
        <f t="shared" ref="A354:F354" si="75">A282</f>
        <v>225000</v>
      </c>
      <c r="B354" s="182">
        <f t="shared" si="75"/>
        <v>234999</v>
      </c>
      <c r="C354" s="182">
        <f t="shared" si="75"/>
        <v>229999.5</v>
      </c>
      <c r="D354" s="182">
        <f t="shared" si="75"/>
        <v>0.41041666666666665</v>
      </c>
      <c r="E354" s="182">
        <f t="shared" si="75"/>
        <v>4.9249999999999998</v>
      </c>
      <c r="F354" s="224">
        <f t="shared" si="75"/>
        <v>1050.6977649999999</v>
      </c>
      <c r="G354" s="117">
        <f t="shared" si="37"/>
        <v>1341.5677838010211</v>
      </c>
      <c r="H354" s="117">
        <f t="shared" si="38"/>
        <v>290.87001880102116</v>
      </c>
      <c r="I354" s="168">
        <f t="shared" si="39"/>
        <v>0.27683509805602491</v>
      </c>
    </row>
    <row r="355" spans="1:9" x14ac:dyDescent="0.35">
      <c r="A355" s="182">
        <f t="shared" ref="A355:F355" si="76">A283</f>
        <v>235000</v>
      </c>
      <c r="B355" s="182">
        <f t="shared" si="76"/>
        <v>244999</v>
      </c>
      <c r="C355" s="182">
        <f t="shared" si="76"/>
        <v>239999.5</v>
      </c>
      <c r="D355" s="182">
        <f t="shared" si="76"/>
        <v>0.41041666666666665</v>
      </c>
      <c r="E355" s="182">
        <f t="shared" si="76"/>
        <v>4.9249999999999998</v>
      </c>
      <c r="F355" s="224">
        <f t="shared" si="76"/>
        <v>1095.3977649999999</v>
      </c>
      <c r="G355" s="117">
        <f t="shared" si="37"/>
        <v>1399.1826555907132</v>
      </c>
      <c r="H355" s="117">
        <f t="shared" si="38"/>
        <v>303.7848905907133</v>
      </c>
      <c r="I355" s="168">
        <f t="shared" si="39"/>
        <v>0.2773283827091918</v>
      </c>
    </row>
    <row r="356" spans="1:9" x14ac:dyDescent="0.35">
      <c r="A356" s="182">
        <f t="shared" ref="A356:F356" si="77">A284</f>
        <v>245000</v>
      </c>
      <c r="B356" s="182">
        <f t="shared" si="77"/>
        <v>254999</v>
      </c>
      <c r="C356" s="182">
        <f t="shared" si="77"/>
        <v>249999.5</v>
      </c>
      <c r="D356" s="182">
        <f t="shared" si="77"/>
        <v>0.32833333333333331</v>
      </c>
      <c r="E356" s="182">
        <f t="shared" si="77"/>
        <v>3.94</v>
      </c>
      <c r="F356" s="224">
        <f t="shared" si="77"/>
        <v>1140.0977649999998</v>
      </c>
      <c r="G356" s="117">
        <f t="shared" si="37"/>
        <v>1456.7975273804057</v>
      </c>
      <c r="H356" s="117">
        <f t="shared" si="38"/>
        <v>316.6997623804059</v>
      </c>
      <c r="I356" s="168">
        <f t="shared" si="39"/>
        <v>0.27778298677781021</v>
      </c>
    </row>
    <row r="357" spans="1:9" x14ac:dyDescent="0.35">
      <c r="A357" s="182">
        <f t="shared" ref="A357:F357" si="78">A285</f>
        <v>255000</v>
      </c>
      <c r="B357" s="182">
        <f t="shared" si="78"/>
        <v>264999</v>
      </c>
      <c r="C357" s="182">
        <f t="shared" si="78"/>
        <v>259999.5</v>
      </c>
      <c r="D357" s="182">
        <f t="shared" si="78"/>
        <v>0.16416666666666666</v>
      </c>
      <c r="E357" s="182">
        <f t="shared" si="78"/>
        <v>1.97</v>
      </c>
      <c r="F357" s="224">
        <f t="shared" si="78"/>
        <v>1184.7977649999998</v>
      </c>
      <c r="G357" s="117">
        <f t="shared" si="37"/>
        <v>1514.4123991700978</v>
      </c>
      <c r="H357" s="117">
        <f t="shared" si="38"/>
        <v>329.61463417009804</v>
      </c>
      <c r="I357" s="168">
        <f t="shared" si="39"/>
        <v>0.27820328828025609</v>
      </c>
    </row>
    <row r="358" spans="1:9" x14ac:dyDescent="0.35">
      <c r="A358" s="182">
        <f t="shared" ref="A358:F358" si="79">A286</f>
        <v>265000</v>
      </c>
      <c r="B358" s="182">
        <f t="shared" si="79"/>
        <v>274999</v>
      </c>
      <c r="C358" s="182">
        <f t="shared" si="79"/>
        <v>269999.5</v>
      </c>
      <c r="D358" s="182">
        <f t="shared" si="79"/>
        <v>0.32833333333333331</v>
      </c>
      <c r="E358" s="182">
        <f t="shared" si="79"/>
        <v>3.94</v>
      </c>
      <c r="F358" s="224">
        <f t="shared" si="79"/>
        <v>1229.4977649999998</v>
      </c>
      <c r="G358" s="117">
        <f t="shared" si="37"/>
        <v>1572.02727095979</v>
      </c>
      <c r="H358" s="117">
        <f t="shared" si="38"/>
        <v>342.52950595979019</v>
      </c>
      <c r="I358" s="168">
        <f t="shared" si="39"/>
        <v>0.27859302856056045</v>
      </c>
    </row>
    <row r="359" spans="1:9" x14ac:dyDescent="0.35">
      <c r="A359" s="182">
        <f t="shared" ref="A359:F359" si="80">A287</f>
        <v>275000</v>
      </c>
      <c r="B359" s="182">
        <f t="shared" si="80"/>
        <v>284999</v>
      </c>
      <c r="C359" s="182">
        <f t="shared" si="80"/>
        <v>279999.5</v>
      </c>
      <c r="D359" s="182">
        <f t="shared" si="80"/>
        <v>0.65666666666666662</v>
      </c>
      <c r="E359" s="182">
        <f t="shared" si="80"/>
        <v>7.88</v>
      </c>
      <c r="F359" s="224">
        <f t="shared" si="80"/>
        <v>1274.1977649999999</v>
      </c>
      <c r="G359" s="117">
        <f t="shared" si="37"/>
        <v>1629.6421427494822</v>
      </c>
      <c r="H359" s="117">
        <f t="shared" si="38"/>
        <v>355.44437774948233</v>
      </c>
      <c r="I359" s="168">
        <f t="shared" si="39"/>
        <v>0.27895542396394202</v>
      </c>
    </row>
    <row r="360" spans="1:9" x14ac:dyDescent="0.35">
      <c r="A360" s="182">
        <f t="shared" ref="A360:F360" si="81">A288</f>
        <v>285000</v>
      </c>
      <c r="B360" s="182">
        <f t="shared" si="81"/>
        <v>294999</v>
      </c>
      <c r="C360" s="182">
        <f t="shared" si="81"/>
        <v>289999.5</v>
      </c>
      <c r="D360" s="182">
        <f t="shared" si="81"/>
        <v>0.41041666666666665</v>
      </c>
      <c r="E360" s="182">
        <f t="shared" si="81"/>
        <v>4.9249999999999998</v>
      </c>
      <c r="F360" s="224">
        <f t="shared" si="81"/>
        <v>1318.8977649999999</v>
      </c>
      <c r="G360" s="117">
        <f t="shared" si="37"/>
        <v>1687.2570145391746</v>
      </c>
      <c r="H360" s="117">
        <f t="shared" si="38"/>
        <v>368.3592495391747</v>
      </c>
      <c r="I360" s="168">
        <f t="shared" si="39"/>
        <v>0.27929325480294126</v>
      </c>
    </row>
    <row r="361" spans="1:9" x14ac:dyDescent="0.35">
      <c r="A361" s="182">
        <f t="shared" ref="A361:F361" si="82">A289</f>
        <v>295000</v>
      </c>
      <c r="B361" s="182">
        <f t="shared" si="82"/>
        <v>304999</v>
      </c>
      <c r="C361" s="182">
        <f t="shared" si="82"/>
        <v>299999.5</v>
      </c>
      <c r="D361" s="182">
        <f t="shared" si="82"/>
        <v>0.41041666666666665</v>
      </c>
      <c r="E361" s="182">
        <f t="shared" si="82"/>
        <v>4.9249999999999998</v>
      </c>
      <c r="F361" s="224">
        <f t="shared" si="82"/>
        <v>1363.5977649999998</v>
      </c>
      <c r="G361" s="117">
        <f t="shared" si="37"/>
        <v>1744.8718863288668</v>
      </c>
      <c r="H361" s="117">
        <f t="shared" si="38"/>
        <v>381.27412132886707</v>
      </c>
      <c r="I361" s="168">
        <f t="shared" si="39"/>
        <v>0.27960893682519872</v>
      </c>
    </row>
    <row r="362" spans="1:9" x14ac:dyDescent="0.35">
      <c r="A362" s="182">
        <f t="shared" ref="A362:F362" si="83">A290</f>
        <v>305000</v>
      </c>
      <c r="B362" s="182">
        <f t="shared" si="83"/>
        <v>314999</v>
      </c>
      <c r="C362" s="182">
        <f t="shared" si="83"/>
        <v>309999.5</v>
      </c>
      <c r="D362" s="182">
        <f t="shared" si="83"/>
        <v>0.57458333333333333</v>
      </c>
      <c r="E362" s="182">
        <f t="shared" si="83"/>
        <v>6.8949999999999996</v>
      </c>
      <c r="F362" s="224">
        <f t="shared" si="83"/>
        <v>1408.2977649999998</v>
      </c>
      <c r="G362" s="117">
        <f t="shared" si="37"/>
        <v>1802.486758118559</v>
      </c>
      <c r="H362" s="117">
        <f t="shared" si="38"/>
        <v>394.18899311855921</v>
      </c>
      <c r="I362" s="168">
        <f t="shared" si="39"/>
        <v>0.27990457907071892</v>
      </c>
    </row>
    <row r="363" spans="1:9" x14ac:dyDescent="0.35">
      <c r="A363" s="182">
        <f t="shared" ref="A363:F363" si="84">A291</f>
        <v>315000</v>
      </c>
      <c r="B363" s="182">
        <f t="shared" si="84"/>
        <v>324999</v>
      </c>
      <c r="C363" s="182">
        <f t="shared" si="84"/>
        <v>319999.5</v>
      </c>
      <c r="D363" s="182">
        <f t="shared" si="84"/>
        <v>0.24625</v>
      </c>
      <c r="E363" s="182">
        <f t="shared" si="84"/>
        <v>2.9550000000000001</v>
      </c>
      <c r="F363" s="224">
        <f t="shared" si="84"/>
        <v>1452.9977649999998</v>
      </c>
      <c r="G363" s="117">
        <f t="shared" si="37"/>
        <v>1860.1016299082514</v>
      </c>
      <c r="H363" s="117">
        <f t="shared" si="38"/>
        <v>407.10386490825158</v>
      </c>
      <c r="I363" s="168">
        <f t="shared" si="39"/>
        <v>0.28018203104961531</v>
      </c>
    </row>
    <row r="364" spans="1:9" x14ac:dyDescent="0.35">
      <c r="A364" s="182">
        <f t="shared" ref="A364:F364" si="85">A292</f>
        <v>325000</v>
      </c>
      <c r="B364" s="182">
        <f t="shared" si="85"/>
        <v>334999</v>
      </c>
      <c r="C364" s="182">
        <f t="shared" si="85"/>
        <v>329999.5</v>
      </c>
      <c r="D364" s="182">
        <f t="shared" si="85"/>
        <v>0.57458333333333333</v>
      </c>
      <c r="E364" s="182">
        <f t="shared" si="85"/>
        <v>6.8949999999999996</v>
      </c>
      <c r="F364" s="224">
        <f t="shared" si="85"/>
        <v>1497.6977649999999</v>
      </c>
      <c r="G364" s="117">
        <f t="shared" si="37"/>
        <v>1917.7165016979436</v>
      </c>
      <c r="H364" s="117">
        <f t="shared" si="38"/>
        <v>420.01873669794372</v>
      </c>
      <c r="I364" s="168">
        <f t="shared" si="39"/>
        <v>0.28044292147150512</v>
      </c>
    </row>
    <row r="365" spans="1:9" x14ac:dyDescent="0.35">
      <c r="A365" s="182">
        <f t="shared" ref="A365:F365" si="86">A293</f>
        <v>335000</v>
      </c>
      <c r="B365" s="182">
        <f t="shared" si="86"/>
        <v>344999</v>
      </c>
      <c r="C365" s="182">
        <f t="shared" si="86"/>
        <v>339999.5</v>
      </c>
      <c r="D365" s="182">
        <f t="shared" si="86"/>
        <v>0.32833333333333331</v>
      </c>
      <c r="E365" s="182">
        <f t="shared" si="86"/>
        <v>3.94</v>
      </c>
      <c r="F365" s="224">
        <f t="shared" si="86"/>
        <v>1542.3977649999999</v>
      </c>
      <c r="G365" s="117">
        <f t="shared" si="37"/>
        <v>1975.3313734876358</v>
      </c>
      <c r="H365" s="117">
        <f t="shared" si="38"/>
        <v>432.93360848763587</v>
      </c>
      <c r="I365" s="168">
        <f t="shared" si="39"/>
        <v>0.28068869024044252</v>
      </c>
    </row>
    <row r="366" spans="1:9" x14ac:dyDescent="0.35">
      <c r="A366" s="182">
        <f t="shared" ref="A366:F366" si="87">A294</f>
        <v>345000</v>
      </c>
      <c r="B366" s="182">
        <f t="shared" si="87"/>
        <v>354999</v>
      </c>
      <c r="C366" s="182">
        <f t="shared" si="87"/>
        <v>349999.5</v>
      </c>
      <c r="D366" s="182">
        <f t="shared" si="87"/>
        <v>0</v>
      </c>
      <c r="E366" s="182">
        <f t="shared" si="87"/>
        <v>0</v>
      </c>
      <c r="F366" s="224">
        <f t="shared" si="87"/>
        <v>1587.0977649999998</v>
      </c>
      <c r="G366" s="117">
        <f t="shared" si="37"/>
        <v>2032.9462452773282</v>
      </c>
      <c r="H366" s="117">
        <f t="shared" si="38"/>
        <v>445.84848027732846</v>
      </c>
      <c r="I366" s="168">
        <f t="shared" si="39"/>
        <v>0.28092061504309945</v>
      </c>
    </row>
    <row r="367" spans="1:9" x14ac:dyDescent="0.35">
      <c r="A367" s="182">
        <f t="shared" ref="A367:F367" si="88">A295</f>
        <v>355000</v>
      </c>
      <c r="B367" s="182">
        <f t="shared" si="88"/>
        <v>374999</v>
      </c>
      <c r="C367" s="182">
        <f t="shared" si="88"/>
        <v>364999.5</v>
      </c>
      <c r="D367" s="182">
        <f t="shared" si="88"/>
        <v>0.32833333333333331</v>
      </c>
      <c r="E367" s="182">
        <f t="shared" si="88"/>
        <v>3.94</v>
      </c>
      <c r="F367" s="224">
        <f t="shared" si="88"/>
        <v>1654.1477649999999</v>
      </c>
      <c r="G367" s="117">
        <f t="shared" si="37"/>
        <v>2119.3685529618665</v>
      </c>
      <c r="H367" s="117">
        <f t="shared" si="38"/>
        <v>465.22078796186656</v>
      </c>
      <c r="I367" s="168">
        <f t="shared" si="39"/>
        <v>0.28124499987573154</v>
      </c>
    </row>
    <row r="368" spans="1:9" x14ac:dyDescent="0.35">
      <c r="A368" s="182">
        <f t="shared" ref="A368:F368" si="89">A296</f>
        <v>375000</v>
      </c>
      <c r="B368" s="182">
        <f t="shared" si="89"/>
        <v>384999</v>
      </c>
      <c r="C368" s="182">
        <f t="shared" si="89"/>
        <v>379999.5</v>
      </c>
      <c r="D368" s="182">
        <f t="shared" si="89"/>
        <v>0.16416666666666666</v>
      </c>
      <c r="E368" s="182">
        <f t="shared" si="89"/>
        <v>1.97</v>
      </c>
      <c r="F368" s="224">
        <f t="shared" si="89"/>
        <v>1721.1977649999999</v>
      </c>
      <c r="G368" s="117">
        <f t="shared" si="37"/>
        <v>2205.7908606464048</v>
      </c>
      <c r="H368" s="117">
        <f t="shared" si="38"/>
        <v>484.59309564640489</v>
      </c>
      <c r="I368" s="168">
        <f t="shared" si="39"/>
        <v>0.2815441116067246</v>
      </c>
    </row>
    <row r="369" spans="1:9" x14ac:dyDescent="0.35">
      <c r="A369" s="182">
        <f t="shared" ref="A369:F369" si="90">A297</f>
        <v>385000</v>
      </c>
      <c r="B369" s="182">
        <f t="shared" si="90"/>
        <v>404999</v>
      </c>
      <c r="C369" s="182">
        <f t="shared" si="90"/>
        <v>394999.5</v>
      </c>
      <c r="D369" s="182">
        <f t="shared" si="90"/>
        <v>0.24625</v>
      </c>
      <c r="E369" s="182">
        <f t="shared" si="90"/>
        <v>2.9550000000000001</v>
      </c>
      <c r="F369" s="224">
        <f t="shared" si="90"/>
        <v>1788.2477649999998</v>
      </c>
      <c r="G369" s="117">
        <f t="shared" si="37"/>
        <v>2292.2131683309435</v>
      </c>
      <c r="H369" s="117">
        <f t="shared" si="38"/>
        <v>503.96540333094367</v>
      </c>
      <c r="I369" s="168">
        <f t="shared" si="39"/>
        <v>0.28182079306607927</v>
      </c>
    </row>
    <row r="370" spans="1:9" x14ac:dyDescent="0.35">
      <c r="A370" s="182">
        <f t="shared" ref="A370:F370" si="91">A298</f>
        <v>405000</v>
      </c>
      <c r="B370" s="182">
        <f t="shared" si="91"/>
        <v>424999</v>
      </c>
      <c r="C370" s="182">
        <f t="shared" si="91"/>
        <v>414999.5</v>
      </c>
      <c r="D370" s="182">
        <f t="shared" si="91"/>
        <v>8.2083333333333328E-2</v>
      </c>
      <c r="E370" s="182">
        <f t="shared" si="91"/>
        <v>0.98499999999999999</v>
      </c>
      <c r="F370" s="224">
        <f t="shared" si="91"/>
        <v>1877.6477649999997</v>
      </c>
      <c r="G370" s="117">
        <f t="shared" si="37"/>
        <v>2407.4429119103279</v>
      </c>
      <c r="H370" s="117">
        <f t="shared" si="38"/>
        <v>529.79514691032819</v>
      </c>
      <c r="I370" s="168">
        <f t="shared" si="39"/>
        <v>0.28215896335079027</v>
      </c>
    </row>
    <row r="371" spans="1:9" x14ac:dyDescent="0.35">
      <c r="A371" s="182">
        <f t="shared" ref="A371:F371" si="92">A299</f>
        <v>425000</v>
      </c>
      <c r="B371" s="182">
        <f t="shared" si="92"/>
        <v>464999</v>
      </c>
      <c r="C371" s="182">
        <f t="shared" si="92"/>
        <v>444999.5</v>
      </c>
      <c r="D371" s="182">
        <f t="shared" si="92"/>
        <v>0.41041666666666665</v>
      </c>
      <c r="E371" s="182">
        <f t="shared" si="92"/>
        <v>4.9249999999999998</v>
      </c>
      <c r="F371" s="224">
        <f t="shared" si="92"/>
        <v>2011.7477649999998</v>
      </c>
      <c r="G371" s="117">
        <f t="shared" si="37"/>
        <v>2580.2875272794045</v>
      </c>
      <c r="H371" s="117">
        <f t="shared" si="38"/>
        <v>568.53976227940461</v>
      </c>
      <c r="I371" s="168">
        <f t="shared" si="39"/>
        <v>0.28260986400519483</v>
      </c>
    </row>
    <row r="372" spans="1:9" x14ac:dyDescent="0.35">
      <c r="A372" s="182">
        <f t="shared" ref="A372:F372" si="93">A300</f>
        <v>465000</v>
      </c>
      <c r="B372" s="182">
        <f t="shared" si="93"/>
        <v>624999</v>
      </c>
      <c r="C372" s="182">
        <f t="shared" si="93"/>
        <v>544999.5</v>
      </c>
      <c r="D372" s="182">
        <f t="shared" si="93"/>
        <v>1.0670833333333334</v>
      </c>
      <c r="E372" s="182">
        <f t="shared" si="93"/>
        <v>12.805</v>
      </c>
      <c r="F372" s="224">
        <f t="shared" si="93"/>
        <v>2458.7477650000001</v>
      </c>
      <c r="G372" s="117">
        <f t="shared" si="37"/>
        <v>3156.4362451763272</v>
      </c>
      <c r="H372" s="117">
        <f t="shared" si="38"/>
        <v>697.68848017632718</v>
      </c>
      <c r="I372" s="168">
        <f t="shared" si="39"/>
        <v>0.28375764692411509</v>
      </c>
    </row>
    <row r="373" spans="1:9" x14ac:dyDescent="0.35">
      <c r="A373" s="182">
        <f t="shared" ref="A373:F373" si="94">A301</f>
        <v>625000</v>
      </c>
      <c r="B373" s="182">
        <f t="shared" si="94"/>
        <v>654999</v>
      </c>
      <c r="C373" s="182">
        <f t="shared" si="94"/>
        <v>639999.5</v>
      </c>
      <c r="D373" s="182">
        <f t="shared" si="94"/>
        <v>0.16416666666666666</v>
      </c>
      <c r="E373" s="182">
        <f t="shared" si="94"/>
        <v>1.97</v>
      </c>
      <c r="F373" s="224">
        <f t="shared" si="94"/>
        <v>2883.3977650000002</v>
      </c>
      <c r="G373" s="117">
        <f t="shared" si="37"/>
        <v>3703.7775271784035</v>
      </c>
      <c r="H373" s="117">
        <f t="shared" si="38"/>
        <v>820.37976217840333</v>
      </c>
      <c r="I373" s="168">
        <f t="shared" si="39"/>
        <v>0.28451841509227338</v>
      </c>
    </row>
    <row r="374" spans="1:9" x14ac:dyDescent="0.35">
      <c r="A374" s="182">
        <f t="shared" ref="A374:F374" si="95">A302</f>
        <v>655000</v>
      </c>
      <c r="B374" s="182">
        <f t="shared" si="95"/>
        <v>714999</v>
      </c>
      <c r="C374" s="182">
        <f t="shared" si="95"/>
        <v>684999.5</v>
      </c>
      <c r="D374" s="182">
        <f t="shared" si="95"/>
        <v>0.65666666666666662</v>
      </c>
      <c r="E374" s="182">
        <f t="shared" si="95"/>
        <v>7.88</v>
      </c>
      <c r="F374" s="224">
        <f t="shared" si="95"/>
        <v>3084.5477649999998</v>
      </c>
      <c r="G374" s="117">
        <f t="shared" si="37"/>
        <v>3963.0444502320188</v>
      </c>
      <c r="H374" s="117">
        <f t="shared" si="38"/>
        <v>878.49668523201899</v>
      </c>
      <c r="I374" s="168">
        <f t="shared" si="39"/>
        <v>0.28480566752773856</v>
      </c>
    </row>
    <row r="375" spans="1:9" x14ac:dyDescent="0.35">
      <c r="A375" s="182">
        <f t="shared" ref="A375:F375" si="96">A303</f>
        <v>715000</v>
      </c>
      <c r="B375" s="182">
        <f t="shared" si="96"/>
        <v>844999</v>
      </c>
      <c r="C375" s="182">
        <f t="shared" si="96"/>
        <v>779999.5</v>
      </c>
      <c r="D375" s="182">
        <f t="shared" si="96"/>
        <v>1.8058333333333332</v>
      </c>
      <c r="E375" s="182">
        <f t="shared" si="96"/>
        <v>21.669999999999998</v>
      </c>
      <c r="F375" s="224">
        <f t="shared" si="96"/>
        <v>3509.1977649999999</v>
      </c>
      <c r="G375" s="117">
        <f t="shared" si="37"/>
        <v>4510.3857322340955</v>
      </c>
      <c r="H375" s="117">
        <f t="shared" si="38"/>
        <v>1001.1879672340956</v>
      </c>
      <c r="I375" s="168">
        <f t="shared" si="39"/>
        <v>0.28530394531186976</v>
      </c>
    </row>
    <row r="376" spans="1:9" x14ac:dyDescent="0.35">
      <c r="A376" s="219">
        <f t="shared" ref="A376:F376" si="97">A304</f>
        <v>845000</v>
      </c>
      <c r="B376" s="219">
        <f t="shared" si="97"/>
        <v>900000</v>
      </c>
      <c r="C376" s="219">
        <f t="shared" si="97"/>
        <v>845000</v>
      </c>
      <c r="D376" s="219">
        <f t="shared" si="97"/>
        <v>0</v>
      </c>
      <c r="E376" s="219">
        <f t="shared" si="97"/>
        <v>0</v>
      </c>
      <c r="F376" s="226">
        <f t="shared" si="97"/>
        <v>3799.75</v>
      </c>
      <c r="G376" s="121">
        <f t="shared" si="37"/>
        <v>4884.8852796106839</v>
      </c>
      <c r="H376" s="121">
        <f t="shared" si="38"/>
        <v>1085.1352796106839</v>
      </c>
      <c r="I376" s="231">
        <f t="shared" si="39"/>
        <v>0.28558070389122547</v>
      </c>
    </row>
    <row r="377" spans="1:9" x14ac:dyDescent="0.35">
      <c r="A377" s="165"/>
    </row>
    <row r="378" spans="1:9" x14ac:dyDescent="0.35">
      <c r="A378" s="165"/>
      <c r="D378" s="182">
        <f>SUM(D317:D377)</f>
        <v>8679.4916666666704</v>
      </c>
      <c r="E378" s="182">
        <f>SUM(E317:E377)</f>
        <v>104153.90000000007</v>
      </c>
    </row>
  </sheetData>
  <phoneticPr fontId="7" type="noConversion"/>
  <pageMargins left="0.75" right="0.75" top="1" bottom="1" header="0.5" footer="0.5"/>
  <pageSetup scale="59" orientation="portrait" blackAndWhite="1" r:id="rId1"/>
  <headerFooter alignWithMargins="0"/>
  <rowBreaks count="4" manualBreakCount="4">
    <brk id="78" max="10" man="1"/>
    <brk id="80" max="10" man="1"/>
    <brk id="238" max="10" man="1"/>
    <brk id="378" max="9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4"/>
  </sheetPr>
  <dimension ref="A1:U293"/>
  <sheetViews>
    <sheetView view="pageBreakPreview" topLeftCell="A19" zoomScale="60" zoomScaleNormal="100" workbookViewId="0">
      <pane xSplit="3" topLeftCell="D1" activePane="topRight" state="frozen"/>
      <selection activeCell="A51" sqref="A51"/>
      <selection pane="topRight" activeCell="H58" sqref="H58"/>
    </sheetView>
  </sheetViews>
  <sheetFormatPr defaultColWidth="8.7265625" defaultRowHeight="15.5" outlineLevelRow="1" x14ac:dyDescent="0.35"/>
  <cols>
    <col min="1" max="1" width="3.7265625" style="26" customWidth="1"/>
    <col min="2" max="2" width="2.54296875" style="26" customWidth="1"/>
    <col min="3" max="3" width="54.453125" style="26" customWidth="1"/>
    <col min="4" max="4" width="13.7265625" style="26" customWidth="1"/>
    <col min="5" max="5" width="5.7265625" style="26" customWidth="1"/>
    <col min="6" max="8" width="15.54296875" style="26" customWidth="1"/>
    <col min="9" max="9" width="13.26953125" style="26" customWidth="1"/>
    <col min="10" max="10" width="14.54296875" style="26" customWidth="1"/>
    <col min="11" max="17" width="13.26953125" style="26" customWidth="1"/>
    <col min="18" max="18" width="14.26953125" style="26" customWidth="1"/>
    <col min="19" max="19" width="16.26953125" style="26" customWidth="1"/>
    <col min="20" max="20" width="26.453125" style="26" customWidth="1"/>
    <col min="21" max="21" width="56.453125" style="26" customWidth="1"/>
    <col min="22" max="16384" width="8.7265625" style="26"/>
  </cols>
  <sheetData>
    <row r="1" spans="1:18" x14ac:dyDescent="0.35">
      <c r="A1" s="25" t="s">
        <v>4</v>
      </c>
      <c r="B1" s="25"/>
      <c r="C1" s="25"/>
    </row>
    <row r="2" spans="1:18" x14ac:dyDescent="0.35">
      <c r="A2" s="25" t="s">
        <v>109</v>
      </c>
      <c r="B2" s="25"/>
      <c r="C2" s="25"/>
    </row>
    <row r="3" spans="1:18" x14ac:dyDescent="0.35">
      <c r="A3" s="25" t="s">
        <v>111</v>
      </c>
      <c r="B3" s="25"/>
      <c r="C3" s="25"/>
      <c r="H3" s="50" t="s">
        <v>1592</v>
      </c>
      <c r="I3" s="49"/>
    </row>
    <row r="4" spans="1:18" ht="15" customHeight="1" x14ac:dyDescent="0.35">
      <c r="A4" s="25"/>
      <c r="B4" s="25"/>
      <c r="C4" s="25"/>
    </row>
    <row r="5" spans="1:18" ht="15.65" customHeight="1" x14ac:dyDescent="0.35">
      <c r="E5" s="27"/>
      <c r="F5" s="46">
        <v>2012</v>
      </c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x14ac:dyDescent="0.35">
      <c r="A6" s="81"/>
      <c r="B6" s="81"/>
      <c r="C6" s="81"/>
      <c r="E6" s="29"/>
      <c r="F6" s="30" t="s">
        <v>112</v>
      </c>
      <c r="G6" s="30" t="s">
        <v>36</v>
      </c>
      <c r="H6" s="30" t="s">
        <v>37</v>
      </c>
      <c r="I6" s="51">
        <v>2014</v>
      </c>
      <c r="J6" s="51">
        <v>2015</v>
      </c>
      <c r="K6" s="51">
        <v>2016</v>
      </c>
      <c r="L6" s="51">
        <v>2017</v>
      </c>
      <c r="M6" s="51">
        <v>2018</v>
      </c>
      <c r="N6" s="51">
        <v>2019</v>
      </c>
      <c r="O6" s="51">
        <v>2020</v>
      </c>
      <c r="P6" s="51">
        <v>2021</v>
      </c>
      <c r="Q6" s="51">
        <v>2022</v>
      </c>
      <c r="R6" s="51">
        <v>2023</v>
      </c>
    </row>
    <row r="7" spans="1:18" ht="5.65" customHeight="1" x14ac:dyDescent="0.35">
      <c r="D7" s="92"/>
      <c r="E7" s="92"/>
    </row>
    <row r="8" spans="1:18" x14ac:dyDescent="0.35">
      <c r="A8" s="66" t="s">
        <v>6</v>
      </c>
    </row>
    <row r="9" spans="1:18" x14ac:dyDescent="0.35">
      <c r="A9" s="26" t="s">
        <v>7</v>
      </c>
      <c r="F9" s="45">
        <v>91059.02</v>
      </c>
      <c r="G9" s="37">
        <f>COS!F70+'Allocated Expenses'!R22+'Allocated Expenses'!R24</f>
        <v>3144.8885116708757</v>
      </c>
      <c r="H9" s="37">
        <f>F9+G9</f>
        <v>94203.908511670874</v>
      </c>
      <c r="I9" s="33">
        <f t="shared" ref="I9:R9" si="0">H9*(1+I261)</f>
        <v>97501.045309579349</v>
      </c>
      <c r="J9" s="33">
        <f t="shared" si="0"/>
        <v>100913.58189541462</v>
      </c>
      <c r="K9" s="33">
        <f t="shared" si="0"/>
        <v>104445.55726175413</v>
      </c>
      <c r="L9" s="33">
        <f t="shared" si="0"/>
        <v>108101.15176591552</v>
      </c>
      <c r="M9" s="33">
        <f t="shared" si="0"/>
        <v>111884.69207772256</v>
      </c>
      <c r="N9" s="33">
        <f t="shared" si="0"/>
        <v>115800.65630044285</v>
      </c>
      <c r="O9" s="33">
        <f t="shared" si="0"/>
        <v>119853.67927095834</v>
      </c>
      <c r="P9" s="33">
        <f t="shared" si="0"/>
        <v>124048.55804544187</v>
      </c>
      <c r="Q9" s="33">
        <f t="shared" si="0"/>
        <v>128390.25757703232</v>
      </c>
      <c r="R9" s="33">
        <f t="shared" si="0"/>
        <v>132883.91659222843</v>
      </c>
    </row>
    <row r="10" spans="1:18" x14ac:dyDescent="0.35">
      <c r="A10" s="26" t="s">
        <v>30</v>
      </c>
      <c r="F10" s="42">
        <v>0</v>
      </c>
      <c r="G10" s="38">
        <v>0</v>
      </c>
      <c r="H10" s="38">
        <f t="shared" ref="H10:H37" si="1">F10+G10</f>
        <v>0</v>
      </c>
      <c r="I10" s="34">
        <f t="shared" ref="I10:R10" si="2">H10*(1+I262)</f>
        <v>0</v>
      </c>
      <c r="J10" s="34">
        <f t="shared" si="2"/>
        <v>0</v>
      </c>
      <c r="K10" s="34">
        <f t="shared" si="2"/>
        <v>0</v>
      </c>
      <c r="L10" s="34">
        <f t="shared" si="2"/>
        <v>0</v>
      </c>
      <c r="M10" s="34">
        <f t="shared" si="2"/>
        <v>0</v>
      </c>
      <c r="N10" s="34">
        <f t="shared" si="2"/>
        <v>0</v>
      </c>
      <c r="O10" s="34">
        <f t="shared" si="2"/>
        <v>0</v>
      </c>
      <c r="P10" s="34">
        <f t="shared" si="2"/>
        <v>0</v>
      </c>
      <c r="Q10" s="34">
        <f t="shared" si="2"/>
        <v>0</v>
      </c>
      <c r="R10" s="34">
        <f t="shared" si="2"/>
        <v>0</v>
      </c>
    </row>
    <row r="11" spans="1:18" x14ac:dyDescent="0.35">
      <c r="A11" s="26" t="s">
        <v>8</v>
      </c>
      <c r="F11" s="42">
        <v>151356.14000000001</v>
      </c>
      <c r="G11" s="38">
        <f>COS!F71</f>
        <v>4014.403084761675</v>
      </c>
      <c r="H11" s="38">
        <f t="shared" si="1"/>
        <v>155370.54308476168</v>
      </c>
      <c r="I11" s="34">
        <f t="shared" ref="I11:R11" si="3">H11*(1+I263)</f>
        <v>160808.51209272831</v>
      </c>
      <c r="J11" s="34">
        <f t="shared" si="3"/>
        <v>166436.81001597378</v>
      </c>
      <c r="K11" s="34">
        <f t="shared" si="3"/>
        <v>172262.09836653285</v>
      </c>
      <c r="L11" s="34">
        <f t="shared" si="3"/>
        <v>178291.2718093615</v>
      </c>
      <c r="M11" s="34">
        <f t="shared" si="3"/>
        <v>184531.46632268914</v>
      </c>
      <c r="N11" s="34">
        <f t="shared" si="3"/>
        <v>190990.06764398326</v>
      </c>
      <c r="O11" s="34">
        <f t="shared" si="3"/>
        <v>197674.72001152267</v>
      </c>
      <c r="P11" s="34">
        <f t="shared" si="3"/>
        <v>204593.33521192597</v>
      </c>
      <c r="Q11" s="34">
        <f t="shared" si="3"/>
        <v>211754.10194434336</v>
      </c>
      <c r="R11" s="34">
        <f t="shared" si="3"/>
        <v>219165.49551239537</v>
      </c>
    </row>
    <row r="12" spans="1:18" x14ac:dyDescent="0.35">
      <c r="A12" s="26" t="s">
        <v>1121</v>
      </c>
      <c r="F12" s="42">
        <v>102927.12</v>
      </c>
      <c r="G12" s="38">
        <f>COS!F72</f>
        <v>12227.30608615364</v>
      </c>
      <c r="H12" s="38">
        <f t="shared" si="1"/>
        <v>115154.42608615363</v>
      </c>
      <c r="I12" s="34">
        <f t="shared" ref="I12:R12" si="4">H12*(1+I264)</f>
        <v>119184.830999169</v>
      </c>
      <c r="J12" s="34">
        <f t="shared" si="4"/>
        <v>123356.3000841399</v>
      </c>
      <c r="K12" s="34">
        <f t="shared" si="4"/>
        <v>127673.77058708479</v>
      </c>
      <c r="L12" s="34">
        <f t="shared" si="4"/>
        <v>132142.35255763275</v>
      </c>
      <c r="M12" s="34">
        <f t="shared" si="4"/>
        <v>136767.33489714988</v>
      </c>
      <c r="N12" s="34">
        <f t="shared" si="4"/>
        <v>141554.1916185501</v>
      </c>
      <c r="O12" s="34">
        <f t="shared" si="4"/>
        <v>146508.58832519935</v>
      </c>
      <c r="P12" s="34">
        <f t="shared" si="4"/>
        <v>151636.38891658132</v>
      </c>
      <c r="Q12" s="34">
        <f t="shared" si="4"/>
        <v>156943.66252866166</v>
      </c>
      <c r="R12" s="34">
        <f t="shared" si="4"/>
        <v>162436.69071716481</v>
      </c>
    </row>
    <row r="13" spans="1:18" x14ac:dyDescent="0.35">
      <c r="A13" s="26" t="s">
        <v>1034</v>
      </c>
      <c r="F13" s="42"/>
      <c r="G13" s="38">
        <v>0</v>
      </c>
      <c r="H13" s="38">
        <f t="shared" si="1"/>
        <v>0</v>
      </c>
      <c r="I13" s="34">
        <f t="shared" ref="I13:R13" si="5">H13*(1+I265)</f>
        <v>0</v>
      </c>
      <c r="J13" s="34">
        <f t="shared" si="5"/>
        <v>0</v>
      </c>
      <c r="K13" s="34">
        <f t="shared" si="5"/>
        <v>0</v>
      </c>
      <c r="L13" s="34">
        <f t="shared" si="5"/>
        <v>0</v>
      </c>
      <c r="M13" s="34">
        <f t="shared" si="5"/>
        <v>0</v>
      </c>
      <c r="N13" s="34">
        <f t="shared" si="5"/>
        <v>0</v>
      </c>
      <c r="O13" s="34">
        <f t="shared" si="5"/>
        <v>0</v>
      </c>
      <c r="P13" s="34">
        <f t="shared" si="5"/>
        <v>0</v>
      </c>
      <c r="Q13" s="34">
        <f t="shared" si="5"/>
        <v>0</v>
      </c>
      <c r="R13" s="34">
        <f t="shared" si="5"/>
        <v>0</v>
      </c>
    </row>
    <row r="14" spans="1:18" x14ac:dyDescent="0.35">
      <c r="A14" s="26" t="s">
        <v>10</v>
      </c>
      <c r="F14" s="42">
        <v>7370.2</v>
      </c>
      <c r="G14" s="38">
        <v>0</v>
      </c>
      <c r="H14" s="38">
        <f t="shared" si="1"/>
        <v>7370.2</v>
      </c>
      <c r="I14" s="34">
        <f t="shared" ref="I14:R14" si="6">H14*(1+I266)</f>
        <v>7628.1569999999992</v>
      </c>
      <c r="J14" s="34">
        <f t="shared" si="6"/>
        <v>7895.1424949999982</v>
      </c>
      <c r="K14" s="34">
        <f t="shared" si="6"/>
        <v>8171.4724823249971</v>
      </c>
      <c r="L14" s="34">
        <f t="shared" si="6"/>
        <v>8457.4740192063709</v>
      </c>
      <c r="M14" s="34">
        <f t="shared" si="6"/>
        <v>8753.4856098785931</v>
      </c>
      <c r="N14" s="34">
        <f t="shared" si="6"/>
        <v>9059.8576062243428</v>
      </c>
      <c r="O14" s="34">
        <f t="shared" si="6"/>
        <v>9376.9526224421934</v>
      </c>
      <c r="P14" s="34">
        <f t="shared" si="6"/>
        <v>9705.1459642276695</v>
      </c>
      <c r="Q14" s="34">
        <f t="shared" si="6"/>
        <v>10044.826072975637</v>
      </c>
      <c r="R14" s="34">
        <f t="shared" si="6"/>
        <v>10396.394985529783</v>
      </c>
    </row>
    <row r="15" spans="1:18" x14ac:dyDescent="0.35">
      <c r="A15" s="26" t="s">
        <v>11</v>
      </c>
      <c r="F15" s="42">
        <v>4558.8999999999996</v>
      </c>
      <c r="G15" s="38">
        <v>0</v>
      </c>
      <c r="H15" s="38">
        <f t="shared" si="1"/>
        <v>4558.8999999999996</v>
      </c>
      <c r="I15" s="34">
        <f t="shared" ref="I15:R15" si="7">H15*(1+I267)</f>
        <v>4718.4614999999994</v>
      </c>
      <c r="J15" s="34">
        <f t="shared" si="7"/>
        <v>4883.6076524999989</v>
      </c>
      <c r="K15" s="34">
        <f t="shared" si="7"/>
        <v>5054.5339203374988</v>
      </c>
      <c r="L15" s="34">
        <f t="shared" si="7"/>
        <v>5231.4426075493111</v>
      </c>
      <c r="M15" s="34">
        <f t="shared" si="7"/>
        <v>5414.5430988135367</v>
      </c>
      <c r="N15" s="34">
        <f t="shared" si="7"/>
        <v>5604.0521072720103</v>
      </c>
      <c r="O15" s="34">
        <f t="shared" si="7"/>
        <v>5800.1939310265298</v>
      </c>
      <c r="P15" s="34">
        <f t="shared" si="7"/>
        <v>6003.2007186124574</v>
      </c>
      <c r="Q15" s="34">
        <f t="shared" si="7"/>
        <v>6213.3127437638932</v>
      </c>
      <c r="R15" s="34">
        <f t="shared" si="7"/>
        <v>6430.7786897956294</v>
      </c>
    </row>
    <row r="16" spans="1:18" x14ac:dyDescent="0.35">
      <c r="A16" s="26" t="s">
        <v>12</v>
      </c>
      <c r="F16" s="42">
        <v>14596.2</v>
      </c>
      <c r="G16" s="38">
        <f>'Allocated Expenses'!R16</f>
        <v>0</v>
      </c>
      <c r="H16" s="38">
        <f t="shared" si="1"/>
        <v>14596.2</v>
      </c>
      <c r="I16" s="34">
        <f t="shared" ref="I16:R16" si="8">H16*(1+I268)</f>
        <v>15107.066999999999</v>
      </c>
      <c r="J16" s="34">
        <f t="shared" si="8"/>
        <v>15635.814344999997</v>
      </c>
      <c r="K16" s="34">
        <f t="shared" si="8"/>
        <v>16183.067847074995</v>
      </c>
      <c r="L16" s="34">
        <f t="shared" si="8"/>
        <v>16749.47522172262</v>
      </c>
      <c r="M16" s="34">
        <f t="shared" si="8"/>
        <v>17335.706854482909</v>
      </c>
      <c r="N16" s="34">
        <f t="shared" si="8"/>
        <v>17942.456594389809</v>
      </c>
      <c r="O16" s="34">
        <f t="shared" si="8"/>
        <v>18570.44257519345</v>
      </c>
      <c r="P16" s="34">
        <f t="shared" si="8"/>
        <v>19220.40806532522</v>
      </c>
      <c r="Q16" s="34">
        <f t="shared" si="8"/>
        <v>19893.122347611603</v>
      </c>
      <c r="R16" s="34">
        <f t="shared" si="8"/>
        <v>20589.381629778007</v>
      </c>
    </row>
    <row r="17" spans="1:18" x14ac:dyDescent="0.35">
      <c r="A17" s="26" t="s">
        <v>13</v>
      </c>
      <c r="B17" s="40"/>
      <c r="F17" s="42">
        <v>1707.8</v>
      </c>
      <c r="G17" s="38">
        <f>'Allocated Expenses'!R17</f>
        <v>0</v>
      </c>
      <c r="H17" s="38">
        <f t="shared" si="1"/>
        <v>1707.8</v>
      </c>
      <c r="I17" s="34">
        <f t="shared" ref="I17:R17" si="9">H17*(1+I269)</f>
        <v>1767.5729999999999</v>
      </c>
      <c r="J17" s="34">
        <f t="shared" si="9"/>
        <v>1829.4380549999996</v>
      </c>
      <c r="K17" s="34">
        <f t="shared" si="9"/>
        <v>1893.4683869249995</v>
      </c>
      <c r="L17" s="34">
        <f t="shared" si="9"/>
        <v>1959.7397804673744</v>
      </c>
      <c r="M17" s="34">
        <f t="shared" si="9"/>
        <v>2028.3306727837323</v>
      </c>
      <c r="N17" s="34">
        <f t="shared" si="9"/>
        <v>2099.3222463311627</v>
      </c>
      <c r="O17" s="34">
        <f t="shared" si="9"/>
        <v>2172.7985249527533</v>
      </c>
      <c r="P17" s="34">
        <f t="shared" si="9"/>
        <v>2248.8464733260994</v>
      </c>
      <c r="Q17" s="34">
        <f t="shared" si="9"/>
        <v>2327.5560998925125</v>
      </c>
      <c r="R17" s="34">
        <f t="shared" si="9"/>
        <v>2409.0205633887504</v>
      </c>
    </row>
    <row r="18" spans="1:18" x14ac:dyDescent="0.35">
      <c r="A18" s="26" t="s">
        <v>1467</v>
      </c>
      <c r="F18" s="42">
        <v>2700.9</v>
      </c>
      <c r="G18" s="38">
        <v>0</v>
      </c>
      <c r="H18" s="38">
        <f>F18+G18</f>
        <v>2700.9</v>
      </c>
      <c r="I18" s="34">
        <f t="shared" ref="I18:R18" si="10">H18*(1+I269)</f>
        <v>2795.4314999999997</v>
      </c>
      <c r="J18" s="34">
        <f t="shared" si="10"/>
        <v>2893.2716024999995</v>
      </c>
      <c r="K18" s="34">
        <f t="shared" si="10"/>
        <v>2994.5361085874993</v>
      </c>
      <c r="L18" s="34">
        <f t="shared" si="10"/>
        <v>3099.3448723880615</v>
      </c>
      <c r="M18" s="34">
        <f t="shared" si="10"/>
        <v>3207.8219429216433</v>
      </c>
      <c r="N18" s="34">
        <f t="shared" si="10"/>
        <v>3320.0957109239007</v>
      </c>
      <c r="O18" s="34">
        <f t="shared" si="10"/>
        <v>3436.2990608062369</v>
      </c>
      <c r="P18" s="34">
        <f t="shared" si="10"/>
        <v>3556.569527934455</v>
      </c>
      <c r="Q18" s="34">
        <f t="shared" si="10"/>
        <v>3681.0494614121608</v>
      </c>
      <c r="R18" s="34">
        <f t="shared" si="10"/>
        <v>3809.8861925615861</v>
      </c>
    </row>
    <row r="19" spans="1:18" x14ac:dyDescent="0.35">
      <c r="A19" s="26" t="s">
        <v>14</v>
      </c>
      <c r="F19" s="42">
        <v>1750.77</v>
      </c>
      <c r="G19" s="38">
        <f>'Allocated Expenses'!R18</f>
        <v>0</v>
      </c>
      <c r="H19" s="38">
        <f t="shared" si="1"/>
        <v>1750.77</v>
      </c>
      <c r="I19" s="34">
        <f t="shared" ref="I19:R19" si="11">H19*(1+I271)</f>
        <v>1812.0469499999999</v>
      </c>
      <c r="J19" s="34">
        <f t="shared" si="11"/>
        <v>1875.4685932499997</v>
      </c>
      <c r="K19" s="34">
        <f t="shared" si="11"/>
        <v>1941.1099940137494</v>
      </c>
      <c r="L19" s="34">
        <f t="shared" si="11"/>
        <v>2009.0488438042305</v>
      </c>
      <c r="M19" s="34">
        <f t="shared" si="11"/>
        <v>2079.3655533373785</v>
      </c>
      <c r="N19" s="34">
        <f t="shared" si="11"/>
        <v>2152.1433477041865</v>
      </c>
      <c r="O19" s="34">
        <f t="shared" si="11"/>
        <v>2227.4683648738328</v>
      </c>
      <c r="P19" s="34">
        <f t="shared" si="11"/>
        <v>2305.4297576444169</v>
      </c>
      <c r="Q19" s="34">
        <f t="shared" si="11"/>
        <v>2386.1197991619715</v>
      </c>
      <c r="R19" s="34">
        <f t="shared" si="11"/>
        <v>2469.6339921326403</v>
      </c>
    </row>
    <row r="20" spans="1:18" x14ac:dyDescent="0.35">
      <c r="A20" s="26" t="s">
        <v>15</v>
      </c>
      <c r="F20" s="42">
        <v>41597.279999999999</v>
      </c>
      <c r="G20" s="38">
        <v>0</v>
      </c>
      <c r="H20" s="38">
        <f t="shared" si="1"/>
        <v>41597.279999999999</v>
      </c>
      <c r="I20" s="34">
        <f t="shared" ref="I20:R20" si="12">H20*(1+I272)</f>
        <v>43053.184799999995</v>
      </c>
      <c r="J20" s="34">
        <f t="shared" si="12"/>
        <v>44560.046267999991</v>
      </c>
      <c r="K20" s="34">
        <f t="shared" si="12"/>
        <v>46119.647887379986</v>
      </c>
      <c r="L20" s="34">
        <f t="shared" si="12"/>
        <v>47733.835563438282</v>
      </c>
      <c r="M20" s="34">
        <f t="shared" si="12"/>
        <v>49404.51980815862</v>
      </c>
      <c r="N20" s="34">
        <f t="shared" si="12"/>
        <v>51133.678001444168</v>
      </c>
      <c r="O20" s="34">
        <f t="shared" si="12"/>
        <v>52923.356731494707</v>
      </c>
      <c r="P20" s="34">
        <f t="shared" si="12"/>
        <v>54775.674217097017</v>
      </c>
      <c r="Q20" s="34">
        <f t="shared" si="12"/>
        <v>56692.822814695406</v>
      </c>
      <c r="R20" s="34">
        <f t="shared" si="12"/>
        <v>58677.071613209744</v>
      </c>
    </row>
    <row r="21" spans="1:18" x14ac:dyDescent="0.35">
      <c r="A21" s="26" t="s">
        <v>16</v>
      </c>
      <c r="F21" s="42">
        <v>2968.17</v>
      </c>
      <c r="G21" s="38">
        <v>0</v>
      </c>
      <c r="H21" s="38">
        <f t="shared" si="1"/>
        <v>2968.17</v>
      </c>
      <c r="I21" s="34">
        <f t="shared" ref="I21:R21" si="13">H21*(1+I273)</f>
        <v>3072.0559499999999</v>
      </c>
      <c r="J21" s="34">
        <f t="shared" si="13"/>
        <v>3179.5779082499998</v>
      </c>
      <c r="K21" s="34">
        <f t="shared" si="13"/>
        <v>3290.8631350387495</v>
      </c>
      <c r="L21" s="34">
        <f t="shared" si="13"/>
        <v>3406.0433447651053</v>
      </c>
      <c r="M21" s="34">
        <f t="shared" si="13"/>
        <v>3525.2548618318838</v>
      </c>
      <c r="N21" s="34">
        <f t="shared" si="13"/>
        <v>3648.6387819959996</v>
      </c>
      <c r="O21" s="34">
        <f t="shared" si="13"/>
        <v>3776.3411393658594</v>
      </c>
      <c r="P21" s="34">
        <f t="shared" si="13"/>
        <v>3908.5130792436639</v>
      </c>
      <c r="Q21" s="34">
        <f t="shared" si="13"/>
        <v>4045.3110370171917</v>
      </c>
      <c r="R21" s="34">
        <f t="shared" si="13"/>
        <v>4186.8969233127928</v>
      </c>
    </row>
    <row r="22" spans="1:18" x14ac:dyDescent="0.35">
      <c r="A22" s="26" t="s">
        <v>17</v>
      </c>
      <c r="F22" s="42">
        <v>811.89</v>
      </c>
      <c r="G22" s="38">
        <v>0</v>
      </c>
      <c r="H22" s="38">
        <f t="shared" si="1"/>
        <v>811.89</v>
      </c>
      <c r="I22" s="34">
        <f t="shared" ref="I22:R22" si="14">H22*(1+I274)</f>
        <v>840.30614999999989</v>
      </c>
      <c r="J22" s="34">
        <f t="shared" si="14"/>
        <v>869.71686524999984</v>
      </c>
      <c r="K22" s="34">
        <f t="shared" si="14"/>
        <v>900.15695553374974</v>
      </c>
      <c r="L22" s="34">
        <f t="shared" si="14"/>
        <v>931.66244897743093</v>
      </c>
      <c r="M22" s="34">
        <f t="shared" si="14"/>
        <v>964.27063469164091</v>
      </c>
      <c r="N22" s="34">
        <f t="shared" si="14"/>
        <v>998.02010690584825</v>
      </c>
      <c r="O22" s="34">
        <f t="shared" si="14"/>
        <v>1032.9508106475528</v>
      </c>
      <c r="P22" s="34">
        <f t="shared" si="14"/>
        <v>1069.1040890202171</v>
      </c>
      <c r="Q22" s="34">
        <f t="shared" si="14"/>
        <v>1106.5227321359246</v>
      </c>
      <c r="R22" s="34">
        <f t="shared" si="14"/>
        <v>1145.2510277606818</v>
      </c>
    </row>
    <row r="23" spans="1:18" x14ac:dyDescent="0.35">
      <c r="A23" s="26" t="s">
        <v>1466</v>
      </c>
      <c r="F23" s="353">
        <f>2121299.32-18759.29</f>
        <v>2102540.0299999998</v>
      </c>
      <c r="G23" s="38">
        <f>'Allocated Expenses'!R10+'Contract Operations'!G8</f>
        <v>79390.870000000112</v>
      </c>
      <c r="H23" s="38">
        <f t="shared" si="1"/>
        <v>2181930.9</v>
      </c>
      <c r="I23" s="34">
        <f t="shared" ref="I23:R24" si="15">H23*(1+I275)</f>
        <v>2247388.827</v>
      </c>
      <c r="J23" s="34">
        <f t="shared" si="15"/>
        <v>2314810.49181</v>
      </c>
      <c r="K23" s="34">
        <f t="shared" si="15"/>
        <v>2384254.8065643003</v>
      </c>
      <c r="L23" s="34">
        <f t="shared" si="15"/>
        <v>2455782.4507612293</v>
      </c>
      <c r="M23" s="34">
        <f t="shared" si="15"/>
        <v>2529455.9242840661</v>
      </c>
      <c r="N23" s="34">
        <f t="shared" si="15"/>
        <v>2605339.6020125882</v>
      </c>
      <c r="O23" s="34">
        <f t="shared" si="15"/>
        <v>2683499.7900729659</v>
      </c>
      <c r="P23" s="34">
        <f t="shared" si="15"/>
        <v>2764004.783775155</v>
      </c>
      <c r="Q23" s="34">
        <f t="shared" si="15"/>
        <v>2846924.9272884098</v>
      </c>
      <c r="R23" s="34">
        <f t="shared" si="15"/>
        <v>2932332.6751070623</v>
      </c>
    </row>
    <row r="24" spans="1:18" x14ac:dyDescent="0.35">
      <c r="A24" s="26" t="s">
        <v>658</v>
      </c>
      <c r="F24" s="42">
        <v>94932.81</v>
      </c>
      <c r="G24" s="38"/>
      <c r="H24" s="38">
        <f t="shared" si="1"/>
        <v>94932.81</v>
      </c>
      <c r="I24" s="34">
        <f t="shared" si="15"/>
        <v>98255.458349999986</v>
      </c>
      <c r="J24" s="34">
        <f t="shared" ref="J24" si="16">I24*(1+J276)</f>
        <v>101694.39939224998</v>
      </c>
      <c r="K24" s="34">
        <f t="shared" ref="K24" si="17">J24*(1+K276)</f>
        <v>105253.70337097872</v>
      </c>
      <c r="L24" s="34">
        <f t="shared" ref="L24" si="18">K24*(1+L276)</f>
        <v>108937.58298896297</v>
      </c>
      <c r="M24" s="34">
        <f t="shared" ref="M24" si="19">L24*(1+M276)</f>
        <v>112750.39839357666</v>
      </c>
      <c r="N24" s="34">
        <f t="shared" ref="N24" si="20">M24*(1+N276)</f>
        <v>116696.66233735184</v>
      </c>
      <c r="O24" s="34">
        <f t="shared" ref="O24" si="21">N24*(1+O276)</f>
        <v>120781.04551915915</v>
      </c>
      <c r="P24" s="34">
        <f t="shared" ref="P24" si="22">O24*(1+P276)</f>
        <v>125008.38211232971</v>
      </c>
      <c r="Q24" s="34">
        <f t="shared" ref="Q24" si="23">P24*(1+Q276)</f>
        <v>129383.67548626124</v>
      </c>
      <c r="R24" s="34">
        <f t="shared" ref="R24" si="24">Q24*(1+R276)</f>
        <v>133912.10412828036</v>
      </c>
    </row>
    <row r="25" spans="1:18" x14ac:dyDescent="0.35">
      <c r="A25" s="26" t="s">
        <v>34</v>
      </c>
      <c r="F25" s="42">
        <v>0</v>
      </c>
      <c r="G25" s="38">
        <v>0</v>
      </c>
      <c r="H25" s="38">
        <f t="shared" si="1"/>
        <v>0</v>
      </c>
      <c r="I25" s="34">
        <f t="shared" ref="I25:R25" si="25">H25*(1+I277)</f>
        <v>0</v>
      </c>
      <c r="J25" s="34">
        <f t="shared" si="25"/>
        <v>0</v>
      </c>
      <c r="K25" s="34">
        <f t="shared" si="25"/>
        <v>0</v>
      </c>
      <c r="L25" s="34">
        <f t="shared" si="25"/>
        <v>0</v>
      </c>
      <c r="M25" s="34">
        <f t="shared" si="25"/>
        <v>0</v>
      </c>
      <c r="N25" s="34">
        <f t="shared" si="25"/>
        <v>0</v>
      </c>
      <c r="O25" s="34">
        <f t="shared" si="25"/>
        <v>0</v>
      </c>
      <c r="P25" s="34">
        <f t="shared" si="25"/>
        <v>0</v>
      </c>
      <c r="Q25" s="34">
        <f t="shared" si="25"/>
        <v>0</v>
      </c>
      <c r="R25" s="34">
        <f t="shared" si="25"/>
        <v>0</v>
      </c>
    </row>
    <row r="26" spans="1:18" x14ac:dyDescent="0.35">
      <c r="A26" s="26" t="s">
        <v>19</v>
      </c>
      <c r="F26" s="42">
        <v>0</v>
      </c>
      <c r="G26" s="38">
        <v>0</v>
      </c>
      <c r="H26" s="38">
        <f t="shared" si="1"/>
        <v>0</v>
      </c>
      <c r="I26" s="34">
        <f t="shared" ref="I26:R26" si="26">H26*(1+I278)</f>
        <v>0</v>
      </c>
      <c r="J26" s="34">
        <f t="shared" si="26"/>
        <v>0</v>
      </c>
      <c r="K26" s="34">
        <f t="shared" si="26"/>
        <v>0</v>
      </c>
      <c r="L26" s="34">
        <f t="shared" si="26"/>
        <v>0</v>
      </c>
      <c r="M26" s="34">
        <f t="shared" si="26"/>
        <v>0</v>
      </c>
      <c r="N26" s="34">
        <f t="shared" si="26"/>
        <v>0</v>
      </c>
      <c r="O26" s="34">
        <f t="shared" si="26"/>
        <v>0</v>
      </c>
      <c r="P26" s="34">
        <f t="shared" si="26"/>
        <v>0</v>
      </c>
      <c r="Q26" s="34">
        <f t="shared" si="26"/>
        <v>0</v>
      </c>
      <c r="R26" s="34">
        <f t="shared" si="26"/>
        <v>0</v>
      </c>
    </row>
    <row r="27" spans="1:18" x14ac:dyDescent="0.35">
      <c r="A27" s="26" t="s">
        <v>20</v>
      </c>
      <c r="F27" s="42">
        <v>7938.15</v>
      </c>
      <c r="G27" s="38">
        <f>'Allocated Expenses'!R11</f>
        <v>0</v>
      </c>
      <c r="H27" s="38">
        <f t="shared" si="1"/>
        <v>7938.15</v>
      </c>
      <c r="I27" s="34">
        <f t="shared" ref="I27:R27" si="27">H27*(1+I279)</f>
        <v>8215.9852499999997</v>
      </c>
      <c r="J27" s="34">
        <f t="shared" si="27"/>
        <v>8503.5447337499991</v>
      </c>
      <c r="K27" s="34">
        <f t="shared" si="27"/>
        <v>8801.1687994312488</v>
      </c>
      <c r="L27" s="34">
        <f t="shared" si="27"/>
        <v>9109.2097074113426</v>
      </c>
      <c r="M27" s="34">
        <f t="shared" si="27"/>
        <v>9428.0320471707382</v>
      </c>
      <c r="N27" s="34">
        <f t="shared" si="27"/>
        <v>9758.0131688217134</v>
      </c>
      <c r="O27" s="34">
        <f t="shared" si="27"/>
        <v>10099.543629730473</v>
      </c>
      <c r="P27" s="34">
        <f t="shared" si="27"/>
        <v>10453.027656771039</v>
      </c>
      <c r="Q27" s="34">
        <f t="shared" si="27"/>
        <v>10818.883624758024</v>
      </c>
      <c r="R27" s="34">
        <f t="shared" si="27"/>
        <v>11197.544551624555</v>
      </c>
    </row>
    <row r="28" spans="1:18" x14ac:dyDescent="0.35">
      <c r="A28" s="26" t="s">
        <v>21</v>
      </c>
      <c r="F28" s="42">
        <v>1727.49</v>
      </c>
      <c r="G28" s="38">
        <f>'Allocated Expenses'!R13</f>
        <v>0</v>
      </c>
      <c r="H28" s="38">
        <f t="shared" si="1"/>
        <v>1727.49</v>
      </c>
      <c r="I28" s="34">
        <f t="shared" ref="I28:R28" si="28">H28*(1+I280)</f>
        <v>1787.9521499999998</v>
      </c>
      <c r="J28" s="34">
        <f t="shared" si="28"/>
        <v>1850.5304752499997</v>
      </c>
      <c r="K28" s="34">
        <f t="shared" si="28"/>
        <v>1915.2990418837494</v>
      </c>
      <c r="L28" s="34">
        <f t="shared" si="28"/>
        <v>1982.3345083496804</v>
      </c>
      <c r="M28" s="34">
        <f t="shared" si="28"/>
        <v>2051.7162161419192</v>
      </c>
      <c r="N28" s="34">
        <f t="shared" si="28"/>
        <v>2123.5262837068863</v>
      </c>
      <c r="O28" s="34">
        <f t="shared" si="28"/>
        <v>2197.8497036366271</v>
      </c>
      <c r="P28" s="34">
        <f t="shared" si="28"/>
        <v>2274.7744432639088</v>
      </c>
      <c r="Q28" s="34">
        <f t="shared" si="28"/>
        <v>2354.3915487781455</v>
      </c>
      <c r="R28" s="34">
        <f t="shared" si="28"/>
        <v>2436.7952529853806</v>
      </c>
    </row>
    <row r="29" spans="1:18" x14ac:dyDescent="0.35">
      <c r="A29" s="26" t="s">
        <v>105</v>
      </c>
      <c r="F29" s="42">
        <v>0</v>
      </c>
      <c r="G29" s="38">
        <v>0</v>
      </c>
      <c r="H29" s="38">
        <f t="shared" si="1"/>
        <v>0</v>
      </c>
      <c r="I29" s="34">
        <f t="shared" ref="I29:R29" si="29">H29*(1+I281)</f>
        <v>0</v>
      </c>
      <c r="J29" s="34">
        <f t="shared" si="29"/>
        <v>0</v>
      </c>
      <c r="K29" s="34">
        <f t="shared" si="29"/>
        <v>0</v>
      </c>
      <c r="L29" s="34">
        <f t="shared" si="29"/>
        <v>0</v>
      </c>
      <c r="M29" s="34">
        <f t="shared" si="29"/>
        <v>0</v>
      </c>
      <c r="N29" s="34">
        <f t="shared" si="29"/>
        <v>0</v>
      </c>
      <c r="O29" s="34">
        <f t="shared" si="29"/>
        <v>0</v>
      </c>
      <c r="P29" s="34">
        <f t="shared" si="29"/>
        <v>0</v>
      </c>
      <c r="Q29" s="34">
        <f t="shared" si="29"/>
        <v>0</v>
      </c>
      <c r="R29" s="34">
        <f t="shared" si="29"/>
        <v>0</v>
      </c>
    </row>
    <row r="30" spans="1:18" x14ac:dyDescent="0.35">
      <c r="A30" s="26" t="s">
        <v>22</v>
      </c>
      <c r="F30" s="42">
        <v>29230.95</v>
      </c>
      <c r="G30" s="38">
        <f>Insurance!G8</f>
        <v>-3617.0699999999997</v>
      </c>
      <c r="H30" s="38">
        <f t="shared" si="1"/>
        <v>25613.88</v>
      </c>
      <c r="I30" s="34">
        <f t="shared" ref="I30:R30" si="30">H30*(1+I282)</f>
        <v>26510.3658</v>
      </c>
      <c r="J30" s="34">
        <f t="shared" si="30"/>
        <v>27438.228602999996</v>
      </c>
      <c r="K30" s="34">
        <f t="shared" si="30"/>
        <v>28398.566604104995</v>
      </c>
      <c r="L30" s="34">
        <f t="shared" si="30"/>
        <v>29392.516435248668</v>
      </c>
      <c r="M30" s="34">
        <f t="shared" si="30"/>
        <v>30421.254510482369</v>
      </c>
      <c r="N30" s="34">
        <f t="shared" si="30"/>
        <v>31485.998418349249</v>
      </c>
      <c r="O30" s="34">
        <f t="shared" si="30"/>
        <v>32588.00836299147</v>
      </c>
      <c r="P30" s="34">
        <f t="shared" si="30"/>
        <v>33728.58865569617</v>
      </c>
      <c r="Q30" s="34">
        <f t="shared" si="30"/>
        <v>34909.08925864553</v>
      </c>
      <c r="R30" s="34">
        <f t="shared" si="30"/>
        <v>36130.907382698118</v>
      </c>
    </row>
    <row r="31" spans="1:18" x14ac:dyDescent="0.35">
      <c r="A31" s="26" t="s">
        <v>23</v>
      </c>
      <c r="F31" s="42">
        <v>1949.19</v>
      </c>
      <c r="G31" s="38">
        <f>'Allocated Expenses'!R15</f>
        <v>0</v>
      </c>
      <c r="H31" s="38">
        <f t="shared" si="1"/>
        <v>1949.19</v>
      </c>
      <c r="I31" s="34">
        <f t="shared" ref="I31:R31" si="31">H31*(1+I283)</f>
        <v>2017.41165</v>
      </c>
      <c r="J31" s="34">
        <f t="shared" si="31"/>
        <v>2088.0210577499997</v>
      </c>
      <c r="K31" s="34">
        <f t="shared" si="31"/>
        <v>2161.1017947712494</v>
      </c>
      <c r="L31" s="34">
        <f t="shared" si="31"/>
        <v>2236.7403575882431</v>
      </c>
      <c r="M31" s="34">
        <f t="shared" si="31"/>
        <v>2315.0262701038314</v>
      </c>
      <c r="N31" s="34">
        <f t="shared" si="31"/>
        <v>2396.0521895574652</v>
      </c>
      <c r="O31" s="34">
        <f t="shared" si="31"/>
        <v>2479.9140161919763</v>
      </c>
      <c r="P31" s="34">
        <f t="shared" si="31"/>
        <v>2566.7110067586955</v>
      </c>
      <c r="Q31" s="34">
        <f t="shared" si="31"/>
        <v>2656.5458919952498</v>
      </c>
      <c r="R31" s="34">
        <f t="shared" si="31"/>
        <v>2749.5249982150835</v>
      </c>
    </row>
    <row r="32" spans="1:18" x14ac:dyDescent="0.35">
      <c r="A32" s="26" t="s">
        <v>24</v>
      </c>
      <c r="F32" s="42">
        <v>0</v>
      </c>
      <c r="G32" s="38">
        <v>0</v>
      </c>
      <c r="H32" s="38">
        <f t="shared" si="1"/>
        <v>0</v>
      </c>
      <c r="I32" s="34">
        <f t="shared" ref="I32:R32" si="32">H32*(1+I284)</f>
        <v>0</v>
      </c>
      <c r="J32" s="34">
        <f t="shared" si="32"/>
        <v>0</v>
      </c>
      <c r="K32" s="34">
        <f t="shared" si="32"/>
        <v>0</v>
      </c>
      <c r="L32" s="34">
        <f t="shared" si="32"/>
        <v>0</v>
      </c>
      <c r="M32" s="34">
        <f t="shared" si="32"/>
        <v>0</v>
      </c>
      <c r="N32" s="34">
        <f t="shared" si="32"/>
        <v>0</v>
      </c>
      <c r="O32" s="34">
        <f t="shared" si="32"/>
        <v>0</v>
      </c>
      <c r="P32" s="34">
        <f t="shared" si="32"/>
        <v>0</v>
      </c>
      <c r="Q32" s="34">
        <f t="shared" si="32"/>
        <v>0</v>
      </c>
      <c r="R32" s="34">
        <f t="shared" si="32"/>
        <v>0</v>
      </c>
    </row>
    <row r="33" spans="1:18" x14ac:dyDescent="0.35">
      <c r="A33" s="26" t="s">
        <v>25</v>
      </c>
      <c r="F33" s="42">
        <v>42.23</v>
      </c>
      <c r="G33" s="38">
        <v>0</v>
      </c>
      <c r="H33" s="38">
        <f t="shared" si="1"/>
        <v>42.23</v>
      </c>
      <c r="I33" s="34">
        <f t="shared" ref="I33:R33" si="33">H33*(1+I285)</f>
        <v>43.708049999999993</v>
      </c>
      <c r="J33" s="34">
        <f t="shared" si="33"/>
        <v>45.237831749999991</v>
      </c>
      <c r="K33" s="34">
        <f t="shared" si="33"/>
        <v>46.821155861249984</v>
      </c>
      <c r="L33" s="34">
        <f t="shared" si="33"/>
        <v>48.459896316393731</v>
      </c>
      <c r="M33" s="34">
        <f t="shared" si="33"/>
        <v>50.15599268746751</v>
      </c>
      <c r="N33" s="34">
        <f t="shared" si="33"/>
        <v>51.911452431528872</v>
      </c>
      <c r="O33" s="34">
        <f t="shared" si="33"/>
        <v>53.728353266632375</v>
      </c>
      <c r="P33" s="34">
        <f t="shared" si="33"/>
        <v>55.608845630964503</v>
      </c>
      <c r="Q33" s="34">
        <f t="shared" si="33"/>
        <v>57.555155228048257</v>
      </c>
      <c r="R33" s="34">
        <f t="shared" si="33"/>
        <v>59.56958566102994</v>
      </c>
    </row>
    <row r="34" spans="1:18" x14ac:dyDescent="0.35">
      <c r="A34" s="26" t="s">
        <v>26</v>
      </c>
      <c r="F34" s="42">
        <v>5812.31</v>
      </c>
      <c r="G34" s="38">
        <v>0</v>
      </c>
      <c r="H34" s="38">
        <f t="shared" si="1"/>
        <v>5812.31</v>
      </c>
      <c r="I34" s="34">
        <f t="shared" ref="I34:R34" si="34">H34*(1+I286)</f>
        <v>6015.7408500000001</v>
      </c>
      <c r="J34" s="34">
        <f t="shared" si="34"/>
        <v>6226.2917797499995</v>
      </c>
      <c r="K34" s="34">
        <f t="shared" si="34"/>
        <v>6444.2119920412488</v>
      </c>
      <c r="L34" s="34">
        <f t="shared" si="34"/>
        <v>6669.7594117626923</v>
      </c>
      <c r="M34" s="34">
        <f t="shared" si="34"/>
        <v>6903.2009911743862</v>
      </c>
      <c r="N34" s="34">
        <f t="shared" si="34"/>
        <v>7144.8130258654892</v>
      </c>
      <c r="O34" s="34">
        <f t="shared" si="34"/>
        <v>7394.8814817707807</v>
      </c>
      <c r="P34" s="34">
        <f t="shared" si="34"/>
        <v>7653.7023336327575</v>
      </c>
      <c r="Q34" s="34">
        <f t="shared" si="34"/>
        <v>7921.5819153099037</v>
      </c>
      <c r="R34" s="34">
        <f t="shared" si="34"/>
        <v>8198.8372823457503</v>
      </c>
    </row>
    <row r="35" spans="1:18" x14ac:dyDescent="0.35">
      <c r="A35" s="26" t="s">
        <v>27</v>
      </c>
      <c r="F35" s="42">
        <v>2250</v>
      </c>
      <c r="G35" s="38">
        <v>0</v>
      </c>
      <c r="H35" s="38">
        <f t="shared" si="1"/>
        <v>2250</v>
      </c>
      <c r="I35" s="34">
        <f t="shared" ref="I35:R35" si="35">H35*(1+I287)</f>
        <v>2328.75</v>
      </c>
      <c r="J35" s="34">
        <f t="shared" si="35"/>
        <v>2410.2562499999999</v>
      </c>
      <c r="K35" s="34">
        <f t="shared" si="35"/>
        <v>2494.6152187499997</v>
      </c>
      <c r="L35" s="34">
        <f t="shared" si="35"/>
        <v>2581.9267514062494</v>
      </c>
      <c r="M35" s="34">
        <f t="shared" si="35"/>
        <v>2672.2941877054677</v>
      </c>
      <c r="N35" s="34">
        <f t="shared" si="35"/>
        <v>2765.8244842751587</v>
      </c>
      <c r="O35" s="34">
        <f t="shared" si="35"/>
        <v>2862.628341224789</v>
      </c>
      <c r="P35" s="34">
        <f t="shared" si="35"/>
        <v>2962.8203331676564</v>
      </c>
      <c r="Q35" s="34">
        <f t="shared" si="35"/>
        <v>3066.5190448285243</v>
      </c>
      <c r="R35" s="34">
        <f t="shared" si="35"/>
        <v>3173.8472113975226</v>
      </c>
    </row>
    <row r="36" spans="1:18" x14ac:dyDescent="0.35">
      <c r="A36" s="26" t="s">
        <v>28</v>
      </c>
      <c r="F36" s="42">
        <f>7415.39+717.23</f>
        <v>8132.6200000000008</v>
      </c>
      <c r="G36" s="38">
        <v>0</v>
      </c>
      <c r="H36" s="38">
        <f t="shared" si="1"/>
        <v>8132.6200000000008</v>
      </c>
      <c r="I36" s="34">
        <f t="shared" ref="I36:R36" si="36">H36*(1+I288)</f>
        <v>8417.2617000000009</v>
      </c>
      <c r="J36" s="34">
        <f t="shared" si="36"/>
        <v>8711.8658594999997</v>
      </c>
      <c r="K36" s="34">
        <f t="shared" si="36"/>
        <v>9016.7811645824986</v>
      </c>
      <c r="L36" s="34">
        <f t="shared" si="36"/>
        <v>9332.3685053428853</v>
      </c>
      <c r="M36" s="34">
        <f t="shared" si="36"/>
        <v>9659.0014030298862</v>
      </c>
      <c r="N36" s="34">
        <f t="shared" si="36"/>
        <v>9997.0664521359322</v>
      </c>
      <c r="O36" s="34">
        <f t="shared" si="36"/>
        <v>10346.963777960689</v>
      </c>
      <c r="P36" s="34">
        <f t="shared" si="36"/>
        <v>10709.107510189313</v>
      </c>
      <c r="Q36" s="34">
        <f t="shared" si="36"/>
        <v>11083.926273045938</v>
      </c>
      <c r="R36" s="34">
        <f t="shared" si="36"/>
        <v>11471.863692602545</v>
      </c>
    </row>
    <row r="37" spans="1:18" x14ac:dyDescent="0.35">
      <c r="A37" s="26" t="s">
        <v>29</v>
      </c>
      <c r="F37" s="42">
        <v>11400.24</v>
      </c>
      <c r="G37" s="38">
        <f>'Allocated Expenses'!R12+Electricity!G8</f>
        <v>0</v>
      </c>
      <c r="H37" s="38">
        <f t="shared" si="1"/>
        <v>11400.24</v>
      </c>
      <c r="I37" s="95">
        <f t="shared" ref="I37:R37" si="37">H37*(1+I289)</f>
        <v>11799.248399999999</v>
      </c>
      <c r="J37" s="34">
        <f t="shared" si="37"/>
        <v>12212.222093999997</v>
      </c>
      <c r="K37" s="34">
        <f t="shared" si="37"/>
        <v>12639.649867289996</v>
      </c>
      <c r="L37" s="34">
        <f t="shared" si="37"/>
        <v>13082.037612645145</v>
      </c>
      <c r="M37" s="34">
        <f t="shared" si="37"/>
        <v>13539.908929087724</v>
      </c>
      <c r="N37" s="34">
        <f t="shared" si="37"/>
        <v>14013.805741605793</v>
      </c>
      <c r="O37" s="34">
        <f t="shared" si="37"/>
        <v>14504.288942561994</v>
      </c>
      <c r="P37" s="34">
        <f t="shared" si="37"/>
        <v>15011.939055551662</v>
      </c>
      <c r="Q37" s="34">
        <f t="shared" si="37"/>
        <v>15537.356922495968</v>
      </c>
      <c r="R37" s="34">
        <f t="shared" si="37"/>
        <v>16081.164414783327</v>
      </c>
    </row>
    <row r="38" spans="1:18" x14ac:dyDescent="0.35">
      <c r="A38" s="26" t="s">
        <v>1124</v>
      </c>
      <c r="F38" s="43">
        <v>-88328.9</v>
      </c>
      <c r="G38" s="39">
        <f>COS!F84</f>
        <v>33662.899999999994</v>
      </c>
      <c r="H38" s="39">
        <f>F38+G38</f>
        <v>-54666</v>
      </c>
      <c r="I38" s="96">
        <f>H38*(1+I290)</f>
        <v>-56579.31</v>
      </c>
      <c r="J38" s="35">
        <f t="shared" ref="J38:R38" si="38">I38*(1+J290)</f>
        <v>-58559.585849999996</v>
      </c>
      <c r="K38" s="35">
        <f t="shared" si="38"/>
        <v>-60609.171354749989</v>
      </c>
      <c r="L38" s="35">
        <f t="shared" si="38"/>
        <v>-62730.492352166235</v>
      </c>
      <c r="M38" s="35">
        <f t="shared" si="38"/>
        <v>-64926.059584492046</v>
      </c>
      <c r="N38" s="35">
        <f t="shared" si="38"/>
        <v>-67198.471669949256</v>
      </c>
      <c r="O38" s="35">
        <f t="shared" si="38"/>
        <v>-69550.418178397478</v>
      </c>
      <c r="P38" s="35">
        <f t="shared" si="38"/>
        <v>-71984.68281464139</v>
      </c>
      <c r="Q38" s="35">
        <f t="shared" si="38"/>
        <v>-74504.146713153837</v>
      </c>
      <c r="R38" s="35">
        <f t="shared" si="38"/>
        <v>-77111.791848114211</v>
      </c>
    </row>
    <row r="39" spans="1:18" ht="7.9" customHeight="1" x14ac:dyDescent="0.35">
      <c r="F39" s="34"/>
      <c r="H39" s="34"/>
    </row>
    <row r="40" spans="1:18" s="25" customFormat="1" x14ac:dyDescent="0.35">
      <c r="C40" s="25" t="s">
        <v>31</v>
      </c>
      <c r="F40" s="33">
        <f>SUM(F9:F39)</f>
        <v>2601031.5100000007</v>
      </c>
      <c r="G40" s="33">
        <f t="shared" ref="G40:R40" si="39">SUM(G9:G39)</f>
        <v>128823.2976825863</v>
      </c>
      <c r="H40" s="33">
        <f t="shared" si="39"/>
        <v>2729854.8076825864</v>
      </c>
      <c r="I40" s="33">
        <f t="shared" si="39"/>
        <v>2814490.0714514763</v>
      </c>
      <c r="J40" s="33">
        <f t="shared" si="39"/>
        <v>2901760.2798172785</v>
      </c>
      <c r="K40" s="33">
        <f t="shared" si="39"/>
        <v>2991747.8371518324</v>
      </c>
      <c r="L40" s="33">
        <f t="shared" si="39"/>
        <v>3084537.7374193254</v>
      </c>
      <c r="M40" s="33">
        <f t="shared" si="39"/>
        <v>3180217.6459751958</v>
      </c>
      <c r="N40" s="33">
        <f t="shared" si="39"/>
        <v>3278877.9839629084</v>
      </c>
      <c r="O40" s="33">
        <f t="shared" si="39"/>
        <v>3380612.0153915463</v>
      </c>
      <c r="P40" s="33">
        <f t="shared" si="39"/>
        <v>3485515.9369798871</v>
      </c>
      <c r="Q40" s="33">
        <f t="shared" si="39"/>
        <v>3593688.9708553059</v>
      </c>
      <c r="R40" s="33">
        <f t="shared" si="39"/>
        <v>3705233.4601988001</v>
      </c>
    </row>
    <row r="41" spans="1:18" x14ac:dyDescent="0.35">
      <c r="C41" s="26" t="s">
        <v>113</v>
      </c>
      <c r="F41" s="303"/>
      <c r="H41" s="80" t="str">
        <f>IF(ROUNDUP(H40,1)&lt;&gt;ROUNDUP(Summary!H10,1),"Check","")</f>
        <v/>
      </c>
    </row>
    <row r="42" spans="1:18" ht="5.65" customHeight="1" x14ac:dyDescent="0.35">
      <c r="B42" s="40"/>
      <c r="F42" s="33"/>
      <c r="H42" s="33"/>
    </row>
    <row r="43" spans="1:18" x14ac:dyDescent="0.35">
      <c r="A43" s="66" t="s">
        <v>149</v>
      </c>
    </row>
    <row r="44" spans="1:18" x14ac:dyDescent="0.35">
      <c r="A44" s="73" t="s">
        <v>181</v>
      </c>
      <c r="B44" s="73"/>
      <c r="C44" s="73"/>
      <c r="F44" s="304">
        <v>981121.38</v>
      </c>
      <c r="G44" s="130">
        <f>SUM(COS!F86:F127)</f>
        <v>144533.62147857141</v>
      </c>
      <c r="H44" s="130">
        <f>F44+G44</f>
        <v>1125655.0014785714</v>
      </c>
      <c r="I44" s="286">
        <f>H44+((CIP!G36/30)*0.97)</f>
        <v>1175125.0014785714</v>
      </c>
      <c r="J44" s="119">
        <f>I44+((CIP!H36/30)*0.97)</f>
        <v>1212308.3348119047</v>
      </c>
      <c r="K44" s="119">
        <f>J44+((CIP!I36/30)*0.97)</f>
        <v>1251108.3348119047</v>
      </c>
      <c r="L44" s="119">
        <f>K44+((CIP!J36/30)*0.97)</f>
        <v>1293141.668145238</v>
      </c>
      <c r="M44" s="481">
        <f>L44+((CIP!K36/30)*0.97)</f>
        <v>1338408.3348119047</v>
      </c>
      <c r="N44" s="119">
        <f>M44*(1+N293)</f>
        <v>1378560.584856262</v>
      </c>
      <c r="O44" s="119">
        <f t="shared" ref="O44:R44" si="40">N44*(1+O293)</f>
        <v>1419917.4024019497</v>
      </c>
      <c r="P44" s="119">
        <f t="shared" si="40"/>
        <v>1462514.9244740084</v>
      </c>
      <c r="Q44" s="119">
        <f t="shared" si="40"/>
        <v>1506390.3722082286</v>
      </c>
      <c r="R44" s="119">
        <f t="shared" si="40"/>
        <v>1551582.0833744754</v>
      </c>
    </row>
    <row r="45" spans="1:18" ht="17.25" customHeight="1" x14ac:dyDescent="0.35">
      <c r="A45" s="73"/>
      <c r="B45" s="73"/>
      <c r="C45" s="73"/>
      <c r="F45" s="33"/>
      <c r="G45" s="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8" x14ac:dyDescent="0.35">
      <c r="A46" s="73"/>
      <c r="B46" s="73"/>
      <c r="C46" s="49" t="s">
        <v>159</v>
      </c>
      <c r="F46" s="33">
        <f>SUM(F44:F45)</f>
        <v>981121.38</v>
      </c>
      <c r="G46" s="33">
        <f>SUM(G44:G45)</f>
        <v>144533.62147857141</v>
      </c>
      <c r="H46" s="33">
        <f>SUM(H44:H45)</f>
        <v>1125655.0014785714</v>
      </c>
      <c r="I46" s="33">
        <f>SUM(I44:I45)</f>
        <v>1175125.0014785714</v>
      </c>
      <c r="J46" s="33">
        <f t="shared" ref="J46:R46" si="41">SUM(J44:J45)</f>
        <v>1212308.3348119047</v>
      </c>
      <c r="K46" s="33">
        <f t="shared" si="41"/>
        <v>1251108.3348119047</v>
      </c>
      <c r="L46" s="33">
        <f t="shared" si="41"/>
        <v>1293141.668145238</v>
      </c>
      <c r="M46" s="33">
        <f t="shared" si="41"/>
        <v>1338408.3348119047</v>
      </c>
      <c r="N46" s="33">
        <f t="shared" si="41"/>
        <v>1378560.584856262</v>
      </c>
      <c r="O46" s="33">
        <f t="shared" si="41"/>
        <v>1419917.4024019497</v>
      </c>
      <c r="P46" s="33">
        <f t="shared" si="41"/>
        <v>1462514.9244740084</v>
      </c>
      <c r="Q46" s="33">
        <f t="shared" si="41"/>
        <v>1506390.3722082286</v>
      </c>
      <c r="R46" s="33">
        <f t="shared" si="41"/>
        <v>1551582.0833744754</v>
      </c>
    </row>
    <row r="47" spans="1:18" ht="13.5" customHeight="1" x14ac:dyDescent="0.35">
      <c r="A47" s="73"/>
      <c r="B47" s="73"/>
      <c r="C47" s="73"/>
      <c r="F47" s="33"/>
      <c r="G47" s="36"/>
      <c r="H47" s="33"/>
    </row>
    <row r="48" spans="1:18" x14ac:dyDescent="0.35">
      <c r="A48" s="131" t="s">
        <v>152</v>
      </c>
      <c r="B48" s="73"/>
      <c r="C48" s="73"/>
      <c r="F48" s="33"/>
      <c r="G48" s="36"/>
      <c r="H48" s="33"/>
    </row>
    <row r="49" spans="1:18" x14ac:dyDescent="0.35">
      <c r="A49" s="73" t="s">
        <v>180</v>
      </c>
      <c r="B49" s="73"/>
      <c r="C49" s="73"/>
      <c r="F49" s="45">
        <v>-86790.68</v>
      </c>
      <c r="G49" s="37">
        <f>-COS!F79</f>
        <v>86790.68</v>
      </c>
      <c r="H49" s="37">
        <f>F49+G49</f>
        <v>0</v>
      </c>
      <c r="I49" s="33">
        <f>-'Debt Service'!H69</f>
        <v>-97082.01</v>
      </c>
      <c r="J49" s="33">
        <f>-'Debt Service'!I69</f>
        <v>-77619.7</v>
      </c>
      <c r="K49" s="33">
        <f>-'Debt Service'!J69</f>
        <v>-67325.08</v>
      </c>
      <c r="L49" s="33">
        <f>-'Debt Service'!K69</f>
        <v>-56635.54</v>
      </c>
      <c r="M49" s="33">
        <f>-'Debt Service'!L69</f>
        <v>-45536.15</v>
      </c>
      <c r="N49" s="33">
        <f>-'Debt Service'!M69</f>
        <v>-34010.57</v>
      </c>
      <c r="O49" s="33">
        <f>-'Debt Service'!N69</f>
        <v>-22043.059999999998</v>
      </c>
      <c r="P49" s="33">
        <f>-'Debt Service'!O69</f>
        <v>-9616.4700000000012</v>
      </c>
      <c r="Q49" s="33">
        <f>-'Debt Service'!P69</f>
        <v>0</v>
      </c>
      <c r="R49" s="33">
        <f>-'Debt Service'!Q69</f>
        <v>0</v>
      </c>
    </row>
    <row r="50" spans="1:18" x14ac:dyDescent="0.35">
      <c r="A50" s="26" t="s">
        <v>1612</v>
      </c>
      <c r="B50" s="73"/>
      <c r="C50" s="73"/>
      <c r="F50" s="42">
        <v>0</v>
      </c>
      <c r="G50" s="38">
        <f>-COS!F80</f>
        <v>-348954.96666666667</v>
      </c>
      <c r="H50" s="38">
        <f>F50+G50</f>
        <v>-348954.96666666667</v>
      </c>
    </row>
    <row r="51" spans="1:18" x14ac:dyDescent="0.35">
      <c r="A51" s="26" t="s">
        <v>121</v>
      </c>
      <c r="B51" s="73"/>
      <c r="C51" s="73"/>
      <c r="F51" s="42">
        <v>184254.91</v>
      </c>
      <c r="G51" s="38">
        <f>SUM('Revenue Offsets'!G13:G16)</f>
        <v>0</v>
      </c>
      <c r="H51" s="38">
        <f>F51+G51</f>
        <v>184254.91</v>
      </c>
    </row>
    <row r="52" spans="1:18" x14ac:dyDescent="0.35">
      <c r="A52" s="26" t="s">
        <v>148</v>
      </c>
      <c r="B52" s="73"/>
      <c r="C52" s="73"/>
      <c r="F52" s="42">
        <v>24123.38</v>
      </c>
      <c r="G52" s="38">
        <f>'Revenue Offsets'!G11</f>
        <v>0</v>
      </c>
      <c r="H52" s="38">
        <f>F52+G52</f>
        <v>24123.38</v>
      </c>
    </row>
    <row r="53" spans="1:18" x14ac:dyDescent="0.35">
      <c r="A53" s="26" t="s">
        <v>132</v>
      </c>
      <c r="B53" s="73"/>
      <c r="C53" s="73"/>
      <c r="F53" s="43">
        <v>-99902.69</v>
      </c>
      <c r="G53" s="531">
        <f>ABS(F53)</f>
        <v>99902.69</v>
      </c>
      <c r="H53" s="39">
        <f>F53+G53</f>
        <v>0</v>
      </c>
    </row>
    <row r="54" spans="1:18" ht="9" customHeight="1" x14ac:dyDescent="0.35">
      <c r="A54" s="73"/>
      <c r="B54" s="73"/>
      <c r="C54" s="73"/>
      <c r="F54" s="33"/>
      <c r="G54" s="36"/>
      <c r="H54" s="33"/>
    </row>
    <row r="55" spans="1:18" x14ac:dyDescent="0.35">
      <c r="A55" s="73"/>
      <c r="B55" s="73"/>
      <c r="C55" s="49" t="s">
        <v>151</v>
      </c>
      <c r="F55" s="33">
        <f>SUM(F49:F54)</f>
        <v>21684.920000000013</v>
      </c>
      <c r="G55" s="33">
        <f>SUM(G49:G54)</f>
        <v>-162261.59666666668</v>
      </c>
      <c r="H55" s="33">
        <f>SUM(H49:H54)</f>
        <v>-140576.67666666667</v>
      </c>
    </row>
    <row r="56" spans="1:18" ht="5.65" customHeight="1" x14ac:dyDescent="0.35">
      <c r="A56" s="73"/>
      <c r="B56" s="73"/>
      <c r="C56" s="73"/>
      <c r="F56" s="33"/>
      <c r="G56" s="36"/>
      <c r="H56" s="33"/>
    </row>
    <row r="57" spans="1:18" x14ac:dyDescent="0.35">
      <c r="A57" s="131" t="s">
        <v>351</v>
      </c>
      <c r="B57" s="73"/>
      <c r="C57" s="73"/>
      <c r="F57" s="33"/>
      <c r="G57" s="36"/>
      <c r="H57" s="33"/>
    </row>
    <row r="58" spans="1:18" x14ac:dyDescent="0.35">
      <c r="A58" s="73" t="s">
        <v>123</v>
      </c>
      <c r="B58" s="73"/>
      <c r="C58" s="73"/>
      <c r="F58" s="300">
        <v>3000</v>
      </c>
      <c r="G58" s="130">
        <f>'Revenue Offsets'!G12</f>
        <v>0</v>
      </c>
      <c r="H58" s="130">
        <f>F58+G58</f>
        <v>3000</v>
      </c>
    </row>
    <row r="59" spans="1:18" ht="7.9" customHeight="1" x14ac:dyDescent="0.35">
      <c r="A59" s="73"/>
      <c r="B59" s="73"/>
      <c r="C59" s="73"/>
      <c r="F59" s="33"/>
      <c r="G59" s="36"/>
      <c r="H59" s="33"/>
    </row>
    <row r="60" spans="1:18" x14ac:dyDescent="0.35">
      <c r="A60" s="73"/>
      <c r="B60" s="73"/>
      <c r="C60" s="49" t="s">
        <v>153</v>
      </c>
      <c r="F60" s="33">
        <f>SUM(F58:F59)</f>
        <v>3000</v>
      </c>
      <c r="G60" s="33">
        <f>SUM(G58:G59)</f>
        <v>0</v>
      </c>
      <c r="H60" s="33">
        <f>SUM(H58:H59)</f>
        <v>3000</v>
      </c>
    </row>
    <row r="61" spans="1:18" ht="6" customHeight="1" x14ac:dyDescent="0.35"/>
    <row r="62" spans="1:18" ht="16.149999999999999" customHeight="1" x14ac:dyDescent="0.35">
      <c r="A62" s="26" t="s">
        <v>662</v>
      </c>
      <c r="F62" s="300">
        <v>0</v>
      </c>
      <c r="G62" s="130">
        <f>-COS!F77</f>
        <v>0</v>
      </c>
      <c r="H62" s="130">
        <f>F62+G62</f>
        <v>0</v>
      </c>
      <c r="I62" s="33">
        <f>Reserves!H20</f>
        <v>0</v>
      </c>
      <c r="J62" s="33">
        <f>Reserves!I20</f>
        <v>0</v>
      </c>
      <c r="K62" s="33">
        <f>Reserves!J20</f>
        <v>0</v>
      </c>
      <c r="L62" s="33">
        <f>Reserves!K20</f>
        <v>0</v>
      </c>
      <c r="M62" s="33">
        <f>Reserves!L20</f>
        <v>0</v>
      </c>
      <c r="N62" s="33">
        <f>Reserves!M20</f>
        <v>0</v>
      </c>
      <c r="O62" s="33">
        <f>Reserves!N20</f>
        <v>0</v>
      </c>
      <c r="P62" s="33">
        <f>Reserves!O20</f>
        <v>0</v>
      </c>
      <c r="Q62" s="33">
        <f>Reserves!P20</f>
        <v>0</v>
      </c>
      <c r="R62" s="33">
        <f>Reserves!Q20</f>
        <v>0</v>
      </c>
    </row>
    <row r="63" spans="1:18" ht="16.149999999999999" customHeight="1" x14ac:dyDescent="0.35"/>
    <row r="64" spans="1:18" ht="16" thickBot="1" x14ac:dyDescent="0.4">
      <c r="C64" s="25" t="s">
        <v>114</v>
      </c>
      <c r="D64" s="33"/>
      <c r="F64" s="83">
        <f>F40+F46-F55-F60-F62</f>
        <v>3557467.9700000007</v>
      </c>
      <c r="G64" s="83">
        <f>G40+G46-G55-G60-G62</f>
        <v>435618.51582782436</v>
      </c>
      <c r="H64" s="83">
        <f>H40+H46-H55-H60-H62</f>
        <v>3993086.4858278246</v>
      </c>
    </row>
    <row r="65" spans="1:8" ht="16" thickTop="1" x14ac:dyDescent="0.35">
      <c r="C65" s="26" t="s">
        <v>113</v>
      </c>
      <c r="F65" s="243"/>
      <c r="H65" s="82" t="str">
        <f>IF(ROUNDUP(H64,1)&lt;&gt;ROUNDUP(Summary!H26,1),"Check","")</f>
        <v/>
      </c>
    </row>
    <row r="67" spans="1:8" x14ac:dyDescent="0.35">
      <c r="A67" s="84">
        <v>-1</v>
      </c>
      <c r="B67" s="26" t="s">
        <v>1668</v>
      </c>
    </row>
    <row r="68" spans="1:8" x14ac:dyDescent="0.35">
      <c r="A68" s="84">
        <v>-2</v>
      </c>
      <c r="B68" s="26" t="s">
        <v>182</v>
      </c>
    </row>
    <row r="69" spans="1:8" x14ac:dyDescent="0.35">
      <c r="A69" s="84">
        <v>-3</v>
      </c>
      <c r="B69" s="26" t="s">
        <v>176</v>
      </c>
    </row>
    <row r="70" spans="1:8" x14ac:dyDescent="0.35">
      <c r="A70" s="84"/>
      <c r="B70" s="26" t="s">
        <v>177</v>
      </c>
    </row>
    <row r="71" spans="1:8" x14ac:dyDescent="0.35">
      <c r="A71" s="84"/>
      <c r="B71" s="26" t="s">
        <v>404</v>
      </c>
    </row>
    <row r="72" spans="1:8" x14ac:dyDescent="0.35">
      <c r="A72" s="84"/>
      <c r="B72" s="26" t="s">
        <v>1669</v>
      </c>
    </row>
    <row r="73" spans="1:8" x14ac:dyDescent="0.35">
      <c r="A73" s="84"/>
      <c r="B73" s="26" t="s">
        <v>178</v>
      </c>
    </row>
    <row r="74" spans="1:8" x14ac:dyDescent="0.35">
      <c r="A74" s="84"/>
      <c r="B74" s="26" t="s">
        <v>179</v>
      </c>
    </row>
    <row r="75" spans="1:8" x14ac:dyDescent="0.35">
      <c r="A75" s="84">
        <v>-4</v>
      </c>
      <c r="B75" s="26" t="s">
        <v>1122</v>
      </c>
    </row>
    <row r="76" spans="1:8" x14ac:dyDescent="0.35">
      <c r="A76" s="84"/>
      <c r="B76" s="26" t="s">
        <v>1123</v>
      </c>
    </row>
    <row r="77" spans="1:8" x14ac:dyDescent="0.35">
      <c r="A77" s="84"/>
    </row>
    <row r="78" spans="1:8" s="122" customFormat="1" ht="6" customHeight="1" x14ac:dyDescent="0.35">
      <c r="A78" s="259"/>
    </row>
    <row r="79" spans="1:8" hidden="1" outlineLevel="1" x14ac:dyDescent="0.35">
      <c r="A79" s="25" t="s">
        <v>4</v>
      </c>
      <c r="B79" s="25"/>
      <c r="C79" s="25"/>
    </row>
    <row r="80" spans="1:8" hidden="1" outlineLevel="1" x14ac:dyDescent="0.35">
      <c r="A80" s="25" t="s">
        <v>109</v>
      </c>
      <c r="B80" s="25"/>
      <c r="C80" s="25"/>
    </row>
    <row r="81" spans="1:12" hidden="1" outlineLevel="1" x14ac:dyDescent="0.35">
      <c r="A81" s="25" t="s">
        <v>415</v>
      </c>
      <c r="B81" s="25"/>
      <c r="C81" s="25"/>
    </row>
    <row r="82" spans="1:12" hidden="1" outlineLevel="1" x14ac:dyDescent="0.35">
      <c r="A82" s="84"/>
    </row>
    <row r="83" spans="1:12" hidden="1" outlineLevel="1" x14ac:dyDescent="0.35">
      <c r="D83" s="46">
        <v>2011</v>
      </c>
      <c r="E83" s="27"/>
    </row>
    <row r="84" spans="1:12" hidden="1" outlineLevel="1" x14ac:dyDescent="0.35">
      <c r="A84" s="81"/>
      <c r="B84" s="81"/>
      <c r="C84" s="81"/>
      <c r="D84" s="245" t="s">
        <v>139</v>
      </c>
      <c r="E84" s="260"/>
      <c r="F84" s="54" t="s">
        <v>421</v>
      </c>
      <c r="G84" s="261" t="s">
        <v>67</v>
      </c>
      <c r="H84" s="86"/>
      <c r="I84" s="86"/>
      <c r="J84" s="86"/>
      <c r="K84" s="86"/>
      <c r="L84" s="85"/>
    </row>
    <row r="85" spans="1:12" hidden="1" outlineLevel="1" x14ac:dyDescent="0.35">
      <c r="A85" s="84"/>
    </row>
    <row r="86" spans="1:12" hidden="1" outlineLevel="1" x14ac:dyDescent="0.35">
      <c r="A86" s="49" t="s">
        <v>6</v>
      </c>
      <c r="B86" s="73"/>
      <c r="C86" s="73"/>
    </row>
    <row r="87" spans="1:12" ht="33" hidden="1" customHeight="1" outlineLevel="1" x14ac:dyDescent="0.35">
      <c r="A87" s="262" t="s">
        <v>7</v>
      </c>
      <c r="B87" s="262"/>
      <c r="C87" s="73"/>
      <c r="D87" s="33">
        <f t="shared" ref="D87:D95" si="42">F9</f>
        <v>91059.02</v>
      </c>
      <c r="F87" s="205" t="s">
        <v>92</v>
      </c>
      <c r="G87" s="599" t="str">
        <f>T137</f>
        <v xml:space="preserve">% assigned to each employee based on amount of time employee spent on Radcliff Utility.  </v>
      </c>
      <c r="H87" s="600"/>
      <c r="I87" s="600"/>
      <c r="J87" s="600"/>
      <c r="K87" s="601"/>
      <c r="L87" s="602"/>
    </row>
    <row r="88" spans="1:12" ht="33" hidden="1" customHeight="1" outlineLevel="1" x14ac:dyDescent="0.35">
      <c r="A88" s="262" t="s">
        <v>30</v>
      </c>
      <c r="B88" s="262"/>
      <c r="C88" s="73"/>
      <c r="D88" s="34">
        <f t="shared" si="42"/>
        <v>0</v>
      </c>
      <c r="F88" s="205" t="s">
        <v>92</v>
      </c>
      <c r="G88" s="599" t="str">
        <f>T138</f>
        <v xml:space="preserve">% assigned to each employee based on amount of time employee spent on Radcliff Utility.  </v>
      </c>
      <c r="H88" s="600"/>
      <c r="I88" s="600"/>
      <c r="J88" s="600"/>
      <c r="K88" s="600"/>
      <c r="L88" s="603"/>
    </row>
    <row r="89" spans="1:12" ht="33" hidden="1" customHeight="1" outlineLevel="1" x14ac:dyDescent="0.35">
      <c r="A89" s="262" t="s">
        <v>8</v>
      </c>
      <c r="B89" s="262"/>
      <c r="C89" s="73"/>
      <c r="D89" s="34">
        <f t="shared" si="42"/>
        <v>151356.14000000001</v>
      </c>
      <c r="F89" s="205" t="s">
        <v>92</v>
      </c>
      <c r="G89" s="599" t="str">
        <f>T139</f>
        <v xml:space="preserve">% assigned to each employee based on amount of time employee spent on Radcliff Utility.  </v>
      </c>
      <c r="H89" s="600"/>
      <c r="I89" s="600"/>
      <c r="J89" s="600"/>
      <c r="K89" s="600"/>
      <c r="L89" s="603"/>
    </row>
    <row r="90" spans="1:12" ht="83.65" hidden="1" customHeight="1" outlineLevel="1" x14ac:dyDescent="0.35">
      <c r="A90" s="262" t="s">
        <v>9</v>
      </c>
      <c r="B90" s="262"/>
      <c r="C90" s="73"/>
      <c r="D90" s="34">
        <f t="shared" si="42"/>
        <v>102927.12</v>
      </c>
      <c r="F90" s="205" t="s">
        <v>190</v>
      </c>
      <c r="G90" s="604" t="str">
        <f>T140</f>
        <v xml:space="preserve">Admin Salaries &amp; Overhead - % assigned to each employee based on amount of time employee spent on Radcliff.   Commissioner Salaries - % determined based on how many times the commission voted for Radcliff issues during 2011.  Commission Expense - based on Radcliff sewer customers compared to total customers. </v>
      </c>
      <c r="H90" s="605"/>
      <c r="I90" s="605"/>
      <c r="J90" s="605"/>
      <c r="K90" s="605"/>
      <c r="L90" s="606"/>
    </row>
    <row r="91" spans="1:12" ht="33" hidden="1" customHeight="1" outlineLevel="1" x14ac:dyDescent="0.35">
      <c r="A91" s="262" t="s">
        <v>1034</v>
      </c>
      <c r="B91" s="262"/>
      <c r="C91" s="73"/>
      <c r="D91" s="34">
        <f t="shared" si="42"/>
        <v>0</v>
      </c>
      <c r="F91" s="427" t="s">
        <v>191</v>
      </c>
      <c r="G91" s="412"/>
      <c r="H91" s="413"/>
      <c r="I91" s="413"/>
      <c r="J91" s="413"/>
      <c r="K91" s="413"/>
      <c r="L91" s="414"/>
    </row>
    <row r="92" spans="1:12" ht="33" hidden="1" customHeight="1" outlineLevel="1" x14ac:dyDescent="0.35">
      <c r="A92" s="262" t="s">
        <v>10</v>
      </c>
      <c r="B92" s="262"/>
      <c r="C92" s="73"/>
      <c r="D92" s="34">
        <f t="shared" si="42"/>
        <v>7370.2</v>
      </c>
      <c r="F92" s="205" t="s">
        <v>191</v>
      </c>
      <c r="G92" s="607"/>
      <c r="H92" s="608"/>
      <c r="I92" s="608"/>
      <c r="J92" s="608"/>
      <c r="K92" s="608"/>
      <c r="L92" s="609"/>
    </row>
    <row r="93" spans="1:12" ht="67.900000000000006" hidden="1" customHeight="1" outlineLevel="1" x14ac:dyDescent="0.35">
      <c r="A93" s="262" t="s">
        <v>11</v>
      </c>
      <c r="B93" s="262"/>
      <c r="C93" s="73"/>
      <c r="D93" s="34">
        <f t="shared" si="42"/>
        <v>4558.8999999999996</v>
      </c>
      <c r="F93" s="205" t="s">
        <v>95</v>
      </c>
      <c r="G93" s="607" t="str">
        <f t="shared" ref="G93:G113" si="43">T142</f>
        <v>Attorney receives retainer fee of $325/mth for both Radcliff &amp; Ft. Knox.  He also receives retainer through PR for Water fund in order to receive Pension and Insurance.  Since the fee is run through PR and is for both water &amp; Radcliff sewer customers, the OASDI and Pension expense are split evenly.</v>
      </c>
      <c r="H93" s="608"/>
      <c r="I93" s="608"/>
      <c r="J93" s="608"/>
      <c r="K93" s="608"/>
      <c r="L93" s="609"/>
    </row>
    <row r="94" spans="1:12" ht="33" hidden="1" customHeight="1" outlineLevel="1" x14ac:dyDescent="0.35">
      <c r="A94" s="262" t="s">
        <v>12</v>
      </c>
      <c r="B94" s="262"/>
      <c r="C94" s="73"/>
      <c r="D94" s="34">
        <f t="shared" si="42"/>
        <v>14596.2</v>
      </c>
      <c r="F94" s="205" t="s">
        <v>93</v>
      </c>
      <c r="G94" s="607" t="str">
        <f t="shared" si="43"/>
        <v>% is based on Radcliff Sewer Customers compared to Total Customers.</v>
      </c>
      <c r="H94" s="608"/>
      <c r="I94" s="608"/>
      <c r="J94" s="608"/>
      <c r="K94" s="608"/>
      <c r="L94" s="609"/>
    </row>
    <row r="95" spans="1:12" ht="33" hidden="1" customHeight="1" outlineLevel="1" x14ac:dyDescent="0.35">
      <c r="A95" s="262" t="s">
        <v>13</v>
      </c>
      <c r="B95" s="262"/>
      <c r="C95" s="73"/>
      <c r="D95" s="34">
        <f t="shared" si="42"/>
        <v>1707.8</v>
      </c>
      <c r="F95" s="205" t="s">
        <v>93</v>
      </c>
      <c r="G95" s="607" t="str">
        <f t="shared" si="43"/>
        <v>% is based on Radcliff Sewer Customers compared to Total Customers.</v>
      </c>
      <c r="H95" s="608"/>
      <c r="I95" s="608"/>
      <c r="J95" s="608"/>
      <c r="K95" s="608"/>
      <c r="L95" s="609"/>
    </row>
    <row r="96" spans="1:12" ht="33" hidden="1" customHeight="1" outlineLevel="1" x14ac:dyDescent="0.35">
      <c r="A96" s="262" t="s">
        <v>14</v>
      </c>
      <c r="B96" s="262"/>
      <c r="C96" s="73"/>
      <c r="D96" s="34">
        <f>F19</f>
        <v>1750.77</v>
      </c>
      <c r="F96" s="205" t="s">
        <v>93</v>
      </c>
      <c r="G96" s="607" t="str">
        <f t="shared" si="43"/>
        <v>% is based on Radcliff Sewer Customers compared to Total Customers.</v>
      </c>
      <c r="H96" s="608"/>
      <c r="I96" s="608"/>
      <c r="J96" s="608"/>
      <c r="K96" s="608"/>
      <c r="L96" s="609"/>
    </row>
    <row r="97" spans="1:12" ht="33" hidden="1" customHeight="1" outlineLevel="1" x14ac:dyDescent="0.35">
      <c r="A97" s="262" t="s">
        <v>15</v>
      </c>
      <c r="B97" s="262"/>
      <c r="C97" s="73"/>
      <c r="D97" s="34">
        <f>F20</f>
        <v>41597.279999999999</v>
      </c>
      <c r="F97" s="205" t="s">
        <v>191</v>
      </c>
      <c r="G97" s="607"/>
      <c r="H97" s="608"/>
      <c r="I97" s="608"/>
      <c r="J97" s="608"/>
      <c r="K97" s="608"/>
      <c r="L97" s="609"/>
    </row>
    <row r="98" spans="1:12" ht="33" hidden="1" customHeight="1" outlineLevel="1" x14ac:dyDescent="0.35">
      <c r="A98" s="262" t="s">
        <v>16</v>
      </c>
      <c r="B98" s="262"/>
      <c r="C98" s="73"/>
      <c r="D98" s="34">
        <f>F21</f>
        <v>2968.17</v>
      </c>
      <c r="F98" s="205" t="s">
        <v>192</v>
      </c>
      <c r="G98" s="607" t="str">
        <f t="shared" si="43"/>
        <v>% based on Radcliff revenue collected to total revenue collected.</v>
      </c>
      <c r="H98" s="608"/>
      <c r="I98" s="608"/>
      <c r="J98" s="608"/>
      <c r="K98" s="608"/>
      <c r="L98" s="609"/>
    </row>
    <row r="99" spans="1:12" ht="33" hidden="1" customHeight="1" outlineLevel="1" x14ac:dyDescent="0.35">
      <c r="A99" s="262" t="s">
        <v>17</v>
      </c>
      <c r="B99" s="262"/>
      <c r="C99" s="73"/>
      <c r="D99" s="34">
        <f>F22</f>
        <v>811.89</v>
      </c>
      <c r="F99" s="205" t="s">
        <v>93</v>
      </c>
      <c r="G99" s="607" t="str">
        <f t="shared" si="43"/>
        <v>% is based on Radcliff Sewer Customers compared to Total Customers.</v>
      </c>
      <c r="H99" s="608"/>
      <c r="I99" s="608"/>
      <c r="J99" s="608"/>
      <c r="K99" s="608"/>
      <c r="L99" s="609"/>
    </row>
    <row r="100" spans="1:12" ht="70.5" hidden="1" customHeight="1" outlineLevel="1" x14ac:dyDescent="0.35">
      <c r="A100" s="262" t="s">
        <v>18</v>
      </c>
      <c r="B100" s="262"/>
      <c r="C100" s="73"/>
      <c r="D100" s="34">
        <f>F23</f>
        <v>2102540.0299999998</v>
      </c>
      <c r="F100" s="205" t="s">
        <v>193</v>
      </c>
      <c r="G100" s="607" t="str">
        <f t="shared" si="43"/>
        <v>Direct - Veolia Fee+HCWD#2 Sewer Readings. Allocated -  Allocation Spreadsheet-Contractual Svcs+Bill Printings Svc+Contracted Security Svc +Cash Over/Short+Contractual Svcs -  These expenses are allocated based on Radcliff Sewer Customers compared to Total Customers.</v>
      </c>
      <c r="H100" s="608"/>
      <c r="I100" s="608"/>
      <c r="J100" s="608"/>
      <c r="K100" s="608"/>
      <c r="L100" s="609"/>
    </row>
    <row r="101" spans="1:12" ht="33" hidden="1" customHeight="1" outlineLevel="1" x14ac:dyDescent="0.35">
      <c r="A101" s="262" t="s">
        <v>34</v>
      </c>
      <c r="B101" s="262"/>
      <c r="C101" s="73"/>
      <c r="D101" s="34">
        <f t="shared" ref="D101:D113" si="44">F25</f>
        <v>0</v>
      </c>
      <c r="F101" s="205" t="s">
        <v>191</v>
      </c>
      <c r="G101" s="607"/>
      <c r="H101" s="608"/>
      <c r="I101" s="608"/>
      <c r="J101" s="608"/>
      <c r="K101" s="608"/>
      <c r="L101" s="609"/>
    </row>
    <row r="102" spans="1:12" ht="33" hidden="1" customHeight="1" outlineLevel="1" x14ac:dyDescent="0.35">
      <c r="A102" s="262" t="s">
        <v>19</v>
      </c>
      <c r="B102" s="262"/>
      <c r="C102" s="73"/>
      <c r="D102" s="34">
        <f t="shared" si="44"/>
        <v>0</v>
      </c>
      <c r="F102" s="205" t="s">
        <v>191</v>
      </c>
      <c r="G102" s="607"/>
      <c r="H102" s="608"/>
      <c r="I102" s="608"/>
      <c r="J102" s="608"/>
      <c r="K102" s="608"/>
      <c r="L102" s="609"/>
    </row>
    <row r="103" spans="1:12" ht="33" hidden="1" customHeight="1" outlineLevel="1" x14ac:dyDescent="0.35">
      <c r="A103" s="262" t="s">
        <v>20</v>
      </c>
      <c r="B103" s="262"/>
      <c r="C103" s="73"/>
      <c r="D103" s="34">
        <f t="shared" si="44"/>
        <v>7938.15</v>
      </c>
      <c r="F103" s="205" t="s">
        <v>93</v>
      </c>
      <c r="G103" s="607" t="str">
        <f t="shared" si="43"/>
        <v>% is based on Radcliff Sewer Customers compared to Total Customers.</v>
      </c>
      <c r="H103" s="608"/>
      <c r="I103" s="608"/>
      <c r="J103" s="608"/>
      <c r="K103" s="608"/>
      <c r="L103" s="609"/>
    </row>
    <row r="104" spans="1:12" ht="33" hidden="1" customHeight="1" outlineLevel="1" x14ac:dyDescent="0.35">
      <c r="A104" s="262" t="s">
        <v>21</v>
      </c>
      <c r="B104" s="262"/>
      <c r="C104" s="73"/>
      <c r="D104" s="34">
        <f t="shared" si="44"/>
        <v>1727.49</v>
      </c>
      <c r="F104" s="205" t="s">
        <v>93</v>
      </c>
      <c r="G104" s="607" t="str">
        <f t="shared" si="43"/>
        <v>% is based on Radcliff Sewer Customers compared to Total Customers.</v>
      </c>
      <c r="H104" s="608"/>
      <c r="I104" s="608"/>
      <c r="J104" s="608"/>
      <c r="K104" s="608"/>
      <c r="L104" s="609"/>
    </row>
    <row r="105" spans="1:12" ht="33" hidden="1" customHeight="1" outlineLevel="1" x14ac:dyDescent="0.35">
      <c r="A105" s="262" t="s">
        <v>105</v>
      </c>
      <c r="B105" s="262"/>
      <c r="C105" s="73"/>
      <c r="D105" s="34">
        <f t="shared" si="44"/>
        <v>0</v>
      </c>
      <c r="F105" s="205" t="s">
        <v>191</v>
      </c>
      <c r="G105" s="607"/>
      <c r="H105" s="608"/>
      <c r="I105" s="608"/>
      <c r="J105" s="608"/>
      <c r="K105" s="608"/>
      <c r="L105" s="609"/>
    </row>
    <row r="106" spans="1:12" ht="33" hidden="1" customHeight="1" outlineLevel="1" x14ac:dyDescent="0.35">
      <c r="A106" s="262" t="s">
        <v>22</v>
      </c>
      <c r="B106" s="262"/>
      <c r="C106" s="73"/>
      <c r="D106" s="34">
        <f t="shared" si="44"/>
        <v>29230.95</v>
      </c>
      <c r="F106" s="205" t="s">
        <v>191</v>
      </c>
      <c r="G106" s="607"/>
      <c r="H106" s="608"/>
      <c r="I106" s="608"/>
      <c r="J106" s="608"/>
      <c r="K106" s="608"/>
      <c r="L106" s="609"/>
    </row>
    <row r="107" spans="1:12" ht="33" hidden="1" customHeight="1" outlineLevel="1" x14ac:dyDescent="0.35">
      <c r="A107" s="262" t="s">
        <v>23</v>
      </c>
      <c r="B107" s="262"/>
      <c r="C107" s="73"/>
      <c r="D107" s="34">
        <f t="shared" si="44"/>
        <v>1949.19</v>
      </c>
      <c r="F107" s="205" t="s">
        <v>93</v>
      </c>
      <c r="G107" s="607" t="str">
        <f t="shared" si="43"/>
        <v>% is based on Radcliff Sewer Customers compared to Total Customers.</v>
      </c>
      <c r="H107" s="608"/>
      <c r="I107" s="608"/>
      <c r="J107" s="608"/>
      <c r="K107" s="608"/>
      <c r="L107" s="609"/>
    </row>
    <row r="108" spans="1:12" ht="33" hidden="1" customHeight="1" outlineLevel="1" x14ac:dyDescent="0.35">
      <c r="A108" s="262" t="s">
        <v>24</v>
      </c>
      <c r="B108" s="262"/>
      <c r="C108" s="73"/>
      <c r="D108" s="34">
        <f t="shared" si="44"/>
        <v>0</v>
      </c>
      <c r="F108" s="205" t="s">
        <v>93</v>
      </c>
      <c r="G108" s="607" t="str">
        <f t="shared" si="43"/>
        <v>% is based on Radcliff Sewer Customers compared to Total Customers.</v>
      </c>
      <c r="H108" s="608"/>
      <c r="I108" s="608"/>
      <c r="J108" s="608"/>
      <c r="K108" s="608"/>
      <c r="L108" s="609"/>
    </row>
    <row r="109" spans="1:12" ht="33" hidden="1" customHeight="1" outlineLevel="1" x14ac:dyDescent="0.35">
      <c r="A109" s="262" t="s">
        <v>25</v>
      </c>
      <c r="B109" s="262"/>
      <c r="C109" s="73"/>
      <c r="D109" s="34">
        <f t="shared" si="44"/>
        <v>42.23</v>
      </c>
      <c r="F109" s="205" t="s">
        <v>191</v>
      </c>
      <c r="G109" s="607"/>
      <c r="H109" s="608"/>
      <c r="I109" s="608"/>
      <c r="J109" s="608"/>
      <c r="K109" s="608"/>
      <c r="L109" s="609"/>
    </row>
    <row r="110" spans="1:12" ht="33" hidden="1" customHeight="1" outlineLevel="1" x14ac:dyDescent="0.35">
      <c r="A110" s="262" t="s">
        <v>26</v>
      </c>
      <c r="B110" s="262"/>
      <c r="C110" s="73"/>
      <c r="D110" s="34">
        <f t="shared" si="44"/>
        <v>5812.31</v>
      </c>
      <c r="F110" s="205" t="s">
        <v>194</v>
      </c>
      <c r="G110" s="607" t="str">
        <f t="shared" si="43"/>
        <v>% based on Radcliff revenue to total revenue.</v>
      </c>
      <c r="H110" s="608"/>
      <c r="I110" s="608"/>
      <c r="J110" s="608"/>
      <c r="K110" s="608"/>
      <c r="L110" s="609"/>
    </row>
    <row r="111" spans="1:12" ht="33" hidden="1" customHeight="1" outlineLevel="1" x14ac:dyDescent="0.35">
      <c r="A111" s="262" t="s">
        <v>27</v>
      </c>
      <c r="B111" s="262"/>
      <c r="C111" s="73"/>
      <c r="D111" s="34">
        <f t="shared" si="44"/>
        <v>2250</v>
      </c>
      <c r="F111" s="205" t="s">
        <v>191</v>
      </c>
      <c r="G111" s="607"/>
      <c r="H111" s="608"/>
      <c r="I111" s="608"/>
      <c r="J111" s="608"/>
      <c r="K111" s="608"/>
      <c r="L111" s="609"/>
    </row>
    <row r="112" spans="1:12" ht="33" hidden="1" customHeight="1" outlineLevel="1" x14ac:dyDescent="0.35">
      <c r="A112" s="262" t="s">
        <v>28</v>
      </c>
      <c r="B112" s="262"/>
      <c r="C112" s="73"/>
      <c r="D112" s="34">
        <f t="shared" si="44"/>
        <v>8132.6200000000008</v>
      </c>
      <c r="F112" s="205" t="s">
        <v>191</v>
      </c>
      <c r="G112" s="607"/>
      <c r="H112" s="608"/>
      <c r="I112" s="608"/>
      <c r="J112" s="608"/>
      <c r="K112" s="608"/>
      <c r="L112" s="609"/>
    </row>
    <row r="113" spans="1:20" ht="50.25" hidden="1" customHeight="1" outlineLevel="1" x14ac:dyDescent="0.35">
      <c r="A113" s="262" t="s">
        <v>29</v>
      </c>
      <c r="B113" s="262"/>
      <c r="C113" s="73"/>
      <c r="D113" s="34">
        <f t="shared" si="44"/>
        <v>11400.24</v>
      </c>
      <c r="F113" s="205" t="s">
        <v>193</v>
      </c>
      <c r="G113" s="607" t="str">
        <f t="shared" si="43"/>
        <v>Direct - Self bill for water at several pump stations.  Allocated - telephone and other utility expenses - these expenses are allocatd based upon Radcliff Sewer Customers compared to Total Customers.</v>
      </c>
      <c r="H113" s="608"/>
      <c r="I113" s="608"/>
      <c r="J113" s="608"/>
      <c r="K113" s="608"/>
      <c r="L113" s="609"/>
    </row>
    <row r="114" spans="1:20" ht="6.65" hidden="1" customHeight="1" outlineLevel="1" x14ac:dyDescent="0.35">
      <c r="A114" s="84"/>
    </row>
    <row r="115" spans="1:20" hidden="1" outlineLevel="1" x14ac:dyDescent="0.35">
      <c r="A115" s="84"/>
      <c r="C115" s="25" t="s">
        <v>31</v>
      </c>
      <c r="D115" s="36">
        <f>SUM(D87:D114)</f>
        <v>2591726.7000000007</v>
      </c>
    </row>
    <row r="116" spans="1:20" hidden="1" outlineLevel="1" x14ac:dyDescent="0.35">
      <c r="A116" s="84"/>
    </row>
    <row r="117" spans="1:20" hidden="1" outlineLevel="1" x14ac:dyDescent="0.35">
      <c r="A117" s="84"/>
    </row>
    <row r="118" spans="1:20" hidden="1" outlineLevel="1" x14ac:dyDescent="0.35">
      <c r="A118" s="84"/>
    </row>
    <row r="119" spans="1:20" hidden="1" outlineLevel="1" x14ac:dyDescent="0.35">
      <c r="A119" s="84"/>
    </row>
    <row r="120" spans="1:20" hidden="1" outlineLevel="1" x14ac:dyDescent="0.35">
      <c r="A120" s="84"/>
    </row>
    <row r="121" spans="1:20" hidden="1" outlineLevel="1" x14ac:dyDescent="0.35">
      <c r="A121" s="84"/>
    </row>
    <row r="122" spans="1:20" hidden="1" outlineLevel="1" x14ac:dyDescent="0.35">
      <c r="A122" s="84"/>
    </row>
    <row r="123" spans="1:20" hidden="1" outlineLevel="1" x14ac:dyDescent="0.35">
      <c r="A123" s="84"/>
    </row>
    <row r="124" spans="1:20" hidden="1" outlineLevel="1" x14ac:dyDescent="0.35"/>
    <row r="125" spans="1:20" s="32" customFormat="1" collapsed="1" x14ac:dyDescent="0.35">
      <c r="A125" s="31" t="s">
        <v>668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20" x14ac:dyDescent="0.3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20" x14ac:dyDescent="0.3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20" x14ac:dyDescent="0.35">
      <c r="A128" s="70"/>
      <c r="B128" s="70"/>
      <c r="C128" s="70"/>
      <c r="D128" s="70"/>
      <c r="E128" s="70"/>
      <c r="R128" s="28" t="s">
        <v>5</v>
      </c>
      <c r="S128" s="27"/>
      <c r="T128" s="27"/>
    </row>
    <row r="129" spans="1:20" x14ac:dyDescent="0.35">
      <c r="A129" s="70"/>
      <c r="B129" s="70"/>
      <c r="C129" s="70"/>
      <c r="D129" s="70"/>
      <c r="E129" s="70"/>
      <c r="F129" s="53">
        <v>39661</v>
      </c>
      <c r="G129" s="53">
        <v>39692</v>
      </c>
      <c r="H129" s="53">
        <v>39722</v>
      </c>
      <c r="I129" s="53">
        <v>39753</v>
      </c>
      <c r="J129" s="53">
        <v>39783</v>
      </c>
      <c r="K129" s="53">
        <v>39814</v>
      </c>
      <c r="L129" s="53">
        <v>39845</v>
      </c>
      <c r="M129" s="53">
        <v>39873</v>
      </c>
      <c r="N129" s="53">
        <v>39904</v>
      </c>
      <c r="O129" s="53">
        <v>39934</v>
      </c>
      <c r="P129" s="53">
        <v>39965</v>
      </c>
      <c r="Q129" s="53">
        <v>39995</v>
      </c>
      <c r="R129" s="54" t="s">
        <v>32</v>
      </c>
      <c r="S129" s="54" t="s">
        <v>68</v>
      </c>
      <c r="T129" s="54" t="s">
        <v>67</v>
      </c>
    </row>
    <row r="130" spans="1:20" x14ac:dyDescent="0.3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x14ac:dyDescent="0.35">
      <c r="A131" s="49" t="s">
        <v>229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35">
      <c r="A132" s="73" t="s">
        <v>183</v>
      </c>
      <c r="B132" s="73"/>
      <c r="C132" s="73"/>
      <c r="D132" s="73"/>
      <c r="E132" s="73"/>
      <c r="F132" s="110">
        <v>283862.43</v>
      </c>
      <c r="G132" s="110">
        <v>281386.59000000003</v>
      </c>
      <c r="H132" s="110">
        <v>283091.75</v>
      </c>
      <c r="I132" s="110">
        <v>262647.44</v>
      </c>
      <c r="J132" s="110">
        <v>255656.45</v>
      </c>
      <c r="K132" s="110">
        <v>270144.59000000003</v>
      </c>
      <c r="L132" s="110">
        <v>258967.14</v>
      </c>
      <c r="M132" s="110">
        <v>252386.24</v>
      </c>
      <c r="N132" s="110">
        <v>260909.19</v>
      </c>
      <c r="O132" s="110">
        <v>266907.78000000003</v>
      </c>
      <c r="P132" s="110">
        <v>276900.15000000002</v>
      </c>
      <c r="Q132" s="110">
        <v>283525.77</v>
      </c>
      <c r="R132" s="106">
        <f>SUM(F132:Q132)</f>
        <v>3236385.5199999996</v>
      </c>
      <c r="S132" s="73"/>
      <c r="T132" s="73"/>
    </row>
    <row r="133" spans="1:20" x14ac:dyDescent="0.35">
      <c r="A133" s="73"/>
      <c r="B133" s="73"/>
      <c r="C133" s="73"/>
      <c r="D133" s="73"/>
      <c r="E133" s="73"/>
      <c r="R133" s="73"/>
      <c r="S133" s="73"/>
      <c r="T133" s="73"/>
    </row>
    <row r="134" spans="1:20" x14ac:dyDescent="0.35">
      <c r="A134" s="73" t="s">
        <v>184</v>
      </c>
      <c r="B134" s="73"/>
      <c r="C134" s="73"/>
      <c r="D134" s="73"/>
      <c r="E134" s="73"/>
      <c r="F134" s="74">
        <f t="shared" ref="F134:Q134" si="45">SUM(F132:F132)</f>
        <v>283862.43</v>
      </c>
      <c r="G134" s="74">
        <f t="shared" si="45"/>
        <v>281386.59000000003</v>
      </c>
      <c r="H134" s="74">
        <f t="shared" si="45"/>
        <v>283091.75</v>
      </c>
      <c r="I134" s="74">
        <f t="shared" si="45"/>
        <v>262647.44</v>
      </c>
      <c r="J134" s="74">
        <f t="shared" si="45"/>
        <v>255656.45</v>
      </c>
      <c r="K134" s="74">
        <f t="shared" si="45"/>
        <v>270144.59000000003</v>
      </c>
      <c r="L134" s="74">
        <f t="shared" si="45"/>
        <v>258967.14</v>
      </c>
      <c r="M134" s="74">
        <f t="shared" si="45"/>
        <v>252386.24</v>
      </c>
      <c r="N134" s="74">
        <f t="shared" si="45"/>
        <v>260909.19</v>
      </c>
      <c r="O134" s="74">
        <f t="shared" si="45"/>
        <v>266907.78000000003</v>
      </c>
      <c r="P134" s="74">
        <f t="shared" si="45"/>
        <v>276900.15000000002</v>
      </c>
      <c r="Q134" s="74">
        <f t="shared" si="45"/>
        <v>283525.77</v>
      </c>
      <c r="R134" s="74">
        <f>SUM(R132:R133)</f>
        <v>3236385.5199999996</v>
      </c>
      <c r="S134" s="73"/>
      <c r="T134" s="73"/>
    </row>
    <row r="135" spans="1:20" x14ac:dyDescent="0.3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x14ac:dyDescent="0.35">
      <c r="A136" s="49" t="s">
        <v>6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x14ac:dyDescent="0.35">
      <c r="A137" s="73" t="s">
        <v>7</v>
      </c>
      <c r="B137" s="73"/>
      <c r="C137" s="73"/>
      <c r="D137" s="73"/>
      <c r="E137" s="73"/>
      <c r="F137" s="107">
        <v>0</v>
      </c>
      <c r="G137" s="107">
        <v>0</v>
      </c>
      <c r="H137" s="107">
        <v>0</v>
      </c>
      <c r="I137" s="107">
        <v>0</v>
      </c>
      <c r="J137" s="107">
        <v>0</v>
      </c>
      <c r="K137" s="78">
        <v>6648.95</v>
      </c>
      <c r="L137" s="107">
        <v>5716.48</v>
      </c>
      <c r="M137" s="107">
        <v>3398.63</v>
      </c>
      <c r="N137" s="107">
        <v>6743.78</v>
      </c>
      <c r="O137" s="107">
        <v>5837.04</v>
      </c>
      <c r="P137" s="107">
        <v>6286.48</v>
      </c>
      <c r="Q137" s="107">
        <v>7068.41</v>
      </c>
      <c r="R137" s="74">
        <f>SUM(F137:Q137)</f>
        <v>41699.770000000004</v>
      </c>
      <c r="S137" s="52" t="s">
        <v>92</v>
      </c>
      <c r="T137" s="26" t="s">
        <v>672</v>
      </c>
    </row>
    <row r="138" spans="1:20" x14ac:dyDescent="0.35">
      <c r="A138" s="73" t="s">
        <v>30</v>
      </c>
      <c r="B138" s="73"/>
      <c r="C138" s="73"/>
      <c r="D138" s="73"/>
      <c r="E138" s="73"/>
      <c r="F138" s="108">
        <v>1530.98</v>
      </c>
      <c r="G138" s="108">
        <v>0</v>
      </c>
      <c r="H138" s="108">
        <v>0</v>
      </c>
      <c r="I138" s="108">
        <v>0</v>
      </c>
      <c r="J138" s="108">
        <v>0</v>
      </c>
      <c r="K138" s="77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75">
        <f t="shared" ref="R138:R162" si="46">SUM(F138:Q138)</f>
        <v>1530.98</v>
      </c>
      <c r="S138" s="52" t="s">
        <v>92</v>
      </c>
      <c r="T138" s="26" t="s">
        <v>672</v>
      </c>
    </row>
    <row r="139" spans="1:20" x14ac:dyDescent="0.35">
      <c r="A139" s="73" t="s">
        <v>8</v>
      </c>
      <c r="B139" s="73"/>
      <c r="C139" s="73"/>
      <c r="D139" s="73"/>
      <c r="E139" s="73"/>
      <c r="F139" s="108">
        <v>15132.26</v>
      </c>
      <c r="G139" s="108">
        <v>10406.44</v>
      </c>
      <c r="H139" s="108">
        <v>17251.04</v>
      </c>
      <c r="I139" s="108">
        <v>10050.44</v>
      </c>
      <c r="J139" s="108">
        <v>12456.09</v>
      </c>
      <c r="K139" s="77">
        <v>5618.36</v>
      </c>
      <c r="L139" s="108">
        <v>8094.18</v>
      </c>
      <c r="M139" s="108">
        <v>11499.59</v>
      </c>
      <c r="N139" s="108">
        <v>10445.629999999999</v>
      </c>
      <c r="O139" s="108">
        <v>9447.4599999999991</v>
      </c>
      <c r="P139" s="108">
        <v>8692.07</v>
      </c>
      <c r="Q139" s="108">
        <v>9996.89</v>
      </c>
      <c r="R139" s="75">
        <f t="shared" si="46"/>
        <v>129090.45</v>
      </c>
      <c r="S139" s="52" t="s">
        <v>92</v>
      </c>
      <c r="T139" s="26" t="s">
        <v>672</v>
      </c>
    </row>
    <row r="140" spans="1:20" x14ac:dyDescent="0.35">
      <c r="A140" s="73" t="s">
        <v>9</v>
      </c>
      <c r="B140" s="73"/>
      <c r="C140" s="73"/>
      <c r="D140" s="73"/>
      <c r="E140" s="73"/>
      <c r="F140" s="108">
        <v>0</v>
      </c>
      <c r="G140" s="108">
        <v>0</v>
      </c>
      <c r="H140" s="108">
        <v>0</v>
      </c>
      <c r="I140" s="108">
        <v>0</v>
      </c>
      <c r="J140" s="108">
        <v>11635.34</v>
      </c>
      <c r="K140" s="77">
        <v>11041.05</v>
      </c>
      <c r="L140" s="108">
        <v>9282.0400000000009</v>
      </c>
      <c r="M140" s="108">
        <v>233.36</v>
      </c>
      <c r="N140" s="108">
        <v>11285.37</v>
      </c>
      <c r="O140" s="108">
        <v>3128.05</v>
      </c>
      <c r="P140" s="108">
        <v>8646.4500000000007</v>
      </c>
      <c r="Q140" s="108">
        <v>5721.3</v>
      </c>
      <c r="R140" s="75">
        <f t="shared" si="46"/>
        <v>60972.960000000006</v>
      </c>
      <c r="S140" s="52" t="s">
        <v>190</v>
      </c>
      <c r="T140" s="25" t="s">
        <v>1116</v>
      </c>
    </row>
    <row r="141" spans="1:20" x14ac:dyDescent="0.35">
      <c r="A141" s="73" t="s">
        <v>10</v>
      </c>
      <c r="B141" s="73"/>
      <c r="C141" s="73"/>
      <c r="D141" s="73"/>
      <c r="E141" s="73"/>
      <c r="F141" s="108">
        <v>500</v>
      </c>
      <c r="G141" s="108">
        <v>500</v>
      </c>
      <c r="H141" s="108">
        <v>500</v>
      </c>
      <c r="I141" s="108">
        <v>500</v>
      </c>
      <c r="J141" s="108">
        <v>500</v>
      </c>
      <c r="K141" s="77">
        <v>500</v>
      </c>
      <c r="L141" s="108">
        <v>815.1</v>
      </c>
      <c r="M141" s="108">
        <v>184.9</v>
      </c>
      <c r="N141" s="108">
        <v>500</v>
      </c>
      <c r="O141" s="108">
        <v>500</v>
      </c>
      <c r="P141" s="108">
        <v>500</v>
      </c>
      <c r="Q141" s="108">
        <v>500</v>
      </c>
      <c r="R141" s="75">
        <f t="shared" si="46"/>
        <v>6000</v>
      </c>
      <c r="S141" s="52" t="s">
        <v>191</v>
      </c>
    </row>
    <row r="142" spans="1:20" x14ac:dyDescent="0.35">
      <c r="A142" s="73" t="s">
        <v>11</v>
      </c>
      <c r="B142" s="73"/>
      <c r="C142" s="73"/>
      <c r="D142" s="73"/>
      <c r="E142" s="73"/>
      <c r="F142" s="108">
        <v>325</v>
      </c>
      <c r="G142" s="108">
        <v>737.5</v>
      </c>
      <c r="H142" s="108">
        <v>325</v>
      </c>
      <c r="I142" s="108">
        <v>325</v>
      </c>
      <c r="J142" s="108">
        <v>761.76</v>
      </c>
      <c r="K142" s="77">
        <v>761.77</v>
      </c>
      <c r="L142" s="108">
        <v>761.76</v>
      </c>
      <c r="M142" s="108">
        <v>-548.53</v>
      </c>
      <c r="N142" s="108">
        <v>396.27</v>
      </c>
      <c r="O142" s="108">
        <v>396.47</v>
      </c>
      <c r="P142" s="108">
        <v>396.27</v>
      </c>
      <c r="Q142" s="108">
        <v>396.27</v>
      </c>
      <c r="R142" s="75">
        <f t="shared" si="46"/>
        <v>5034.5400000000009</v>
      </c>
      <c r="S142" s="52" t="s">
        <v>95</v>
      </c>
      <c r="T142" s="26" t="s">
        <v>673</v>
      </c>
    </row>
    <row r="143" spans="1:20" x14ac:dyDescent="0.35">
      <c r="A143" s="73" t="s">
        <v>12</v>
      </c>
      <c r="B143" s="73"/>
      <c r="C143" s="73"/>
      <c r="D143" s="73"/>
      <c r="E143" s="73"/>
      <c r="F143" s="108">
        <v>0</v>
      </c>
      <c r="G143" s="108">
        <v>0</v>
      </c>
      <c r="H143" s="108">
        <v>0</v>
      </c>
      <c r="I143" s="108">
        <v>0</v>
      </c>
      <c r="J143" s="108">
        <v>1252.8900000000001</v>
      </c>
      <c r="K143" s="77">
        <v>1426.93</v>
      </c>
      <c r="L143" s="108">
        <v>1652.06</v>
      </c>
      <c r="M143" s="108">
        <v>1298.54</v>
      </c>
      <c r="N143" s="108">
        <v>1558.28</v>
      </c>
      <c r="O143" s="108">
        <v>1389.99</v>
      </c>
      <c r="P143" s="108">
        <v>1683.69</v>
      </c>
      <c r="Q143" s="108">
        <v>2758.15</v>
      </c>
      <c r="R143" s="75">
        <f t="shared" si="46"/>
        <v>13020.53</v>
      </c>
      <c r="S143" s="52" t="s">
        <v>93</v>
      </c>
      <c r="T143" s="26" t="s">
        <v>416</v>
      </c>
    </row>
    <row r="144" spans="1:20" x14ac:dyDescent="0.35">
      <c r="A144" s="73" t="s">
        <v>13</v>
      </c>
      <c r="B144" s="73"/>
      <c r="C144" s="73"/>
      <c r="D144" s="73"/>
      <c r="E144" s="73"/>
      <c r="F144" s="108">
        <v>0</v>
      </c>
      <c r="G144" s="108">
        <v>0</v>
      </c>
      <c r="H144" s="108">
        <v>0</v>
      </c>
      <c r="I144" s="108">
        <v>0</v>
      </c>
      <c r="J144" s="108">
        <v>229.54</v>
      </c>
      <c r="K144" s="77">
        <v>0</v>
      </c>
      <c r="L144" s="108">
        <v>136.38</v>
      </c>
      <c r="M144" s="108">
        <v>0</v>
      </c>
      <c r="N144" s="108">
        <v>242.46</v>
      </c>
      <c r="O144" s="108">
        <v>269.44</v>
      </c>
      <c r="P144" s="108">
        <v>279.56</v>
      </c>
      <c r="Q144" s="108">
        <v>535.11</v>
      </c>
      <c r="R144" s="75">
        <f t="shared" si="46"/>
        <v>1692.4899999999998</v>
      </c>
      <c r="S144" s="52" t="s">
        <v>93</v>
      </c>
      <c r="T144" s="26" t="s">
        <v>416</v>
      </c>
    </row>
    <row r="145" spans="1:20" x14ac:dyDescent="0.35">
      <c r="A145" s="73" t="s">
        <v>14</v>
      </c>
      <c r="B145" s="73"/>
      <c r="C145" s="73"/>
      <c r="D145" s="73"/>
      <c r="E145" s="73"/>
      <c r="F145" s="108">
        <v>0</v>
      </c>
      <c r="G145" s="108">
        <v>0</v>
      </c>
      <c r="H145" s="108">
        <v>0</v>
      </c>
      <c r="I145" s="108">
        <v>0</v>
      </c>
      <c r="J145" s="108">
        <v>69.28</v>
      </c>
      <c r="K145" s="77">
        <v>418.3</v>
      </c>
      <c r="L145" s="108">
        <v>646.44000000000005</v>
      </c>
      <c r="M145" s="108">
        <v>542.66</v>
      </c>
      <c r="N145" s="108">
        <v>731.86</v>
      </c>
      <c r="O145" s="108">
        <v>1058.92</v>
      </c>
      <c r="P145" s="108">
        <v>0</v>
      </c>
      <c r="Q145" s="108">
        <v>3580.8</v>
      </c>
      <c r="R145" s="75">
        <f t="shared" si="46"/>
        <v>7048.26</v>
      </c>
      <c r="S145" s="52" t="s">
        <v>93</v>
      </c>
      <c r="T145" s="26" t="s">
        <v>416</v>
      </c>
    </row>
    <row r="146" spans="1:20" x14ac:dyDescent="0.35">
      <c r="A146" s="73" t="s">
        <v>15</v>
      </c>
      <c r="B146" s="73"/>
      <c r="C146" s="73"/>
      <c r="D146" s="73"/>
      <c r="E146" s="73"/>
      <c r="F146" s="108">
        <v>632.66</v>
      </c>
      <c r="G146" s="108">
        <v>2030.01</v>
      </c>
      <c r="H146" s="108">
        <v>2588.17</v>
      </c>
      <c r="I146" s="108">
        <v>-114.83</v>
      </c>
      <c r="J146" s="108">
        <v>1157.46</v>
      </c>
      <c r="K146" s="77">
        <v>6193.35</v>
      </c>
      <c r="L146" s="108">
        <v>4819.75</v>
      </c>
      <c r="M146" s="108">
        <v>2976.74</v>
      </c>
      <c r="N146" s="108">
        <v>3165.72</v>
      </c>
      <c r="O146" s="108">
        <v>3367.18</v>
      </c>
      <c r="P146" s="108">
        <v>4929.1400000000003</v>
      </c>
      <c r="Q146" s="108">
        <v>2816.11</v>
      </c>
      <c r="R146" s="75">
        <f t="shared" si="46"/>
        <v>34561.46</v>
      </c>
      <c r="S146" s="52" t="s">
        <v>191</v>
      </c>
      <c r="T146" s="73"/>
    </row>
    <row r="147" spans="1:20" x14ac:dyDescent="0.35">
      <c r="A147" s="73" t="s">
        <v>16</v>
      </c>
      <c r="B147" s="73"/>
      <c r="C147" s="73"/>
      <c r="D147" s="73"/>
      <c r="E147" s="73"/>
      <c r="F147" s="108">
        <v>196.63</v>
      </c>
      <c r="G147" s="108">
        <v>275.2</v>
      </c>
      <c r="H147" s="108">
        <v>0</v>
      </c>
      <c r="I147" s="108">
        <v>123.79</v>
      </c>
      <c r="J147" s="108">
        <v>90.77</v>
      </c>
      <c r="K147" s="77">
        <v>15</v>
      </c>
      <c r="L147" s="108">
        <v>285.5</v>
      </c>
      <c r="M147" s="108">
        <v>88.43</v>
      </c>
      <c r="N147" s="108">
        <v>439.56</v>
      </c>
      <c r="O147" s="108">
        <v>189.59</v>
      </c>
      <c r="P147" s="108">
        <v>274.39</v>
      </c>
      <c r="Q147" s="108">
        <v>208.17</v>
      </c>
      <c r="R147" s="75">
        <f t="shared" si="46"/>
        <v>2187.0299999999997</v>
      </c>
      <c r="S147" s="52" t="s">
        <v>192</v>
      </c>
      <c r="T147" s="73" t="s">
        <v>417</v>
      </c>
    </row>
    <row r="148" spans="1:20" x14ac:dyDescent="0.35">
      <c r="A148" s="73" t="s">
        <v>17</v>
      </c>
      <c r="B148" s="73"/>
      <c r="C148" s="73"/>
      <c r="D148" s="73"/>
      <c r="E148" s="73"/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42">
        <v>0</v>
      </c>
      <c r="L148" s="108">
        <v>0</v>
      </c>
      <c r="M148" s="108">
        <v>12.07</v>
      </c>
      <c r="N148" s="108">
        <v>137.24</v>
      </c>
      <c r="O148" s="108">
        <v>52.88</v>
      </c>
      <c r="P148" s="108">
        <v>334.88</v>
      </c>
      <c r="Q148" s="108">
        <v>24.52</v>
      </c>
      <c r="R148" s="75">
        <f t="shared" si="46"/>
        <v>561.58999999999992</v>
      </c>
      <c r="S148" s="52" t="s">
        <v>93</v>
      </c>
      <c r="T148" s="26" t="s">
        <v>416</v>
      </c>
    </row>
    <row r="149" spans="1:20" x14ac:dyDescent="0.35">
      <c r="A149" s="73" t="s">
        <v>18</v>
      </c>
      <c r="B149" s="73"/>
      <c r="C149" s="73"/>
      <c r="D149" s="73"/>
      <c r="E149" s="73"/>
      <c r="F149" s="108">
        <v>153817.43</v>
      </c>
      <c r="G149" s="108">
        <v>158245.75</v>
      </c>
      <c r="H149" s="108">
        <v>158245</v>
      </c>
      <c r="I149" s="108">
        <v>158247.25</v>
      </c>
      <c r="J149" s="108">
        <v>164561.13</v>
      </c>
      <c r="K149" s="77">
        <v>164123.65</v>
      </c>
      <c r="L149" s="108">
        <v>164710.22</v>
      </c>
      <c r="M149" s="108">
        <v>84343.65</v>
      </c>
      <c r="N149" s="108">
        <v>157970.20000000001</v>
      </c>
      <c r="O149" s="108">
        <v>165069.57999999999</v>
      </c>
      <c r="P149" s="108">
        <v>161993.32</v>
      </c>
      <c r="Q149" s="108">
        <v>163863.26999999999</v>
      </c>
      <c r="R149" s="75">
        <f t="shared" si="46"/>
        <v>1855190.45</v>
      </c>
      <c r="S149" s="52" t="s">
        <v>193</v>
      </c>
      <c r="T149" s="25" t="s">
        <v>418</v>
      </c>
    </row>
    <row r="150" spans="1:20" x14ac:dyDescent="0.35">
      <c r="A150" s="73" t="s">
        <v>34</v>
      </c>
      <c r="B150" s="73"/>
      <c r="C150" s="73"/>
      <c r="D150" s="73"/>
      <c r="E150" s="73"/>
      <c r="F150" s="108">
        <v>15.51</v>
      </c>
      <c r="G150" s="108">
        <v>14.91</v>
      </c>
      <c r="H150" s="108">
        <v>14.9</v>
      </c>
      <c r="I150" s="108">
        <v>13.42</v>
      </c>
      <c r="J150" s="108">
        <v>14.05</v>
      </c>
      <c r="K150" s="77">
        <v>7.43</v>
      </c>
      <c r="L150" s="108">
        <v>6.61</v>
      </c>
      <c r="M150" s="108">
        <v>8.2100000000000009</v>
      </c>
      <c r="N150" s="108">
        <v>7.14</v>
      </c>
      <c r="O150" s="108">
        <v>4.0599999999999996</v>
      </c>
      <c r="P150" s="108">
        <v>3.02</v>
      </c>
      <c r="Q150" s="108">
        <v>2.54</v>
      </c>
      <c r="R150" s="75">
        <f t="shared" si="46"/>
        <v>111.8</v>
      </c>
      <c r="S150" s="52" t="s">
        <v>191</v>
      </c>
    </row>
    <row r="151" spans="1:20" x14ac:dyDescent="0.35">
      <c r="A151" s="73" t="s">
        <v>19</v>
      </c>
      <c r="B151" s="73"/>
      <c r="C151" s="73"/>
      <c r="D151" s="73"/>
      <c r="E151" s="73"/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77">
        <v>1899.28</v>
      </c>
      <c r="L151" s="108">
        <v>990</v>
      </c>
      <c r="M151" s="108">
        <v>0</v>
      </c>
      <c r="N151" s="108">
        <v>0</v>
      </c>
      <c r="O151" s="108">
        <v>0</v>
      </c>
      <c r="P151" s="108">
        <v>0</v>
      </c>
      <c r="Q151" s="108">
        <v>0</v>
      </c>
      <c r="R151" s="75">
        <f t="shared" si="46"/>
        <v>2889.2799999999997</v>
      </c>
      <c r="S151" s="52" t="s">
        <v>191</v>
      </c>
    </row>
    <row r="152" spans="1:20" x14ac:dyDescent="0.35">
      <c r="A152" s="73" t="s">
        <v>20</v>
      </c>
      <c r="B152" s="73"/>
      <c r="C152" s="73"/>
      <c r="D152" s="73"/>
      <c r="E152" s="73"/>
      <c r="F152" s="108">
        <v>300</v>
      </c>
      <c r="G152" s="108">
        <v>210.46</v>
      </c>
      <c r="H152" s="108">
        <v>18.75</v>
      </c>
      <c r="I152" s="108">
        <v>0</v>
      </c>
      <c r="J152" s="108">
        <v>1896.13</v>
      </c>
      <c r="K152" s="77">
        <v>2223.4899999999998</v>
      </c>
      <c r="L152" s="108">
        <v>863.3</v>
      </c>
      <c r="M152" s="108">
        <v>1795.47</v>
      </c>
      <c r="N152" s="108">
        <v>1133.5</v>
      </c>
      <c r="O152" s="108">
        <v>1345.41</v>
      </c>
      <c r="P152" s="108">
        <v>1892.02</v>
      </c>
      <c r="Q152" s="108">
        <v>1270.6099999999999</v>
      </c>
      <c r="R152" s="75">
        <f t="shared" si="46"/>
        <v>12949.140000000001</v>
      </c>
      <c r="S152" s="52" t="s">
        <v>93</v>
      </c>
      <c r="T152" s="26" t="s">
        <v>416</v>
      </c>
    </row>
    <row r="153" spans="1:20" x14ac:dyDescent="0.35">
      <c r="A153" s="73" t="s">
        <v>21</v>
      </c>
      <c r="B153" s="73"/>
      <c r="C153" s="73"/>
      <c r="D153" s="73"/>
      <c r="E153" s="73"/>
      <c r="F153" s="108">
        <v>577.99</v>
      </c>
      <c r="G153" s="108">
        <v>4981.9399999999996</v>
      </c>
      <c r="H153" s="108">
        <v>0</v>
      </c>
      <c r="I153" s="108">
        <v>0</v>
      </c>
      <c r="J153" s="108">
        <v>2029.13</v>
      </c>
      <c r="K153" s="77"/>
      <c r="L153" s="108">
        <v>1902.02</v>
      </c>
      <c r="M153" s="108">
        <v>-660.74</v>
      </c>
      <c r="N153" s="108">
        <v>2035.3</v>
      </c>
      <c r="O153" s="108">
        <v>1174.32</v>
      </c>
      <c r="P153" s="108">
        <v>1481.06</v>
      </c>
      <c r="Q153" s="108">
        <v>1273.57</v>
      </c>
      <c r="R153" s="75">
        <f t="shared" si="46"/>
        <v>14794.589999999998</v>
      </c>
      <c r="S153" s="52" t="s">
        <v>93</v>
      </c>
      <c r="T153" s="26" t="s">
        <v>416</v>
      </c>
    </row>
    <row r="154" spans="1:20" x14ac:dyDescent="0.35">
      <c r="A154" s="73" t="s">
        <v>105</v>
      </c>
      <c r="B154" s="73"/>
      <c r="C154" s="73"/>
      <c r="D154" s="73"/>
      <c r="E154" s="73"/>
      <c r="F154" s="108">
        <v>0</v>
      </c>
      <c r="G154" s="108">
        <v>0</v>
      </c>
      <c r="H154" s="108">
        <v>0</v>
      </c>
      <c r="I154" s="108">
        <v>0</v>
      </c>
      <c r="J154" s="108">
        <v>11670.34</v>
      </c>
      <c r="K154" s="77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08">
        <v>0</v>
      </c>
      <c r="R154" s="75">
        <f t="shared" si="46"/>
        <v>11670.34</v>
      </c>
      <c r="S154" s="52" t="s">
        <v>191</v>
      </c>
    </row>
    <row r="155" spans="1:20" x14ac:dyDescent="0.35">
      <c r="A155" s="73" t="s">
        <v>22</v>
      </c>
      <c r="B155" s="73"/>
      <c r="C155" s="73"/>
      <c r="D155" s="73"/>
      <c r="E155" s="73"/>
      <c r="F155" s="108">
        <v>1866.32</v>
      </c>
      <c r="G155" s="108">
        <v>1866.43</v>
      </c>
      <c r="H155" s="108">
        <v>2385.38</v>
      </c>
      <c r="I155" s="108">
        <v>2385.38</v>
      </c>
      <c r="J155" s="108">
        <v>2639.13</v>
      </c>
      <c r="K155" s="77">
        <v>2385.38</v>
      </c>
      <c r="L155" s="108">
        <v>2385.38</v>
      </c>
      <c r="M155" s="108">
        <v>2385.38</v>
      </c>
      <c r="N155" s="108">
        <v>2385.4299999999998</v>
      </c>
      <c r="O155" s="108">
        <v>2385.38</v>
      </c>
      <c r="P155" s="108">
        <v>2385.38</v>
      </c>
      <c r="Q155" s="108">
        <v>1931.66</v>
      </c>
      <c r="R155" s="75">
        <f t="shared" si="46"/>
        <v>27386.630000000005</v>
      </c>
      <c r="S155" s="52" t="s">
        <v>191</v>
      </c>
      <c r="T155" s="73"/>
    </row>
    <row r="156" spans="1:20" x14ac:dyDescent="0.35">
      <c r="A156" s="73" t="s">
        <v>23</v>
      </c>
      <c r="B156" s="73"/>
      <c r="C156" s="73"/>
      <c r="D156" s="73"/>
      <c r="E156" s="73"/>
      <c r="F156" s="108">
        <v>0</v>
      </c>
      <c r="G156" s="108">
        <v>0</v>
      </c>
      <c r="H156" s="108">
        <v>30</v>
      </c>
      <c r="I156" s="108">
        <v>59.88</v>
      </c>
      <c r="J156" s="108">
        <v>38.72</v>
      </c>
      <c r="K156" s="77">
        <v>377.8</v>
      </c>
      <c r="L156" s="108">
        <v>778.16</v>
      </c>
      <c r="M156" s="108">
        <v>1619.64</v>
      </c>
      <c r="N156" s="108">
        <v>688.35</v>
      </c>
      <c r="O156" s="108">
        <v>344.95</v>
      </c>
      <c r="P156" s="108">
        <v>502.29</v>
      </c>
      <c r="Q156" s="108">
        <v>1093.8900000000001</v>
      </c>
      <c r="R156" s="75">
        <f t="shared" si="46"/>
        <v>5533.68</v>
      </c>
      <c r="S156" s="52" t="s">
        <v>93</v>
      </c>
      <c r="T156" s="26" t="s">
        <v>416</v>
      </c>
    </row>
    <row r="157" spans="1:20" x14ac:dyDescent="0.35">
      <c r="A157" s="73" t="s">
        <v>24</v>
      </c>
      <c r="B157" s="73"/>
      <c r="C157" s="73"/>
      <c r="D157" s="73"/>
      <c r="E157" s="73"/>
      <c r="F157" s="108">
        <v>0</v>
      </c>
      <c r="G157" s="108">
        <v>152</v>
      </c>
      <c r="H157" s="108">
        <v>0</v>
      </c>
      <c r="I157" s="108">
        <v>0</v>
      </c>
      <c r="J157" s="108">
        <v>0</v>
      </c>
      <c r="K157" s="42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08">
        <v>0</v>
      </c>
      <c r="R157" s="75">
        <f t="shared" si="46"/>
        <v>152</v>
      </c>
      <c r="S157" s="52" t="s">
        <v>93</v>
      </c>
      <c r="T157" s="26" t="s">
        <v>416</v>
      </c>
    </row>
    <row r="158" spans="1:20" x14ac:dyDescent="0.35">
      <c r="A158" s="73" t="s">
        <v>25</v>
      </c>
      <c r="B158" s="73"/>
      <c r="C158" s="73"/>
      <c r="D158" s="73"/>
      <c r="E158" s="73"/>
      <c r="F158" s="108">
        <v>0</v>
      </c>
      <c r="G158" s="108">
        <v>535.22</v>
      </c>
      <c r="H158" s="108">
        <v>0</v>
      </c>
      <c r="I158" s="108">
        <v>792.87</v>
      </c>
      <c r="J158" s="108">
        <v>209.5</v>
      </c>
      <c r="K158" s="108">
        <v>0</v>
      </c>
      <c r="L158" s="108">
        <v>0</v>
      </c>
      <c r="M158" s="108">
        <v>0</v>
      </c>
      <c r="N158" s="108">
        <v>0</v>
      </c>
      <c r="O158" s="108">
        <v>114.3</v>
      </c>
      <c r="P158" s="108">
        <v>0</v>
      </c>
      <c r="Q158" s="108">
        <v>0</v>
      </c>
      <c r="R158" s="75">
        <f t="shared" si="46"/>
        <v>1651.89</v>
      </c>
      <c r="S158" s="52" t="s">
        <v>191</v>
      </c>
      <c r="T158" s="73"/>
    </row>
    <row r="159" spans="1:20" x14ac:dyDescent="0.35">
      <c r="A159" s="73" t="s">
        <v>26</v>
      </c>
      <c r="B159" s="73"/>
      <c r="C159" s="73"/>
      <c r="D159" s="73"/>
      <c r="E159" s="73"/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08">
        <v>335.07</v>
      </c>
      <c r="R159" s="75">
        <f t="shared" si="46"/>
        <v>335.07</v>
      </c>
      <c r="S159" s="52" t="s">
        <v>194</v>
      </c>
      <c r="T159" s="73" t="s">
        <v>419</v>
      </c>
    </row>
    <row r="160" spans="1:20" x14ac:dyDescent="0.35">
      <c r="A160" s="73" t="s">
        <v>27</v>
      </c>
      <c r="B160" s="73"/>
      <c r="C160" s="73"/>
      <c r="D160" s="73"/>
      <c r="E160" s="73"/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2276.81</v>
      </c>
      <c r="L160" s="108">
        <v>2276.81</v>
      </c>
      <c r="M160" s="108">
        <v>-3984.38</v>
      </c>
      <c r="N160" s="108">
        <v>189.73</v>
      </c>
      <c r="O160" s="108">
        <v>189.73</v>
      </c>
      <c r="P160" s="108">
        <v>189.73</v>
      </c>
      <c r="Q160" s="108">
        <v>189.73</v>
      </c>
      <c r="R160" s="75">
        <f t="shared" si="46"/>
        <v>1328.1599999999999</v>
      </c>
      <c r="S160" s="52" t="s">
        <v>191</v>
      </c>
      <c r="T160" s="73"/>
    </row>
    <row r="161" spans="1:21" x14ac:dyDescent="0.35">
      <c r="A161" s="73" t="s">
        <v>28</v>
      </c>
      <c r="B161" s="73"/>
      <c r="C161" s="73"/>
      <c r="D161" s="73"/>
      <c r="E161" s="73"/>
      <c r="F161" s="108">
        <v>103.54</v>
      </c>
      <c r="G161" s="108">
        <v>1273.43</v>
      </c>
      <c r="H161" s="108">
        <v>-1024.5899999999999</v>
      </c>
      <c r="I161" s="108">
        <v>800.77</v>
      </c>
      <c r="J161" s="108">
        <v>-565.46</v>
      </c>
      <c r="K161" s="108">
        <v>23.24</v>
      </c>
      <c r="L161" s="108">
        <v>18.07</v>
      </c>
      <c r="M161" s="108">
        <v>0</v>
      </c>
      <c r="N161" s="108">
        <v>236.68</v>
      </c>
      <c r="O161" s="108">
        <v>72.98</v>
      </c>
      <c r="P161" s="108">
        <v>90.8</v>
      </c>
      <c r="Q161" s="108">
        <v>90.92</v>
      </c>
      <c r="R161" s="75">
        <f t="shared" si="46"/>
        <v>1120.3800000000001</v>
      </c>
      <c r="S161" s="52" t="s">
        <v>191</v>
      </c>
    </row>
    <row r="162" spans="1:21" x14ac:dyDescent="0.35">
      <c r="A162" s="73" t="s">
        <v>29</v>
      </c>
      <c r="B162" s="73"/>
      <c r="C162" s="73"/>
      <c r="D162" s="73"/>
      <c r="E162" s="73"/>
      <c r="F162" s="109">
        <v>0</v>
      </c>
      <c r="G162" s="109">
        <v>91.18</v>
      </c>
      <c r="H162" s="109">
        <v>46.11</v>
      </c>
      <c r="I162" s="109">
        <v>45.91</v>
      </c>
      <c r="J162" s="109">
        <v>11773.66</v>
      </c>
      <c r="K162" s="109">
        <v>2043.7</v>
      </c>
      <c r="L162" s="109">
        <v>4968.95</v>
      </c>
      <c r="M162" s="109">
        <v>3402.59</v>
      </c>
      <c r="N162" s="109">
        <v>2909.68</v>
      </c>
      <c r="O162" s="109">
        <v>2570.5100000000002</v>
      </c>
      <c r="P162" s="109">
        <v>1602.56</v>
      </c>
      <c r="Q162" s="109">
        <v>2086.63</v>
      </c>
      <c r="R162" s="76">
        <f t="shared" si="46"/>
        <v>31541.480000000003</v>
      </c>
      <c r="S162" s="52" t="s">
        <v>193</v>
      </c>
      <c r="T162" s="25" t="s">
        <v>420</v>
      </c>
    </row>
    <row r="163" spans="1:21" x14ac:dyDescent="0.3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1:21" x14ac:dyDescent="0.35">
      <c r="A164" s="73" t="s">
        <v>31</v>
      </c>
      <c r="B164" s="73"/>
      <c r="C164" s="73"/>
      <c r="D164" s="73"/>
      <c r="E164" s="73"/>
      <c r="F164" s="74">
        <f t="shared" ref="F164:R164" si="47">SUM(F137:F163)</f>
        <v>174998.32</v>
      </c>
      <c r="G164" s="74">
        <f t="shared" si="47"/>
        <v>181320.46999999997</v>
      </c>
      <c r="H164" s="74">
        <f t="shared" si="47"/>
        <v>180379.75999999998</v>
      </c>
      <c r="I164" s="74">
        <f t="shared" si="47"/>
        <v>173229.88</v>
      </c>
      <c r="J164" s="74">
        <f t="shared" si="47"/>
        <v>222419.46000000002</v>
      </c>
      <c r="K164" s="74">
        <f t="shared" si="47"/>
        <v>207984.48999999996</v>
      </c>
      <c r="L164" s="74">
        <f t="shared" si="47"/>
        <v>211109.21</v>
      </c>
      <c r="M164" s="74">
        <f t="shared" si="47"/>
        <v>108596.20999999999</v>
      </c>
      <c r="N164" s="74">
        <f t="shared" si="47"/>
        <v>203202.18</v>
      </c>
      <c r="O164" s="74">
        <f t="shared" si="47"/>
        <v>198908.24000000002</v>
      </c>
      <c r="P164" s="74">
        <f t="shared" si="47"/>
        <v>202163.11</v>
      </c>
      <c r="Q164" s="74">
        <f t="shared" si="47"/>
        <v>205743.62000000005</v>
      </c>
      <c r="R164" s="74">
        <f t="shared" si="47"/>
        <v>2270054.9499999997</v>
      </c>
      <c r="S164" s="73"/>
      <c r="T164" s="73"/>
      <c r="U164" s="73"/>
    </row>
    <row r="165" spans="1:21" x14ac:dyDescent="0.35">
      <c r="A165" s="73"/>
      <c r="B165" s="73"/>
      <c r="C165" s="73"/>
      <c r="D165" s="73"/>
      <c r="E165" s="73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3"/>
      <c r="R165" s="73"/>
      <c r="S165" s="73"/>
      <c r="T165" s="73"/>
      <c r="U165" s="73"/>
    </row>
    <row r="166" spans="1:21" x14ac:dyDescent="0.35">
      <c r="A166" s="73"/>
      <c r="B166" s="73"/>
      <c r="C166" s="73"/>
      <c r="D166" s="73"/>
      <c r="E166" s="7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3"/>
      <c r="R166" s="73"/>
      <c r="S166" s="73"/>
      <c r="T166" s="73"/>
      <c r="U166" s="73"/>
    </row>
    <row r="167" spans="1:21" x14ac:dyDescent="0.35">
      <c r="A167" s="49" t="s">
        <v>107</v>
      </c>
      <c r="B167" s="73"/>
      <c r="C167" s="73"/>
      <c r="D167" s="73"/>
      <c r="E167" s="73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3"/>
      <c r="R167" s="73"/>
      <c r="S167" s="73"/>
      <c r="T167" s="73"/>
      <c r="U167" s="73"/>
    </row>
    <row r="168" spans="1:21" x14ac:dyDescent="0.35">
      <c r="A168" s="73" t="s">
        <v>106</v>
      </c>
      <c r="B168" s="73"/>
      <c r="C168" s="73"/>
      <c r="D168" s="73"/>
      <c r="E168" s="73"/>
      <c r="F168" s="74">
        <v>58432.21</v>
      </c>
      <c r="G168" s="74">
        <v>56746.26</v>
      </c>
      <c r="H168" s="74">
        <v>57187.360000000001</v>
      </c>
      <c r="I168" s="74">
        <v>61504.57</v>
      </c>
      <c r="J168" s="74">
        <v>73360.639999999999</v>
      </c>
      <c r="K168" s="74">
        <v>65339.99</v>
      </c>
      <c r="L168" s="74">
        <v>65345.02</v>
      </c>
      <c r="M168" s="74">
        <v>76373.259999999995</v>
      </c>
      <c r="N168" s="74">
        <v>69662.36</v>
      </c>
      <c r="O168" s="74">
        <v>69499.02</v>
      </c>
      <c r="P168" s="74">
        <v>69264.740000000005</v>
      </c>
      <c r="Q168" s="74">
        <v>69557.95</v>
      </c>
      <c r="R168" s="74">
        <f>SUM(H168:Q168)</f>
        <v>677094.90999999992</v>
      </c>
      <c r="S168" s="73"/>
      <c r="T168" s="73"/>
      <c r="U168" s="73"/>
    </row>
    <row r="169" spans="1:21" x14ac:dyDescent="0.35">
      <c r="A169" s="73" t="s">
        <v>35</v>
      </c>
      <c r="B169" s="73"/>
      <c r="C169" s="73"/>
      <c r="D169" s="73"/>
      <c r="E169" s="73"/>
      <c r="F169" s="76">
        <v>11588.57</v>
      </c>
      <c r="G169" s="76">
        <v>11591.01</v>
      </c>
      <c r="H169" s="76">
        <v>11593.34</v>
      </c>
      <c r="I169" s="76">
        <v>11592.33</v>
      </c>
      <c r="J169" s="76">
        <v>13263.77</v>
      </c>
      <c r="K169" s="76">
        <v>12445.11</v>
      </c>
      <c r="L169" s="76">
        <v>12423.34</v>
      </c>
      <c r="M169" s="76">
        <v>16301.75</v>
      </c>
      <c r="N169" s="76">
        <v>13567.36</v>
      </c>
      <c r="O169" s="76">
        <v>13676.17</v>
      </c>
      <c r="P169" s="76">
        <v>13598.04</v>
      </c>
      <c r="Q169" s="76">
        <v>1329.58</v>
      </c>
      <c r="R169" s="76">
        <f>SUM(F169:Q169)</f>
        <v>142970.37</v>
      </c>
      <c r="S169" s="73"/>
      <c r="T169" s="73"/>
      <c r="U169" s="73"/>
    </row>
    <row r="170" spans="1:21" ht="8.65" customHeight="1" x14ac:dyDescent="0.3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1:21" x14ac:dyDescent="0.35">
      <c r="A171" s="73" t="s">
        <v>108</v>
      </c>
      <c r="B171" s="73"/>
      <c r="C171" s="73"/>
      <c r="D171" s="73"/>
      <c r="E171" s="73"/>
      <c r="F171" s="74">
        <f t="shared" ref="F171:R171" si="48">SUM(F168:F170)</f>
        <v>70020.78</v>
      </c>
      <c r="G171" s="74">
        <f t="shared" si="48"/>
        <v>68337.27</v>
      </c>
      <c r="H171" s="74">
        <f t="shared" si="48"/>
        <v>68780.7</v>
      </c>
      <c r="I171" s="74">
        <f t="shared" si="48"/>
        <v>73096.899999999994</v>
      </c>
      <c r="J171" s="74">
        <f t="shared" si="48"/>
        <v>86624.41</v>
      </c>
      <c r="K171" s="74">
        <f t="shared" si="48"/>
        <v>77785.100000000006</v>
      </c>
      <c r="L171" s="74">
        <f t="shared" si="48"/>
        <v>77768.36</v>
      </c>
      <c r="M171" s="74">
        <f t="shared" si="48"/>
        <v>92675.01</v>
      </c>
      <c r="N171" s="74">
        <f t="shared" si="48"/>
        <v>83229.72</v>
      </c>
      <c r="O171" s="74">
        <f t="shared" si="48"/>
        <v>83175.19</v>
      </c>
      <c r="P171" s="74">
        <f t="shared" si="48"/>
        <v>82862.78</v>
      </c>
      <c r="Q171" s="74">
        <f t="shared" si="48"/>
        <v>70887.53</v>
      </c>
      <c r="R171" s="74">
        <f t="shared" si="48"/>
        <v>820065.27999999991</v>
      </c>
      <c r="S171" s="73"/>
      <c r="T171" s="73"/>
      <c r="U171" s="73"/>
    </row>
    <row r="172" spans="1:21" x14ac:dyDescent="0.3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1:21" s="25" customFormat="1" thickBot="1" x14ac:dyDescent="0.35">
      <c r="A173" s="49" t="s">
        <v>44</v>
      </c>
      <c r="B173" s="49"/>
      <c r="C173" s="49"/>
      <c r="D173" s="49"/>
      <c r="E173" s="49"/>
      <c r="F173" s="79">
        <f t="shared" ref="F173:R173" si="49">F164+F171</f>
        <v>245019.1</v>
      </c>
      <c r="G173" s="79">
        <f t="shared" si="49"/>
        <v>249657.74</v>
      </c>
      <c r="H173" s="79">
        <f t="shared" si="49"/>
        <v>249160.45999999996</v>
      </c>
      <c r="I173" s="79">
        <f t="shared" si="49"/>
        <v>246326.78</v>
      </c>
      <c r="J173" s="79">
        <f t="shared" si="49"/>
        <v>309043.87</v>
      </c>
      <c r="K173" s="79">
        <f t="shared" si="49"/>
        <v>285769.58999999997</v>
      </c>
      <c r="L173" s="79">
        <f t="shared" si="49"/>
        <v>288877.57</v>
      </c>
      <c r="M173" s="79">
        <f t="shared" si="49"/>
        <v>201271.21999999997</v>
      </c>
      <c r="N173" s="79">
        <f t="shared" si="49"/>
        <v>286431.90000000002</v>
      </c>
      <c r="O173" s="79">
        <f t="shared" si="49"/>
        <v>282083.43000000005</v>
      </c>
      <c r="P173" s="79">
        <f t="shared" si="49"/>
        <v>285025.89</v>
      </c>
      <c r="Q173" s="79">
        <f t="shared" si="49"/>
        <v>276631.15000000002</v>
      </c>
      <c r="R173" s="79">
        <f t="shared" si="49"/>
        <v>3090120.2299999995</v>
      </c>
      <c r="S173" s="49"/>
      <c r="T173" s="49"/>
      <c r="U173" s="49"/>
    </row>
    <row r="174" spans="1:21" ht="16" thickTop="1" x14ac:dyDescent="0.3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1:21" x14ac:dyDescent="0.3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1:21" x14ac:dyDescent="0.35">
      <c r="A176" s="49" t="s">
        <v>120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1:21" x14ac:dyDescent="0.35">
      <c r="A177" s="73" t="s">
        <v>125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1:21" x14ac:dyDescent="0.35">
      <c r="B178" s="73" t="s">
        <v>121</v>
      </c>
      <c r="C178" s="73"/>
      <c r="D178" s="73"/>
      <c r="E178" s="73"/>
      <c r="F178" s="110">
        <v>8404.66</v>
      </c>
      <c r="G178" s="110">
        <v>7621.15</v>
      </c>
      <c r="H178" s="110">
        <v>8458.2900000000009</v>
      </c>
      <c r="I178" s="110">
        <v>4045.14</v>
      </c>
      <c r="J178" s="110">
        <v>10202.65</v>
      </c>
      <c r="K178" s="110">
        <v>8475.1200000000008</v>
      </c>
      <c r="L178" s="110">
        <v>7280.78</v>
      </c>
      <c r="M178" s="110">
        <v>6841.56</v>
      </c>
      <c r="N178" s="110">
        <v>7494.29</v>
      </c>
      <c r="O178" s="110">
        <v>45383.11</v>
      </c>
      <c r="P178" s="110">
        <v>15960.65</v>
      </c>
      <c r="Q178" s="110">
        <v>17409.150000000001</v>
      </c>
      <c r="R178" s="106">
        <f>SUM(F178:Q178)</f>
        <v>147576.54999999999</v>
      </c>
      <c r="S178" s="73"/>
      <c r="T178" s="73"/>
      <c r="U178" s="73"/>
    </row>
    <row r="179" spans="1:21" x14ac:dyDescent="0.35">
      <c r="B179" s="105" t="s">
        <v>128</v>
      </c>
      <c r="C179" s="73"/>
      <c r="D179" s="73"/>
      <c r="E179" s="73"/>
      <c r="F179" s="74">
        <f>SUM(F178)</f>
        <v>8404.66</v>
      </c>
      <c r="G179" s="74">
        <f t="shared" ref="G179:R179" si="50">SUM(G178)</f>
        <v>7621.15</v>
      </c>
      <c r="H179" s="74">
        <f t="shared" si="50"/>
        <v>8458.2900000000009</v>
      </c>
      <c r="I179" s="74">
        <f t="shared" si="50"/>
        <v>4045.14</v>
      </c>
      <c r="J179" s="74">
        <f t="shared" si="50"/>
        <v>10202.65</v>
      </c>
      <c r="K179" s="74">
        <f t="shared" si="50"/>
        <v>8475.1200000000008</v>
      </c>
      <c r="L179" s="74">
        <f t="shared" si="50"/>
        <v>7280.78</v>
      </c>
      <c r="M179" s="74">
        <f t="shared" si="50"/>
        <v>6841.56</v>
      </c>
      <c r="N179" s="74">
        <f t="shared" si="50"/>
        <v>7494.29</v>
      </c>
      <c r="O179" s="74">
        <f t="shared" si="50"/>
        <v>45383.11</v>
      </c>
      <c r="P179" s="74">
        <f t="shared" si="50"/>
        <v>15960.65</v>
      </c>
      <c r="Q179" s="74">
        <f t="shared" si="50"/>
        <v>17409.150000000001</v>
      </c>
      <c r="R179" s="74">
        <f t="shared" si="50"/>
        <v>147576.54999999999</v>
      </c>
      <c r="S179" s="73"/>
      <c r="T179" s="73"/>
      <c r="U179" s="73"/>
    </row>
    <row r="180" spans="1:21" x14ac:dyDescent="0.35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1:21" x14ac:dyDescent="0.35">
      <c r="A181" s="26" t="s">
        <v>126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1:21" x14ac:dyDescent="0.35">
      <c r="B182" s="73" t="s">
        <v>122</v>
      </c>
      <c r="C182" s="73"/>
      <c r="D182" s="73"/>
      <c r="E182" s="73"/>
      <c r="F182" s="107">
        <v>3325</v>
      </c>
      <c r="G182" s="107">
        <v>0</v>
      </c>
      <c r="H182" s="107">
        <v>0</v>
      </c>
      <c r="I182" s="107">
        <v>727</v>
      </c>
      <c r="J182" s="107">
        <v>0</v>
      </c>
      <c r="K182" s="107">
        <v>0</v>
      </c>
      <c r="L182" s="107">
        <v>30.03</v>
      </c>
      <c r="M182" s="107">
        <v>0</v>
      </c>
      <c r="N182" s="107">
        <v>0</v>
      </c>
      <c r="O182" s="107">
        <v>0</v>
      </c>
      <c r="P182" s="107">
        <v>0</v>
      </c>
      <c r="Q182" s="107">
        <v>0</v>
      </c>
      <c r="R182" s="74">
        <f>SUM(F182:Q182)</f>
        <v>4082.03</v>
      </c>
      <c r="S182" s="73"/>
      <c r="T182" s="73"/>
      <c r="U182" s="73"/>
    </row>
    <row r="183" spans="1:21" x14ac:dyDescent="0.35">
      <c r="A183" s="73"/>
      <c r="B183" s="73" t="s">
        <v>127</v>
      </c>
      <c r="C183" s="73"/>
      <c r="D183" s="73"/>
      <c r="E183" s="73"/>
      <c r="F183" s="109">
        <v>5631.5</v>
      </c>
      <c r="G183" s="109">
        <v>5337.16</v>
      </c>
      <c r="H183" s="109">
        <v>7061.73</v>
      </c>
      <c r="I183" s="109">
        <v>6180.04</v>
      </c>
      <c r="J183" s="109">
        <v>6521.6</v>
      </c>
      <c r="K183" s="109">
        <v>5634.31</v>
      </c>
      <c r="L183" s="109">
        <v>5129.84</v>
      </c>
      <c r="M183" s="109">
        <v>4277.01</v>
      </c>
      <c r="N183" s="109">
        <v>5143.4799999999996</v>
      </c>
      <c r="O183" s="109">
        <v>4405.99</v>
      </c>
      <c r="P183" s="109">
        <v>5250.94</v>
      </c>
      <c r="Q183" s="109">
        <v>7442.58</v>
      </c>
      <c r="R183" s="76">
        <f>SUM(F183:Q183)</f>
        <v>68016.179999999993</v>
      </c>
      <c r="S183" s="73"/>
      <c r="T183" s="73"/>
      <c r="U183" s="73"/>
    </row>
    <row r="184" spans="1:21" x14ac:dyDescent="0.35">
      <c r="A184" s="73"/>
      <c r="B184" s="105" t="s">
        <v>129</v>
      </c>
      <c r="C184" s="73"/>
      <c r="D184" s="73"/>
      <c r="E184" s="73"/>
      <c r="F184" s="74">
        <f>SUM(F182:F183)</f>
        <v>8956.5</v>
      </c>
      <c r="G184" s="74">
        <f t="shared" ref="G184:R184" si="51">SUM(G182:G183)</f>
        <v>5337.16</v>
      </c>
      <c r="H184" s="74">
        <f t="shared" si="51"/>
        <v>7061.73</v>
      </c>
      <c r="I184" s="74">
        <f t="shared" si="51"/>
        <v>6907.04</v>
      </c>
      <c r="J184" s="74">
        <f t="shared" si="51"/>
        <v>6521.6</v>
      </c>
      <c r="K184" s="74">
        <f t="shared" si="51"/>
        <v>5634.31</v>
      </c>
      <c r="L184" s="74">
        <f t="shared" si="51"/>
        <v>5159.87</v>
      </c>
      <c r="M184" s="74">
        <f t="shared" si="51"/>
        <v>4277.01</v>
      </c>
      <c r="N184" s="74">
        <f t="shared" si="51"/>
        <v>5143.4799999999996</v>
      </c>
      <c r="O184" s="74">
        <f t="shared" si="51"/>
        <v>4405.99</v>
      </c>
      <c r="P184" s="74">
        <f t="shared" si="51"/>
        <v>5250.94</v>
      </c>
      <c r="Q184" s="74">
        <f t="shared" si="51"/>
        <v>7442.58</v>
      </c>
      <c r="R184" s="74">
        <f t="shared" si="51"/>
        <v>72098.209999999992</v>
      </c>
      <c r="S184" s="73"/>
      <c r="T184" s="73"/>
      <c r="U184" s="73"/>
    </row>
    <row r="185" spans="1:21" x14ac:dyDescent="0.3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1:21" x14ac:dyDescent="0.35">
      <c r="A186" s="73" t="s">
        <v>130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1:21" x14ac:dyDescent="0.35">
      <c r="A187" s="73"/>
      <c r="B187" s="73" t="s">
        <v>123</v>
      </c>
      <c r="C187" s="73"/>
      <c r="D187" s="73"/>
      <c r="E187" s="73"/>
      <c r="F187" s="107">
        <v>3900</v>
      </c>
      <c r="G187" s="107">
        <v>150</v>
      </c>
      <c r="H187" s="107">
        <v>1200</v>
      </c>
      <c r="I187" s="107">
        <v>3750</v>
      </c>
      <c r="J187" s="107">
        <v>300</v>
      </c>
      <c r="K187" s="107">
        <v>115</v>
      </c>
      <c r="L187" s="107">
        <v>300</v>
      </c>
      <c r="M187" s="107">
        <v>150</v>
      </c>
      <c r="N187" s="107">
        <v>900</v>
      </c>
      <c r="O187" s="107">
        <v>300</v>
      </c>
      <c r="P187" s="107">
        <v>1200</v>
      </c>
      <c r="Q187" s="107">
        <v>450</v>
      </c>
      <c r="R187" s="74">
        <f>SUM(F187:Q187)</f>
        <v>12715</v>
      </c>
      <c r="S187" s="73"/>
      <c r="T187" s="73"/>
      <c r="U187" s="73"/>
    </row>
    <row r="188" spans="1:21" x14ac:dyDescent="0.35">
      <c r="A188" s="73"/>
      <c r="B188" s="73" t="s">
        <v>130</v>
      </c>
      <c r="C188" s="73"/>
      <c r="D188" s="73"/>
      <c r="E188" s="73"/>
      <c r="F188" s="109">
        <v>0</v>
      </c>
      <c r="G188" s="109">
        <v>0</v>
      </c>
      <c r="H188" s="109">
        <v>0</v>
      </c>
      <c r="I188" s="109">
        <v>87759.09</v>
      </c>
      <c r="J188" s="109">
        <v>860410.56</v>
      </c>
      <c r="K188" s="109">
        <v>12199.54</v>
      </c>
      <c r="L188" s="109">
        <v>0</v>
      </c>
      <c r="M188" s="109">
        <v>0</v>
      </c>
      <c r="N188" s="109">
        <v>0</v>
      </c>
      <c r="O188" s="109">
        <v>0</v>
      </c>
      <c r="P188" s="109">
        <v>0</v>
      </c>
      <c r="Q188" s="109">
        <v>133250.67000000001</v>
      </c>
      <c r="R188" s="76">
        <f>SUM(F188:Q188)</f>
        <v>1093619.8600000001</v>
      </c>
      <c r="S188" s="73"/>
      <c r="T188" s="73"/>
      <c r="U188" s="73"/>
    </row>
    <row r="189" spans="1:21" x14ac:dyDescent="0.35">
      <c r="A189" s="73"/>
      <c r="B189" s="105" t="s">
        <v>131</v>
      </c>
      <c r="C189" s="73"/>
      <c r="D189" s="73"/>
      <c r="E189" s="73"/>
      <c r="F189" s="74">
        <f>SUM(F187:F188)</f>
        <v>3900</v>
      </c>
      <c r="G189" s="74">
        <f t="shared" ref="G189:R189" si="52">SUM(G187:G188)</f>
        <v>150</v>
      </c>
      <c r="H189" s="74">
        <f t="shared" si="52"/>
        <v>1200</v>
      </c>
      <c r="I189" s="74">
        <f t="shared" si="52"/>
        <v>91509.09</v>
      </c>
      <c r="J189" s="74">
        <f t="shared" si="52"/>
        <v>860710.56</v>
      </c>
      <c r="K189" s="74">
        <f t="shared" si="52"/>
        <v>12314.54</v>
      </c>
      <c r="L189" s="74">
        <f t="shared" si="52"/>
        <v>300</v>
      </c>
      <c r="M189" s="74">
        <f t="shared" si="52"/>
        <v>150</v>
      </c>
      <c r="N189" s="74">
        <f t="shared" si="52"/>
        <v>900</v>
      </c>
      <c r="O189" s="74">
        <f t="shared" si="52"/>
        <v>300</v>
      </c>
      <c r="P189" s="74">
        <f t="shared" si="52"/>
        <v>1200</v>
      </c>
      <c r="Q189" s="74">
        <f t="shared" si="52"/>
        <v>133700.67000000001</v>
      </c>
      <c r="R189" s="74">
        <f t="shared" si="52"/>
        <v>1106334.8600000001</v>
      </c>
      <c r="S189" s="73"/>
      <c r="T189" s="73"/>
      <c r="U189" s="73"/>
    </row>
    <row r="190" spans="1:21" x14ac:dyDescent="0.3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1:21" ht="16" thickBot="1" x14ac:dyDescent="0.4">
      <c r="A191" s="49" t="s">
        <v>44</v>
      </c>
      <c r="B191" s="73"/>
      <c r="C191" s="73"/>
      <c r="D191" s="73"/>
      <c r="E191" s="73"/>
      <c r="F191" s="79">
        <f>F179+F184+F189</f>
        <v>21261.16</v>
      </c>
      <c r="G191" s="79">
        <f t="shared" ref="G191:R191" si="53">G179+G184+G189</f>
        <v>13108.31</v>
      </c>
      <c r="H191" s="79">
        <f t="shared" si="53"/>
        <v>16720.02</v>
      </c>
      <c r="I191" s="79">
        <f t="shared" si="53"/>
        <v>102461.26999999999</v>
      </c>
      <c r="J191" s="79">
        <f t="shared" si="53"/>
        <v>877434.81</v>
      </c>
      <c r="K191" s="79">
        <f t="shared" si="53"/>
        <v>26423.97</v>
      </c>
      <c r="L191" s="79">
        <f t="shared" si="53"/>
        <v>12740.65</v>
      </c>
      <c r="M191" s="79">
        <f t="shared" si="53"/>
        <v>11268.57</v>
      </c>
      <c r="N191" s="79">
        <f t="shared" si="53"/>
        <v>13537.77</v>
      </c>
      <c r="O191" s="79">
        <f t="shared" si="53"/>
        <v>50089.1</v>
      </c>
      <c r="P191" s="79">
        <f t="shared" si="53"/>
        <v>22411.59</v>
      </c>
      <c r="Q191" s="79">
        <f t="shared" si="53"/>
        <v>158552.40000000002</v>
      </c>
      <c r="R191" s="79">
        <f t="shared" si="53"/>
        <v>1326009.6200000001</v>
      </c>
      <c r="S191" s="73"/>
      <c r="T191" s="73"/>
      <c r="U191" s="73"/>
    </row>
    <row r="192" spans="1:21" ht="16" thickTop="1" x14ac:dyDescent="0.3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1:21" x14ac:dyDescent="0.3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4">
        <f>R173-R178-R184-R187</f>
        <v>2857730.4699999997</v>
      </c>
      <c r="S193" s="73"/>
      <c r="T193" s="73"/>
      <c r="U193" s="73"/>
    </row>
    <row r="194" spans="1:21" x14ac:dyDescent="0.3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1:21" s="72" customFormat="1" ht="5.65" hidden="1" customHeight="1" outlineLevel="1" x14ac:dyDescent="0.3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21" hidden="1" outlineLevel="1" x14ac:dyDescent="0.3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21" hidden="1" outlineLevel="1" x14ac:dyDescent="0.35"/>
    <row r="198" spans="1:21" hidden="1" outlineLevel="1" x14ac:dyDescent="0.35">
      <c r="A198" s="66" t="s">
        <v>175</v>
      </c>
    </row>
    <row r="199" spans="1:21" hidden="1" outlineLevel="1" x14ac:dyDescent="0.35">
      <c r="R199" s="28" t="s">
        <v>5</v>
      </c>
      <c r="S199" s="27"/>
      <c r="T199" s="27"/>
    </row>
    <row r="200" spans="1:21" ht="30" hidden="1" outlineLevel="1" x14ac:dyDescent="0.35">
      <c r="D200" s="53" t="s">
        <v>71</v>
      </c>
      <c r="E200" s="53">
        <v>39630</v>
      </c>
      <c r="F200" s="53">
        <v>39661</v>
      </c>
      <c r="G200" s="53">
        <v>39692</v>
      </c>
      <c r="H200" s="53">
        <v>39722</v>
      </c>
      <c r="I200" s="53">
        <v>39753</v>
      </c>
      <c r="J200" s="53">
        <v>39783</v>
      </c>
      <c r="K200" s="53">
        <v>39814</v>
      </c>
      <c r="L200" s="53">
        <v>39845</v>
      </c>
      <c r="M200" s="53">
        <v>39873</v>
      </c>
      <c r="N200" s="53">
        <v>39904</v>
      </c>
      <c r="O200" s="53">
        <v>39934</v>
      </c>
      <c r="P200" s="53">
        <v>39965</v>
      </c>
      <c r="Q200" s="54"/>
      <c r="R200" s="46" t="s">
        <v>69</v>
      </c>
      <c r="S200" s="54" t="s">
        <v>68</v>
      </c>
      <c r="T200" s="54" t="s">
        <v>67</v>
      </c>
    </row>
    <row r="201" spans="1:21" hidden="1" outlineLevel="1" x14ac:dyDescent="0.35"/>
    <row r="202" spans="1:21" hidden="1" outlineLevel="1" x14ac:dyDescent="0.35">
      <c r="A202" s="25" t="s">
        <v>6</v>
      </c>
    </row>
    <row r="203" spans="1:21" ht="6.65" hidden="1" customHeight="1" outlineLevel="1" x14ac:dyDescent="0.35"/>
    <row r="204" spans="1:21" hidden="1" outlineLevel="1" x14ac:dyDescent="0.35">
      <c r="A204" s="26" t="s">
        <v>160</v>
      </c>
      <c r="D204" s="52" t="s">
        <v>89</v>
      </c>
      <c r="E204" s="55"/>
      <c r="F204" s="55"/>
      <c r="G204" s="55"/>
      <c r="H204" s="55"/>
      <c r="I204" s="55"/>
      <c r="J204" s="64"/>
      <c r="K204" s="55">
        <v>6648.950154000001</v>
      </c>
      <c r="L204" s="55">
        <v>5716.48</v>
      </c>
      <c r="M204" s="55">
        <v>15764.059487999997</v>
      </c>
      <c r="N204" s="63">
        <f>6393.47+350.3</f>
        <v>6743.77</v>
      </c>
      <c r="O204" s="55">
        <v>5837.04</v>
      </c>
      <c r="P204" s="55">
        <v>6286.4771039999996</v>
      </c>
      <c r="Q204" s="37"/>
      <c r="R204" s="67">
        <v>0.14879999999999999</v>
      </c>
      <c r="S204" s="65" t="s">
        <v>92</v>
      </c>
      <c r="T204" s="26" t="s">
        <v>405</v>
      </c>
    </row>
    <row r="205" spans="1:21" hidden="1" outlineLevel="1" x14ac:dyDescent="0.35">
      <c r="A205" s="26" t="s">
        <v>161</v>
      </c>
      <c r="D205" s="52" t="s">
        <v>72</v>
      </c>
      <c r="E205" s="55"/>
      <c r="F205" s="55"/>
      <c r="G205" s="55"/>
      <c r="H205" s="55"/>
      <c r="I205" s="55"/>
      <c r="J205" s="55"/>
      <c r="K205" s="42">
        <v>8381.5193999999992</v>
      </c>
      <c r="L205" s="42">
        <v>8094.18</v>
      </c>
      <c r="M205" s="57">
        <v>27975.290012999998</v>
      </c>
      <c r="N205" s="57">
        <v>10445.629999999999</v>
      </c>
      <c r="O205" s="57">
        <v>9447.4599999999991</v>
      </c>
      <c r="P205" s="57">
        <v>8692.0698809999994</v>
      </c>
      <c r="Q205" s="38"/>
      <c r="R205" s="67">
        <v>0.3891</v>
      </c>
      <c r="S205" s="65" t="s">
        <v>92</v>
      </c>
      <c r="T205" s="26" t="s">
        <v>405</v>
      </c>
    </row>
    <row r="206" spans="1:21" hidden="1" outlineLevel="1" x14ac:dyDescent="0.35">
      <c r="A206" s="26" t="s">
        <v>47</v>
      </c>
      <c r="D206" s="52" t="s">
        <v>73</v>
      </c>
      <c r="E206" s="55"/>
      <c r="F206" s="55"/>
      <c r="G206" s="55"/>
      <c r="H206" s="55"/>
      <c r="I206" s="55"/>
      <c r="J206" s="55"/>
      <c r="K206" s="42">
        <v>74.466799999999992</v>
      </c>
      <c r="L206" s="42">
        <v>160.28</v>
      </c>
      <c r="M206" s="57">
        <v>506.49</v>
      </c>
      <c r="N206" s="57">
        <v>626.64</v>
      </c>
      <c r="O206" s="57">
        <v>44.63</v>
      </c>
      <c r="P206" s="57">
        <v>251.93879999999996</v>
      </c>
      <c r="Q206" s="38"/>
      <c r="R206" s="67">
        <v>0.47</v>
      </c>
      <c r="S206" s="65" t="s">
        <v>93</v>
      </c>
      <c r="T206" s="26" t="s">
        <v>102</v>
      </c>
    </row>
    <row r="207" spans="1:21" hidden="1" outlineLevel="1" x14ac:dyDescent="0.35">
      <c r="A207" s="26" t="s">
        <v>48</v>
      </c>
      <c r="D207" s="52" t="s">
        <v>74</v>
      </c>
      <c r="E207" s="55"/>
      <c r="F207" s="55"/>
      <c r="G207" s="55"/>
      <c r="H207" s="55"/>
      <c r="I207" s="55"/>
      <c r="J207" s="55"/>
      <c r="K207" s="42">
        <v>13.2258</v>
      </c>
      <c r="L207" s="42">
        <v>0</v>
      </c>
      <c r="M207" s="57">
        <v>27.09</v>
      </c>
      <c r="N207" s="57">
        <v>137.24</v>
      </c>
      <c r="O207" s="57">
        <v>52.88</v>
      </c>
      <c r="P207" s="57">
        <v>334.875</v>
      </c>
      <c r="Q207" s="38"/>
      <c r="R207" s="67">
        <v>0.47</v>
      </c>
      <c r="S207" s="65" t="s">
        <v>93</v>
      </c>
      <c r="T207" s="26" t="s">
        <v>102</v>
      </c>
    </row>
    <row r="208" spans="1:21" hidden="1" outlineLevel="1" x14ac:dyDescent="0.35">
      <c r="A208" s="26" t="s">
        <v>18</v>
      </c>
      <c r="D208" s="52" t="s">
        <v>75</v>
      </c>
      <c r="E208" s="55"/>
      <c r="F208" s="55"/>
      <c r="G208" s="55"/>
      <c r="H208" s="55"/>
      <c r="I208" s="55"/>
      <c r="J208" s="55"/>
      <c r="K208" s="42">
        <v>1708.1961999999999</v>
      </c>
      <c r="L208" s="42">
        <v>1873.81</v>
      </c>
      <c r="M208" s="57">
        <v>5289.23</v>
      </c>
      <c r="N208" s="57">
        <v>1664.27</v>
      </c>
      <c r="O208" s="57">
        <v>1693.76</v>
      </c>
      <c r="P208" s="57">
        <v>1805.1618999999998</v>
      </c>
      <c r="Q208" s="38"/>
      <c r="R208" s="67">
        <v>0.47</v>
      </c>
      <c r="S208" s="65" t="s">
        <v>93</v>
      </c>
      <c r="T208" s="26" t="s">
        <v>102</v>
      </c>
    </row>
    <row r="209" spans="1:20" hidden="1" outlineLevel="1" x14ac:dyDescent="0.35">
      <c r="A209" s="26" t="s">
        <v>49</v>
      </c>
      <c r="D209" s="52" t="s">
        <v>75</v>
      </c>
      <c r="E209" s="55"/>
      <c r="F209" s="55"/>
      <c r="G209" s="55"/>
      <c r="H209" s="55"/>
      <c r="I209" s="55"/>
      <c r="J209" s="55"/>
      <c r="K209" s="42">
        <v>2825.38</v>
      </c>
      <c r="L209" s="42">
        <v>3146.15</v>
      </c>
      <c r="M209" s="57">
        <v>5834.28</v>
      </c>
      <c r="N209" s="57">
        <v>1632.05</v>
      </c>
      <c r="O209" s="57">
        <v>3902.25</v>
      </c>
      <c r="P209" s="57">
        <v>2895.5101999999997</v>
      </c>
      <c r="Q209" s="38"/>
      <c r="R209" s="67">
        <v>0.47</v>
      </c>
      <c r="S209" s="65" t="s">
        <v>93</v>
      </c>
      <c r="T209" s="26" t="s">
        <v>102</v>
      </c>
    </row>
    <row r="210" spans="1:20" hidden="1" outlineLevel="1" x14ac:dyDescent="0.35">
      <c r="A210" s="26" t="s">
        <v>50</v>
      </c>
      <c r="D210" s="52" t="s">
        <v>75</v>
      </c>
      <c r="E210" s="55"/>
      <c r="F210" s="55"/>
      <c r="G210" s="55"/>
      <c r="H210" s="55"/>
      <c r="I210" s="55"/>
      <c r="J210" s="55"/>
      <c r="K210" s="42">
        <v>205</v>
      </c>
      <c r="L210" s="42">
        <v>199.36</v>
      </c>
      <c r="M210" s="57">
        <v>601.83000000000004</v>
      </c>
      <c r="N210" s="57">
        <v>209.29</v>
      </c>
      <c r="O210" s="57">
        <v>211.3</v>
      </c>
      <c r="P210" s="57">
        <v>113.1525</v>
      </c>
      <c r="Q210" s="38"/>
      <c r="R210" s="67">
        <v>0.47</v>
      </c>
      <c r="S210" s="65" t="s">
        <v>93</v>
      </c>
      <c r="T210" s="26" t="s">
        <v>102</v>
      </c>
    </row>
    <row r="211" spans="1:20" hidden="1" outlineLevel="1" x14ac:dyDescent="0.35">
      <c r="A211" s="26" t="s">
        <v>51</v>
      </c>
      <c r="D211" s="52" t="s">
        <v>75</v>
      </c>
      <c r="E211" s="55"/>
      <c r="F211" s="55"/>
      <c r="G211" s="55"/>
      <c r="H211" s="55"/>
      <c r="I211" s="55"/>
      <c r="J211" s="55"/>
      <c r="K211" s="42">
        <v>1.79</v>
      </c>
      <c r="L211" s="42">
        <v>24.48</v>
      </c>
      <c r="M211" s="57">
        <v>27.22</v>
      </c>
      <c r="N211" s="57">
        <v>9.98</v>
      </c>
      <c r="O211" s="57">
        <v>-1.59</v>
      </c>
      <c r="P211" s="57">
        <v>5.2968999999999999</v>
      </c>
      <c r="Q211" s="38"/>
      <c r="R211" s="67">
        <v>0.47</v>
      </c>
      <c r="S211" s="65" t="s">
        <v>93</v>
      </c>
      <c r="T211" s="26" t="s">
        <v>102</v>
      </c>
    </row>
    <row r="212" spans="1:20" hidden="1" outlineLevel="1" x14ac:dyDescent="0.35">
      <c r="A212" s="26" t="s">
        <v>162</v>
      </c>
      <c r="D212" s="52" t="s">
        <v>76</v>
      </c>
      <c r="E212" s="55"/>
      <c r="F212" s="55"/>
      <c r="G212" s="55"/>
      <c r="H212" s="55"/>
      <c r="I212" s="55"/>
      <c r="J212" s="55"/>
      <c r="K212" s="42">
        <v>1635.13</v>
      </c>
      <c r="L212" s="42">
        <v>1403.73</v>
      </c>
      <c r="M212" s="57">
        <v>1860.15</v>
      </c>
      <c r="N212" s="57">
        <v>714.61</v>
      </c>
      <c r="O212" s="57">
        <v>646.20000000000005</v>
      </c>
      <c r="P212" s="57">
        <v>937.21318600000006</v>
      </c>
      <c r="Q212" s="38"/>
      <c r="R212" s="67">
        <v>0.25869999999999999</v>
      </c>
      <c r="S212" s="65" t="s">
        <v>92</v>
      </c>
      <c r="T212" s="26" t="s">
        <v>405</v>
      </c>
    </row>
    <row r="213" spans="1:20" hidden="1" outlineLevel="1" x14ac:dyDescent="0.35">
      <c r="A213" s="26" t="s">
        <v>52</v>
      </c>
      <c r="D213" s="52" t="s">
        <v>79</v>
      </c>
      <c r="E213" s="55"/>
      <c r="F213" s="55"/>
      <c r="G213" s="55"/>
      <c r="H213" s="55"/>
      <c r="I213" s="55"/>
      <c r="J213" s="55"/>
      <c r="K213" s="42">
        <v>1168.49</v>
      </c>
      <c r="L213" s="42">
        <v>1168.49</v>
      </c>
      <c r="M213" s="57">
        <v>1682.9</v>
      </c>
      <c r="N213" s="62">
        <f>675.68+302.02</f>
        <v>977.69999999999993</v>
      </c>
      <c r="O213" s="57">
        <v>962.32</v>
      </c>
      <c r="P213" s="57">
        <v>982.83074099999999</v>
      </c>
      <c r="Q213" s="38"/>
      <c r="R213" s="67">
        <v>0.22289999999999999</v>
      </c>
      <c r="S213" s="65" t="s">
        <v>94</v>
      </c>
      <c r="T213" s="26" t="s">
        <v>103</v>
      </c>
    </row>
    <row r="214" spans="1:20" hidden="1" outlineLevel="1" x14ac:dyDescent="0.35">
      <c r="A214" s="26" t="s">
        <v>163</v>
      </c>
      <c r="D214" s="52" t="s">
        <v>79</v>
      </c>
      <c r="E214" s="55"/>
      <c r="F214" s="55"/>
      <c r="G214" s="55"/>
      <c r="H214" s="55"/>
      <c r="I214" s="55"/>
      <c r="J214" s="55"/>
      <c r="K214" s="42">
        <v>8916.1299999999992</v>
      </c>
      <c r="L214" s="42">
        <v>8025.04</v>
      </c>
      <c r="M214" s="57">
        <v>17779.46</v>
      </c>
      <c r="N214" s="62">
        <f>9373.57+889.45</f>
        <v>10263.02</v>
      </c>
      <c r="O214" s="57">
        <v>2121.2800000000002</v>
      </c>
      <c r="P214" s="57">
        <v>7937.8358400000006</v>
      </c>
      <c r="Q214" s="38"/>
      <c r="R214" s="67">
        <v>0.20399999999999999</v>
      </c>
      <c r="S214" s="65" t="s">
        <v>92</v>
      </c>
      <c r="T214" s="26" t="s">
        <v>405</v>
      </c>
    </row>
    <row r="215" spans="1:20" hidden="1" outlineLevel="1" x14ac:dyDescent="0.35">
      <c r="A215" s="26" t="s">
        <v>53</v>
      </c>
      <c r="D215" s="52" t="s">
        <v>80</v>
      </c>
      <c r="E215" s="55"/>
      <c r="F215" s="55"/>
      <c r="G215" s="55"/>
      <c r="H215" s="55"/>
      <c r="I215" s="55"/>
      <c r="J215" s="55"/>
      <c r="K215" s="42">
        <v>1.39</v>
      </c>
      <c r="L215" s="42">
        <v>1.38</v>
      </c>
      <c r="M215" s="57">
        <v>0</v>
      </c>
      <c r="N215" s="57">
        <v>70.58</v>
      </c>
      <c r="O215" s="57">
        <v>70.58</v>
      </c>
      <c r="P215" s="57">
        <v>70.575000000000003</v>
      </c>
      <c r="Q215" s="38"/>
      <c r="R215" s="67">
        <v>0.5</v>
      </c>
      <c r="S215" s="65" t="s">
        <v>95</v>
      </c>
      <c r="T215" s="26" t="s">
        <v>406</v>
      </c>
    </row>
    <row r="216" spans="1:20" hidden="1" outlineLevel="1" x14ac:dyDescent="0.35">
      <c r="A216" s="26" t="s">
        <v>54</v>
      </c>
      <c r="D216" s="52" t="s">
        <v>80</v>
      </c>
      <c r="E216" s="55"/>
      <c r="F216" s="55"/>
      <c r="G216" s="55"/>
      <c r="H216" s="55"/>
      <c r="I216" s="55"/>
      <c r="J216" s="55"/>
      <c r="K216" s="42">
        <v>141.15</v>
      </c>
      <c r="L216" s="42">
        <v>141.15</v>
      </c>
      <c r="M216" s="57">
        <v>0</v>
      </c>
      <c r="N216" s="57">
        <v>0.69</v>
      </c>
      <c r="O216" s="57">
        <v>0.69</v>
      </c>
      <c r="P216" s="57">
        <v>0.69</v>
      </c>
      <c r="Q216" s="38"/>
      <c r="R216" s="67">
        <v>0.5</v>
      </c>
      <c r="S216" s="65" t="s">
        <v>95</v>
      </c>
      <c r="T216" s="26" t="s">
        <v>406</v>
      </c>
    </row>
    <row r="217" spans="1:20" hidden="1" outlineLevel="1" x14ac:dyDescent="0.35">
      <c r="A217" s="26" t="s">
        <v>70</v>
      </c>
      <c r="D217" s="52"/>
      <c r="E217" s="55"/>
      <c r="F217" s="55"/>
      <c r="G217" s="55"/>
      <c r="H217" s="55"/>
      <c r="I217" s="55"/>
      <c r="J217" s="55"/>
      <c r="K217" s="42">
        <v>294.23</v>
      </c>
      <c r="L217" s="42">
        <v>294.23</v>
      </c>
      <c r="M217" s="57">
        <v>0</v>
      </c>
      <c r="N217" s="62">
        <f>207.86+-207.86</f>
        <v>0</v>
      </c>
      <c r="O217" s="57">
        <v>0</v>
      </c>
      <c r="P217" s="57">
        <v>0</v>
      </c>
      <c r="Q217" s="38"/>
      <c r="R217" s="34"/>
      <c r="S217" s="65"/>
    </row>
    <row r="218" spans="1:20" hidden="1" outlineLevel="1" x14ac:dyDescent="0.35">
      <c r="A218" s="26" t="s">
        <v>29</v>
      </c>
      <c r="D218" s="52" t="s">
        <v>81</v>
      </c>
      <c r="E218" s="55"/>
      <c r="F218" s="55"/>
      <c r="G218" s="55"/>
      <c r="H218" s="55"/>
      <c r="I218" s="55"/>
      <c r="J218" s="55"/>
      <c r="K218" s="42">
        <v>1466.11</v>
      </c>
      <c r="L218" s="42">
        <v>1551.61</v>
      </c>
      <c r="M218" s="57">
        <v>4284.25</v>
      </c>
      <c r="N218" s="57">
        <v>1231.73</v>
      </c>
      <c r="O218" s="57">
        <f>52.54+1039.14</f>
        <v>1091.68</v>
      </c>
      <c r="P218" s="57">
        <v>893.80369999999994</v>
      </c>
      <c r="Q218" s="38"/>
      <c r="R218" s="67">
        <v>0.47</v>
      </c>
      <c r="S218" s="65" t="s">
        <v>93</v>
      </c>
      <c r="T218" s="26" t="s">
        <v>102</v>
      </c>
    </row>
    <row r="219" spans="1:20" hidden="1" outlineLevel="1" x14ac:dyDescent="0.35">
      <c r="A219" s="26" t="s">
        <v>47</v>
      </c>
      <c r="D219" s="52" t="s">
        <v>82</v>
      </c>
      <c r="E219" s="55"/>
      <c r="F219" s="55"/>
      <c r="G219" s="55"/>
      <c r="H219" s="55"/>
      <c r="I219" s="55"/>
      <c r="J219" s="55"/>
      <c r="K219" s="42">
        <v>96.27</v>
      </c>
      <c r="L219" s="42">
        <v>146.93</v>
      </c>
      <c r="M219" s="57">
        <v>1117.49</v>
      </c>
      <c r="N219" s="57">
        <v>260.7</v>
      </c>
      <c r="O219" s="57">
        <v>191.83</v>
      </c>
      <c r="P219" s="57">
        <v>202.52770000000001</v>
      </c>
      <c r="Q219" s="38"/>
      <c r="R219" s="67">
        <v>0.47</v>
      </c>
      <c r="S219" s="65" t="s">
        <v>93</v>
      </c>
      <c r="T219" s="26" t="s">
        <v>102</v>
      </c>
    </row>
    <row r="220" spans="1:20" hidden="1" outlineLevel="1" x14ac:dyDescent="0.35">
      <c r="A220" s="26" t="s">
        <v>55</v>
      </c>
      <c r="D220" s="52" t="s">
        <v>82</v>
      </c>
      <c r="E220" s="55"/>
      <c r="F220" s="55"/>
      <c r="G220" s="55"/>
      <c r="H220" s="55"/>
      <c r="I220" s="55"/>
      <c r="J220" s="55"/>
      <c r="K220" s="42">
        <v>71.430000000000007</v>
      </c>
      <c r="L220" s="42">
        <v>51.61</v>
      </c>
      <c r="M220" s="57">
        <v>123.04</v>
      </c>
      <c r="N220" s="57">
        <v>0</v>
      </c>
      <c r="O220" s="57">
        <v>111.36</v>
      </c>
      <c r="P220" s="57">
        <v>0</v>
      </c>
      <c r="Q220" s="38"/>
      <c r="R220" s="67">
        <v>0.47</v>
      </c>
      <c r="S220" s="65" t="s">
        <v>93</v>
      </c>
      <c r="T220" s="26" t="s">
        <v>102</v>
      </c>
    </row>
    <row r="221" spans="1:20" hidden="1" outlineLevel="1" x14ac:dyDescent="0.35">
      <c r="A221" s="26" t="s">
        <v>18</v>
      </c>
      <c r="B221" s="44"/>
      <c r="C221" s="44"/>
      <c r="D221" s="52" t="s">
        <v>83</v>
      </c>
      <c r="E221" s="55"/>
      <c r="F221" s="55"/>
      <c r="G221" s="55"/>
      <c r="H221" s="55"/>
      <c r="I221" s="55"/>
      <c r="J221" s="55"/>
      <c r="K221" s="42">
        <v>932.13</v>
      </c>
      <c r="L221" s="42">
        <f>1292.57+315.1</f>
        <v>1607.67</v>
      </c>
      <c r="M221" s="57">
        <v>3492.35</v>
      </c>
      <c r="N221" s="57">
        <v>1139.2</v>
      </c>
      <c r="O221" s="57">
        <v>1021.11</v>
      </c>
      <c r="P221" s="57">
        <v>1121.2883999999999</v>
      </c>
      <c r="Q221" s="38"/>
      <c r="R221" s="67">
        <v>0.47</v>
      </c>
      <c r="S221" s="65" t="s">
        <v>93</v>
      </c>
      <c r="T221" s="26" t="s">
        <v>102</v>
      </c>
    </row>
    <row r="222" spans="1:20" hidden="1" outlineLevel="1" x14ac:dyDescent="0.35">
      <c r="A222" s="26" t="s">
        <v>56</v>
      </c>
      <c r="B222" s="44"/>
      <c r="C222" s="44"/>
      <c r="D222" s="52" t="s">
        <v>84</v>
      </c>
      <c r="E222" s="55"/>
      <c r="F222" s="55"/>
      <c r="G222" s="55"/>
      <c r="H222" s="55"/>
      <c r="I222" s="55"/>
      <c r="J222" s="55"/>
      <c r="K222" s="42">
        <v>588.36</v>
      </c>
      <c r="L222" s="42">
        <v>498.29</v>
      </c>
      <c r="M222" s="57">
        <v>1604.62</v>
      </c>
      <c r="N222" s="57">
        <v>1320.69</v>
      </c>
      <c r="O222" s="57">
        <v>528.12</v>
      </c>
      <c r="P222" s="57">
        <v>543.8463999999999</v>
      </c>
      <c r="Q222" s="38"/>
      <c r="R222" s="67">
        <v>0.47</v>
      </c>
      <c r="S222" s="65" t="s">
        <v>93</v>
      </c>
      <c r="T222" s="26" t="s">
        <v>102</v>
      </c>
    </row>
    <row r="223" spans="1:20" hidden="1" outlineLevel="1" x14ac:dyDescent="0.35">
      <c r="A223" s="26" t="s">
        <v>91</v>
      </c>
      <c r="B223" s="44"/>
      <c r="C223" s="44"/>
      <c r="D223" s="52"/>
      <c r="E223" s="55"/>
      <c r="F223" s="55"/>
      <c r="G223" s="55"/>
      <c r="H223" s="55"/>
      <c r="I223" s="55"/>
      <c r="J223" s="55"/>
      <c r="K223" s="68">
        <v>5182.1099999999997</v>
      </c>
      <c r="L223" s="68">
        <v>5186.67</v>
      </c>
      <c r="M223" s="69">
        <v>15018.42</v>
      </c>
      <c r="N223" s="58">
        <v>0</v>
      </c>
      <c r="O223" s="58">
        <v>0</v>
      </c>
      <c r="P223" s="58">
        <v>0</v>
      </c>
      <c r="Q223" s="61"/>
      <c r="R223" s="34"/>
      <c r="S223" s="65"/>
    </row>
    <row r="224" spans="1:20" hidden="1" outlineLevel="1" x14ac:dyDescent="0.35">
      <c r="A224" s="26" t="s">
        <v>57</v>
      </c>
      <c r="D224" s="52" t="s">
        <v>77</v>
      </c>
      <c r="E224" s="55"/>
      <c r="F224" s="55"/>
      <c r="G224" s="55"/>
      <c r="H224" s="55"/>
      <c r="I224" s="55"/>
      <c r="J224" s="55"/>
      <c r="K224" s="68">
        <v>337.59</v>
      </c>
      <c r="L224" s="68">
        <v>314.16000000000003</v>
      </c>
      <c r="M224" s="58">
        <v>1078.1600000000001</v>
      </c>
      <c r="N224" s="58">
        <v>359.51</v>
      </c>
      <c r="O224" s="58">
        <v>478.85</v>
      </c>
      <c r="P224" s="58">
        <v>452.92709000000002</v>
      </c>
      <c r="Q224" s="61"/>
      <c r="R224" s="67">
        <v>7.6999999999999999E-2</v>
      </c>
      <c r="S224" s="65" t="s">
        <v>96</v>
      </c>
      <c r="T224" s="26" t="s">
        <v>104</v>
      </c>
    </row>
    <row r="225" spans="1:20" hidden="1" outlineLevel="1" x14ac:dyDescent="0.35">
      <c r="A225" s="26" t="s">
        <v>58</v>
      </c>
      <c r="D225" s="52" t="s">
        <v>78</v>
      </c>
      <c r="E225" s="55"/>
      <c r="F225" s="55"/>
      <c r="G225" s="55"/>
      <c r="H225" s="55"/>
      <c r="I225" s="55"/>
      <c r="J225" s="55"/>
      <c r="K225" s="68">
        <v>7.7</v>
      </c>
      <c r="L225" s="68">
        <v>7.7</v>
      </c>
      <c r="M225" s="58">
        <v>78.84</v>
      </c>
      <c r="N225" s="58">
        <v>48.04</v>
      </c>
      <c r="O225" s="58">
        <v>48.04</v>
      </c>
      <c r="P225" s="58">
        <v>386.84492</v>
      </c>
      <c r="Q225" s="61"/>
      <c r="R225" s="67">
        <v>7.6999999999999999E-2</v>
      </c>
      <c r="S225" s="65" t="s">
        <v>96</v>
      </c>
      <c r="T225" s="26" t="s">
        <v>104</v>
      </c>
    </row>
    <row r="226" spans="1:20" hidden="1" outlineLevel="1" x14ac:dyDescent="0.35">
      <c r="A226" s="26" t="s">
        <v>59</v>
      </c>
      <c r="D226" s="52" t="s">
        <v>90</v>
      </c>
      <c r="E226" s="55"/>
      <c r="F226" s="55"/>
      <c r="G226" s="55"/>
      <c r="H226" s="55"/>
      <c r="I226" s="55"/>
      <c r="J226" s="55"/>
      <c r="K226" s="68">
        <v>506.87</v>
      </c>
      <c r="L226" s="68">
        <v>506.87</v>
      </c>
      <c r="M226" s="58">
        <v>1687.87</v>
      </c>
      <c r="N226" s="58">
        <v>506.87</v>
      </c>
      <c r="O226" s="58">
        <v>506.87</v>
      </c>
      <c r="P226" s="58">
        <v>506.86680000000001</v>
      </c>
      <c r="Q226" s="61"/>
      <c r="R226" s="67">
        <v>7.6999999999999999E-2</v>
      </c>
      <c r="S226" s="65" t="s">
        <v>96</v>
      </c>
      <c r="T226" s="26" t="s">
        <v>104</v>
      </c>
    </row>
    <row r="227" spans="1:20" hidden="1" outlineLevel="1" x14ac:dyDescent="0.35">
      <c r="A227" s="26" t="s">
        <v>60</v>
      </c>
      <c r="D227" s="52" t="s">
        <v>85</v>
      </c>
      <c r="E227" s="55"/>
      <c r="F227" s="55"/>
      <c r="G227" s="55"/>
      <c r="H227" s="55"/>
      <c r="I227" s="55"/>
      <c r="J227" s="55"/>
      <c r="K227" s="42">
        <v>114.7</v>
      </c>
      <c r="L227" s="42">
        <v>128.41999999999999</v>
      </c>
      <c r="M227" s="57">
        <v>365.73</v>
      </c>
      <c r="N227" s="57">
        <v>161.21</v>
      </c>
      <c r="O227" s="57">
        <v>194.38</v>
      </c>
      <c r="P227" s="57">
        <v>153.35159999999999</v>
      </c>
      <c r="Q227" s="38"/>
      <c r="R227" s="67">
        <v>0.47</v>
      </c>
      <c r="S227" s="65" t="s">
        <v>93</v>
      </c>
      <c r="T227" s="26" t="s">
        <v>102</v>
      </c>
    </row>
    <row r="228" spans="1:20" hidden="1" outlineLevel="1" x14ac:dyDescent="0.35">
      <c r="A228" s="26" t="s">
        <v>28</v>
      </c>
      <c r="D228" s="52" t="s">
        <v>82</v>
      </c>
      <c r="E228" s="55"/>
      <c r="F228" s="55"/>
      <c r="G228" s="55"/>
      <c r="H228" s="55"/>
      <c r="I228" s="55"/>
      <c r="J228" s="55"/>
      <c r="K228" s="42">
        <v>217.32</v>
      </c>
      <c r="L228" s="42">
        <v>530.04999999999995</v>
      </c>
      <c r="M228" s="57">
        <v>1196.01</v>
      </c>
      <c r="N228" s="57">
        <v>102.97</v>
      </c>
      <c r="O228" s="57">
        <v>209.03</v>
      </c>
      <c r="P228" s="57">
        <v>217.8074</v>
      </c>
      <c r="Q228" s="38"/>
      <c r="R228" s="67">
        <v>0.47</v>
      </c>
      <c r="S228" s="65" t="s">
        <v>93</v>
      </c>
      <c r="T228" s="26" t="s">
        <v>102</v>
      </c>
    </row>
    <row r="229" spans="1:20" hidden="1" outlineLevel="1" x14ac:dyDescent="0.35">
      <c r="A229" s="26" t="s">
        <v>61</v>
      </c>
      <c r="D229" s="52" t="s">
        <v>81</v>
      </c>
      <c r="E229" s="55"/>
      <c r="F229" s="55"/>
      <c r="G229" s="55"/>
      <c r="H229" s="55"/>
      <c r="I229" s="64"/>
      <c r="J229" s="55"/>
      <c r="K229" s="42">
        <v>330.12</v>
      </c>
      <c r="L229" s="42">
        <v>367.44</v>
      </c>
      <c r="M229" s="57">
        <v>1029.01</v>
      </c>
      <c r="N229" s="57">
        <v>337.1</v>
      </c>
      <c r="O229" s="57">
        <v>557.70000000000005</v>
      </c>
      <c r="P229" s="57">
        <v>459.53309999999999</v>
      </c>
      <c r="Q229" s="38"/>
      <c r="R229" s="67">
        <v>0.47</v>
      </c>
      <c r="S229" s="65" t="s">
        <v>93</v>
      </c>
      <c r="T229" s="26" t="s">
        <v>102</v>
      </c>
    </row>
    <row r="230" spans="1:20" hidden="1" outlineLevel="1" x14ac:dyDescent="0.35">
      <c r="A230" s="26" t="s">
        <v>24</v>
      </c>
      <c r="D230" s="52" t="s">
        <v>82</v>
      </c>
      <c r="E230" s="55"/>
      <c r="F230" s="55"/>
      <c r="G230" s="55"/>
      <c r="H230" s="55"/>
      <c r="I230" s="55"/>
      <c r="J230" s="55"/>
      <c r="K230" s="42">
        <v>718.82</v>
      </c>
      <c r="L230" s="42">
        <v>-140.06</v>
      </c>
      <c r="M230" s="57">
        <v>595.21</v>
      </c>
      <c r="N230" s="57">
        <v>56.4</v>
      </c>
      <c r="O230" s="57">
        <v>133.94999999999999</v>
      </c>
      <c r="P230" s="57">
        <v>394.8</v>
      </c>
      <c r="Q230" s="38"/>
      <c r="R230" s="67">
        <v>0.47</v>
      </c>
      <c r="S230" s="65" t="s">
        <v>93</v>
      </c>
      <c r="T230" s="26" t="s">
        <v>102</v>
      </c>
    </row>
    <row r="231" spans="1:20" hidden="1" outlineLevel="1" x14ac:dyDescent="0.35">
      <c r="A231" s="26" t="s">
        <v>62</v>
      </c>
      <c r="D231" s="52" t="s">
        <v>82</v>
      </c>
      <c r="E231" s="55"/>
      <c r="F231" s="55"/>
      <c r="G231" s="55"/>
      <c r="H231" s="55"/>
      <c r="I231" s="55"/>
      <c r="J231" s="55"/>
      <c r="K231" s="42">
        <v>497.44</v>
      </c>
      <c r="L231" s="42">
        <v>281.12</v>
      </c>
      <c r="M231" s="57">
        <v>619.75</v>
      </c>
      <c r="N231" s="57">
        <v>40.909999999999997</v>
      </c>
      <c r="O231" s="57">
        <v>549.80999999999995</v>
      </c>
      <c r="P231" s="57">
        <v>20.412099999999999</v>
      </c>
      <c r="Q231" s="38"/>
      <c r="R231" s="67">
        <v>0.47</v>
      </c>
      <c r="S231" s="65" t="s">
        <v>93</v>
      </c>
      <c r="T231" s="26" t="s">
        <v>102</v>
      </c>
    </row>
    <row r="232" spans="1:20" hidden="1" outlineLevel="1" x14ac:dyDescent="0.35">
      <c r="A232" s="26" t="s">
        <v>63</v>
      </c>
      <c r="D232" s="52" t="s">
        <v>82</v>
      </c>
      <c r="E232" s="55"/>
      <c r="F232" s="55"/>
      <c r="G232" s="55"/>
      <c r="H232" s="55"/>
      <c r="I232" s="55"/>
      <c r="J232" s="55"/>
      <c r="K232" s="42">
        <v>111.57</v>
      </c>
      <c r="L232" s="42">
        <v>97.02</v>
      </c>
      <c r="M232" s="57">
        <v>288.10000000000002</v>
      </c>
      <c r="N232" s="57">
        <v>45.88</v>
      </c>
      <c r="O232" s="57">
        <v>104.8</v>
      </c>
      <c r="P232" s="57">
        <v>345.00349999999997</v>
      </c>
      <c r="Q232" s="38"/>
      <c r="R232" s="67">
        <v>0.47</v>
      </c>
      <c r="S232" s="65" t="s">
        <v>93</v>
      </c>
      <c r="T232" s="26" t="s">
        <v>102</v>
      </c>
    </row>
    <row r="233" spans="1:20" hidden="1" outlineLevel="1" x14ac:dyDescent="0.35">
      <c r="A233" s="26" t="s">
        <v>64</v>
      </c>
      <c r="D233" s="52" t="s">
        <v>86</v>
      </c>
      <c r="E233" s="55"/>
      <c r="F233" s="55"/>
      <c r="G233" s="55"/>
      <c r="H233" s="55"/>
      <c r="I233" s="55"/>
      <c r="J233" s="55"/>
      <c r="K233" s="42">
        <v>1426.93</v>
      </c>
      <c r="L233" s="42">
        <v>1652.06</v>
      </c>
      <c r="M233" s="57">
        <v>4377.53</v>
      </c>
      <c r="N233" s="57">
        <v>1558.28</v>
      </c>
      <c r="O233" s="57">
        <v>1389.99</v>
      </c>
      <c r="P233" s="57">
        <v>1683.6904</v>
      </c>
      <c r="Q233" s="38"/>
      <c r="R233" s="67">
        <v>0.47</v>
      </c>
      <c r="S233" s="65" t="s">
        <v>93</v>
      </c>
      <c r="T233" s="26" t="s">
        <v>102</v>
      </c>
    </row>
    <row r="234" spans="1:20" hidden="1" outlineLevel="1" x14ac:dyDescent="0.35">
      <c r="A234" s="26" t="s">
        <v>65</v>
      </c>
      <c r="D234" s="52" t="s">
        <v>79</v>
      </c>
      <c r="E234" s="55"/>
      <c r="F234" s="55"/>
      <c r="G234" s="55"/>
      <c r="H234" s="55"/>
      <c r="I234" s="55"/>
      <c r="J234" s="55"/>
      <c r="K234" s="42">
        <v>302.02999999999997</v>
      </c>
      <c r="L234" s="42">
        <v>88.31</v>
      </c>
      <c r="M234" s="57">
        <v>439.69</v>
      </c>
      <c r="N234" s="57">
        <v>44.65</v>
      </c>
      <c r="O234" s="57">
        <v>44.65</v>
      </c>
      <c r="P234" s="57">
        <v>295.79919999999998</v>
      </c>
      <c r="Q234" s="38"/>
      <c r="R234" s="67">
        <v>0.47</v>
      </c>
      <c r="S234" s="65" t="s">
        <v>93</v>
      </c>
      <c r="T234" s="26" t="s">
        <v>102</v>
      </c>
    </row>
    <row r="235" spans="1:20" hidden="1" outlineLevel="1" x14ac:dyDescent="0.35">
      <c r="A235" s="26" t="s">
        <v>13</v>
      </c>
      <c r="D235" s="52" t="s">
        <v>87</v>
      </c>
      <c r="E235" s="55"/>
      <c r="F235" s="55"/>
      <c r="G235" s="55"/>
      <c r="H235" s="55"/>
      <c r="I235" s="55"/>
      <c r="J235" s="55"/>
      <c r="K235" s="42">
        <v>0</v>
      </c>
      <c r="L235" s="42">
        <v>136.38</v>
      </c>
      <c r="M235" s="57">
        <v>136.38</v>
      </c>
      <c r="N235" s="57">
        <v>242.46</v>
      </c>
      <c r="O235" s="57">
        <v>269.44</v>
      </c>
      <c r="P235" s="57">
        <v>279.55599999999998</v>
      </c>
      <c r="Q235" s="38"/>
      <c r="R235" s="67">
        <v>0.47</v>
      </c>
      <c r="S235" s="65" t="s">
        <v>93</v>
      </c>
      <c r="T235" s="26" t="s">
        <v>102</v>
      </c>
    </row>
    <row r="236" spans="1:20" hidden="1" outlineLevel="1" x14ac:dyDescent="0.35">
      <c r="A236" s="26" t="s">
        <v>66</v>
      </c>
      <c r="D236" s="52" t="s">
        <v>85</v>
      </c>
      <c r="E236" s="55"/>
      <c r="F236" s="55"/>
      <c r="G236" s="55"/>
      <c r="H236" s="55"/>
      <c r="I236" s="55"/>
      <c r="J236" s="55"/>
      <c r="K236" s="42">
        <v>263.10000000000002</v>
      </c>
      <c r="L236" s="42">
        <v>144</v>
      </c>
      <c r="M236" s="57">
        <v>1904.13</v>
      </c>
      <c r="N236" s="57">
        <v>527.14</v>
      </c>
      <c r="O236" s="57">
        <v>150.57</v>
      </c>
      <c r="P236" s="57">
        <v>348.93739999999997</v>
      </c>
      <c r="Q236" s="38"/>
      <c r="R236" s="67">
        <v>0.47</v>
      </c>
      <c r="S236" s="65" t="s">
        <v>93</v>
      </c>
      <c r="T236" s="26" t="s">
        <v>102</v>
      </c>
    </row>
    <row r="237" spans="1:20" hidden="1" outlineLevel="1" x14ac:dyDescent="0.35">
      <c r="A237" s="26" t="s">
        <v>14</v>
      </c>
      <c r="D237" s="52" t="s">
        <v>88</v>
      </c>
      <c r="E237" s="55"/>
      <c r="F237" s="55"/>
      <c r="G237" s="55"/>
      <c r="H237" s="55"/>
      <c r="I237" s="55"/>
      <c r="J237" s="55"/>
      <c r="K237" s="42">
        <v>418.3</v>
      </c>
      <c r="L237" s="42">
        <v>646.44000000000005</v>
      </c>
      <c r="M237" s="57">
        <v>1607.4</v>
      </c>
      <c r="N237" s="57">
        <v>731.86</v>
      </c>
      <c r="O237" s="57">
        <v>1058.92</v>
      </c>
      <c r="P237" s="57">
        <v>0</v>
      </c>
      <c r="Q237" s="38"/>
      <c r="R237" s="67">
        <v>0.47</v>
      </c>
      <c r="S237" s="65" t="s">
        <v>93</v>
      </c>
      <c r="T237" s="26" t="s">
        <v>102</v>
      </c>
    </row>
    <row r="238" spans="1:20" hidden="1" outlineLevel="1" x14ac:dyDescent="0.35">
      <c r="D238" s="52"/>
      <c r="F238" s="55"/>
      <c r="G238" s="55"/>
      <c r="H238" s="55"/>
      <c r="I238" s="55"/>
      <c r="J238" s="55"/>
      <c r="K238" s="55"/>
      <c r="L238" s="55"/>
      <c r="M238" s="55"/>
      <c r="N238" s="57"/>
      <c r="O238" s="57"/>
      <c r="P238" s="57"/>
      <c r="Q238" s="59"/>
      <c r="R238" s="38">
        <f>SUM(F238:Q238)</f>
        <v>0</v>
      </c>
      <c r="S238" s="34"/>
      <c r="T238" s="65"/>
    </row>
    <row r="239" spans="1:20" hidden="1" outlineLevel="1" x14ac:dyDescent="0.35">
      <c r="D239" s="52"/>
      <c r="F239" s="56"/>
      <c r="G239" s="56"/>
      <c r="H239" s="56"/>
      <c r="I239" s="56"/>
      <c r="J239" s="56"/>
      <c r="K239" s="56"/>
      <c r="L239" s="56"/>
      <c r="M239" s="56"/>
      <c r="N239" s="60"/>
      <c r="O239" s="60"/>
      <c r="P239" s="60"/>
      <c r="Q239" s="60"/>
      <c r="R239" s="48"/>
      <c r="T239" s="65"/>
    </row>
    <row r="240" spans="1:20" hidden="1" outlineLevel="1" x14ac:dyDescent="0.35"/>
    <row r="241" spans="1:20" s="25" customFormat="1" ht="15" hidden="1" outlineLevel="1" x14ac:dyDescent="0.3">
      <c r="A241" s="25" t="s">
        <v>31</v>
      </c>
      <c r="F241" s="36">
        <f t="shared" ref="F241:M241" si="54">SUM(F204:F239)</f>
        <v>0</v>
      </c>
      <c r="G241" s="36">
        <f t="shared" si="54"/>
        <v>0</v>
      </c>
      <c r="H241" s="36">
        <f t="shared" si="54"/>
        <v>0</v>
      </c>
      <c r="I241" s="36">
        <f t="shared" si="54"/>
        <v>0</v>
      </c>
      <c r="J241" s="36">
        <f t="shared" si="54"/>
        <v>0</v>
      </c>
      <c r="K241" s="36">
        <f t="shared" si="54"/>
        <v>45603.948353999993</v>
      </c>
      <c r="L241" s="36">
        <f>SUM(L204:L239)</f>
        <v>44051.450000000012</v>
      </c>
      <c r="M241" s="36">
        <f t="shared" si="54"/>
        <v>118391.97950099998</v>
      </c>
      <c r="N241" s="36">
        <f>SUM(N204:N240)</f>
        <v>42211.070000000014</v>
      </c>
      <c r="O241" s="36">
        <f>SUM(O204:O239)</f>
        <v>33629.9</v>
      </c>
      <c r="P241" s="36">
        <f>SUM(P204:P239)</f>
        <v>38620.622762000014</v>
      </c>
      <c r="Q241" s="36">
        <f>SUM(Q204:Q239)</f>
        <v>0</v>
      </c>
      <c r="R241" s="36">
        <f>SUM(R204:R239)</f>
        <v>12.794500000000005</v>
      </c>
      <c r="S241" s="36"/>
      <c r="T241" s="36"/>
    </row>
    <row r="242" spans="1:20" s="40" customFormat="1" hidden="1" outlineLevel="1" x14ac:dyDescent="0.35">
      <c r="A242" s="40" t="s">
        <v>33</v>
      </c>
      <c r="G242" s="41" t="e">
        <f>(G241-F241)/F241</f>
        <v>#DIV/0!</v>
      </c>
      <c r="H242" s="41" t="e">
        <f t="shared" ref="H242:P242" si="55">(H241-G241)/G241</f>
        <v>#DIV/0!</v>
      </c>
      <c r="I242" s="41" t="e">
        <f>(I241-H241)/H241</f>
        <v>#DIV/0!</v>
      </c>
      <c r="J242" s="41" t="e">
        <f t="shared" si="55"/>
        <v>#DIV/0!</v>
      </c>
      <c r="K242" s="41" t="e">
        <f t="shared" si="55"/>
        <v>#DIV/0!</v>
      </c>
      <c r="L242" s="41">
        <f t="shared" si="55"/>
        <v>-3.4043068857738702E-2</v>
      </c>
      <c r="M242" s="41">
        <f t="shared" si="55"/>
        <v>1.687584165810659</v>
      </c>
      <c r="N242" s="41">
        <f t="shared" si="55"/>
        <v>-0.64346343242243453</v>
      </c>
      <c r="O242" s="41">
        <f t="shared" si="55"/>
        <v>-0.20329193266126658</v>
      </c>
      <c r="P242" s="41">
        <f t="shared" si="55"/>
        <v>0.14840135599570656</v>
      </c>
      <c r="Q242" s="41">
        <f>(Q241-P241)/P241</f>
        <v>-1</v>
      </c>
    </row>
    <row r="243" spans="1:20" hidden="1" outlineLevel="1" x14ac:dyDescent="0.35"/>
    <row r="244" spans="1:20" hidden="1" outlineLevel="1" x14ac:dyDescent="0.35">
      <c r="K244" s="33">
        <f t="shared" ref="K244:P244" si="56">K164-K149</f>
        <v>43860.839999999967</v>
      </c>
      <c r="L244" s="33">
        <f t="shared" si="56"/>
        <v>46398.989999999991</v>
      </c>
      <c r="M244" s="33">
        <f t="shared" si="56"/>
        <v>24252.559999999998</v>
      </c>
      <c r="N244" s="33">
        <f t="shared" si="56"/>
        <v>45231.979999999981</v>
      </c>
      <c r="O244" s="33">
        <f t="shared" si="56"/>
        <v>33838.660000000033</v>
      </c>
      <c r="P244" s="33">
        <f t="shared" si="56"/>
        <v>40169.789999999979</v>
      </c>
    </row>
    <row r="245" spans="1:20" hidden="1" outlineLevel="1" x14ac:dyDescent="0.35"/>
    <row r="246" spans="1:20" hidden="1" outlineLevel="1" x14ac:dyDescent="0.35">
      <c r="A246" s="66" t="s">
        <v>97</v>
      </c>
    </row>
    <row r="247" spans="1:20" hidden="1" outlineLevel="1" x14ac:dyDescent="0.35">
      <c r="A247" s="26" t="s">
        <v>98</v>
      </c>
    </row>
    <row r="248" spans="1:20" hidden="1" outlineLevel="1" x14ac:dyDescent="0.35">
      <c r="A248" s="26" t="s">
        <v>99</v>
      </c>
    </row>
    <row r="249" spans="1:20" hidden="1" outlineLevel="1" x14ac:dyDescent="0.35">
      <c r="A249" s="26" t="s">
        <v>100</v>
      </c>
    </row>
    <row r="250" spans="1:20" hidden="1" outlineLevel="1" x14ac:dyDescent="0.35">
      <c r="A250" s="26" t="s">
        <v>101</v>
      </c>
    </row>
    <row r="251" spans="1:20" hidden="1" outlineLevel="1" x14ac:dyDescent="0.35"/>
    <row r="252" spans="1:20" collapsed="1" x14ac:dyDescent="0.35"/>
    <row r="256" spans="1:20" s="122" customFormat="1" ht="6.65" customHeight="1" x14ac:dyDescent="0.35"/>
    <row r="257" spans="1:18" x14ac:dyDescent="0.35">
      <c r="A257" s="25" t="s">
        <v>1035</v>
      </c>
    </row>
    <row r="259" spans="1:18" x14ac:dyDescent="0.35">
      <c r="I259" s="51">
        <v>2014</v>
      </c>
      <c r="J259" s="51">
        <v>2015</v>
      </c>
      <c r="K259" s="51">
        <v>2016</v>
      </c>
      <c r="L259" s="51">
        <v>2017</v>
      </c>
      <c r="M259" s="51">
        <v>2018</v>
      </c>
      <c r="N259" s="51">
        <v>2019</v>
      </c>
      <c r="O259" s="51">
        <v>2020</v>
      </c>
      <c r="P259" s="51">
        <v>2021</v>
      </c>
      <c r="Q259" s="51">
        <v>2022</v>
      </c>
      <c r="R259" s="51">
        <v>2023</v>
      </c>
    </row>
    <row r="260" spans="1:18" x14ac:dyDescent="0.35">
      <c r="A260" s="66" t="s">
        <v>6</v>
      </c>
    </row>
    <row r="261" spans="1:18" x14ac:dyDescent="0.35">
      <c r="A261" s="26" t="s">
        <v>7</v>
      </c>
      <c r="I261" s="285">
        <v>3.5000000000000003E-2</v>
      </c>
      <c r="J261" s="285">
        <v>3.5000000000000003E-2</v>
      </c>
      <c r="K261" s="285">
        <v>3.5000000000000003E-2</v>
      </c>
      <c r="L261" s="285">
        <v>3.5000000000000003E-2</v>
      </c>
      <c r="M261" s="285">
        <v>3.5000000000000003E-2</v>
      </c>
      <c r="N261" s="285">
        <v>3.5000000000000003E-2</v>
      </c>
      <c r="O261" s="285">
        <v>3.5000000000000003E-2</v>
      </c>
      <c r="P261" s="285">
        <v>3.5000000000000003E-2</v>
      </c>
      <c r="Q261" s="285">
        <v>3.5000000000000003E-2</v>
      </c>
      <c r="R261" s="285">
        <v>3.5000000000000003E-2</v>
      </c>
    </row>
    <row r="262" spans="1:18" x14ac:dyDescent="0.35">
      <c r="A262" s="26" t="s">
        <v>30</v>
      </c>
      <c r="I262" s="285">
        <v>3.5000000000000003E-2</v>
      </c>
      <c r="J262" s="285">
        <v>3.5000000000000003E-2</v>
      </c>
      <c r="K262" s="285">
        <v>3.5000000000000003E-2</v>
      </c>
      <c r="L262" s="285">
        <v>3.5000000000000003E-2</v>
      </c>
      <c r="M262" s="285">
        <v>3.5000000000000003E-2</v>
      </c>
      <c r="N262" s="285">
        <v>3.5000000000000003E-2</v>
      </c>
      <c r="O262" s="285">
        <v>3.5000000000000003E-2</v>
      </c>
      <c r="P262" s="285">
        <v>3.5000000000000003E-2</v>
      </c>
      <c r="Q262" s="285">
        <v>3.5000000000000003E-2</v>
      </c>
      <c r="R262" s="285">
        <v>3.5000000000000003E-2</v>
      </c>
    </row>
    <row r="263" spans="1:18" x14ac:dyDescent="0.35">
      <c r="A263" s="26" t="s">
        <v>8</v>
      </c>
      <c r="I263" s="285">
        <v>3.5000000000000003E-2</v>
      </c>
      <c r="J263" s="285">
        <v>3.5000000000000003E-2</v>
      </c>
      <c r="K263" s="285">
        <v>3.5000000000000003E-2</v>
      </c>
      <c r="L263" s="285">
        <v>3.5000000000000003E-2</v>
      </c>
      <c r="M263" s="285">
        <v>3.5000000000000003E-2</v>
      </c>
      <c r="N263" s="285">
        <v>3.5000000000000003E-2</v>
      </c>
      <c r="O263" s="285">
        <v>3.5000000000000003E-2</v>
      </c>
      <c r="P263" s="285">
        <v>3.5000000000000003E-2</v>
      </c>
      <c r="Q263" s="285">
        <v>3.5000000000000003E-2</v>
      </c>
      <c r="R263" s="285">
        <v>3.5000000000000003E-2</v>
      </c>
    </row>
    <row r="264" spans="1:18" x14ac:dyDescent="0.35">
      <c r="A264" s="26" t="s">
        <v>9</v>
      </c>
      <c r="I264" s="285">
        <v>3.5000000000000003E-2</v>
      </c>
      <c r="J264" s="285">
        <v>3.5000000000000003E-2</v>
      </c>
      <c r="K264" s="285">
        <v>3.5000000000000003E-2</v>
      </c>
      <c r="L264" s="285">
        <v>3.5000000000000003E-2</v>
      </c>
      <c r="M264" s="285">
        <v>3.5000000000000003E-2</v>
      </c>
      <c r="N264" s="285">
        <v>3.5000000000000003E-2</v>
      </c>
      <c r="O264" s="285">
        <v>3.5000000000000003E-2</v>
      </c>
      <c r="P264" s="285">
        <v>3.5000000000000003E-2</v>
      </c>
      <c r="Q264" s="285">
        <v>3.5000000000000003E-2</v>
      </c>
      <c r="R264" s="285">
        <v>3.5000000000000003E-2</v>
      </c>
    </row>
    <row r="265" spans="1:18" x14ac:dyDescent="0.35">
      <c r="A265" s="26" t="s">
        <v>1034</v>
      </c>
      <c r="I265" s="285">
        <v>3.5000000000000003E-2</v>
      </c>
      <c r="J265" s="285">
        <v>3.5000000000000003E-2</v>
      </c>
      <c r="K265" s="285">
        <v>3.5000000000000003E-2</v>
      </c>
      <c r="L265" s="285">
        <v>3.5000000000000003E-2</v>
      </c>
      <c r="M265" s="285">
        <v>3.5000000000000003E-2</v>
      </c>
      <c r="N265" s="285">
        <v>3.5000000000000003E-2</v>
      </c>
      <c r="O265" s="285">
        <v>3.5000000000000003E-2</v>
      </c>
      <c r="P265" s="285">
        <v>3.5000000000000003E-2</v>
      </c>
      <c r="Q265" s="285">
        <v>3.5000000000000003E-2</v>
      </c>
      <c r="R265" s="285">
        <v>3.5000000000000003E-2</v>
      </c>
    </row>
    <row r="266" spans="1:18" x14ac:dyDescent="0.35">
      <c r="A266" s="26" t="s">
        <v>10</v>
      </c>
      <c r="I266" s="285">
        <v>3.5000000000000003E-2</v>
      </c>
      <c r="J266" s="285">
        <v>3.5000000000000003E-2</v>
      </c>
      <c r="K266" s="285">
        <v>3.5000000000000003E-2</v>
      </c>
      <c r="L266" s="285">
        <v>3.5000000000000003E-2</v>
      </c>
      <c r="M266" s="285">
        <v>3.5000000000000003E-2</v>
      </c>
      <c r="N266" s="285">
        <v>3.5000000000000003E-2</v>
      </c>
      <c r="O266" s="285">
        <v>3.5000000000000003E-2</v>
      </c>
      <c r="P266" s="285">
        <v>3.5000000000000003E-2</v>
      </c>
      <c r="Q266" s="285">
        <v>3.5000000000000003E-2</v>
      </c>
      <c r="R266" s="285">
        <v>3.5000000000000003E-2</v>
      </c>
    </row>
    <row r="267" spans="1:18" x14ac:dyDescent="0.35">
      <c r="A267" s="26" t="s">
        <v>11</v>
      </c>
      <c r="I267" s="285">
        <v>3.5000000000000003E-2</v>
      </c>
      <c r="J267" s="285">
        <v>3.5000000000000003E-2</v>
      </c>
      <c r="K267" s="285">
        <v>3.5000000000000003E-2</v>
      </c>
      <c r="L267" s="285">
        <v>3.5000000000000003E-2</v>
      </c>
      <c r="M267" s="285">
        <v>3.5000000000000003E-2</v>
      </c>
      <c r="N267" s="285">
        <v>3.5000000000000003E-2</v>
      </c>
      <c r="O267" s="285">
        <v>3.5000000000000003E-2</v>
      </c>
      <c r="P267" s="285">
        <v>3.5000000000000003E-2</v>
      </c>
      <c r="Q267" s="285">
        <v>3.5000000000000003E-2</v>
      </c>
      <c r="R267" s="285">
        <v>3.5000000000000003E-2</v>
      </c>
    </row>
    <row r="268" spans="1:18" x14ac:dyDescent="0.35">
      <c r="A268" s="26" t="s">
        <v>12</v>
      </c>
      <c r="I268" s="285">
        <v>3.5000000000000003E-2</v>
      </c>
      <c r="J268" s="285">
        <v>3.5000000000000003E-2</v>
      </c>
      <c r="K268" s="285">
        <v>3.5000000000000003E-2</v>
      </c>
      <c r="L268" s="285">
        <v>3.5000000000000003E-2</v>
      </c>
      <c r="M268" s="285">
        <v>3.5000000000000003E-2</v>
      </c>
      <c r="N268" s="285">
        <v>3.5000000000000003E-2</v>
      </c>
      <c r="O268" s="285">
        <v>3.5000000000000003E-2</v>
      </c>
      <c r="P268" s="285">
        <v>3.5000000000000003E-2</v>
      </c>
      <c r="Q268" s="285">
        <v>3.5000000000000003E-2</v>
      </c>
      <c r="R268" s="285">
        <v>3.5000000000000003E-2</v>
      </c>
    </row>
    <row r="269" spans="1:18" x14ac:dyDescent="0.35">
      <c r="A269" s="26" t="s">
        <v>13</v>
      </c>
      <c r="B269" s="40"/>
      <c r="I269" s="285">
        <v>3.5000000000000003E-2</v>
      </c>
      <c r="J269" s="285">
        <v>3.5000000000000003E-2</v>
      </c>
      <c r="K269" s="285">
        <v>3.5000000000000003E-2</v>
      </c>
      <c r="L269" s="285">
        <v>3.5000000000000003E-2</v>
      </c>
      <c r="M269" s="285">
        <v>3.5000000000000003E-2</v>
      </c>
      <c r="N269" s="285">
        <v>3.5000000000000003E-2</v>
      </c>
      <c r="O269" s="285">
        <v>3.5000000000000003E-2</v>
      </c>
      <c r="P269" s="285">
        <v>3.5000000000000003E-2</v>
      </c>
      <c r="Q269" s="285">
        <v>3.5000000000000003E-2</v>
      </c>
      <c r="R269" s="285">
        <v>3.5000000000000003E-2</v>
      </c>
    </row>
    <row r="270" spans="1:18" x14ac:dyDescent="0.35">
      <c r="A270" s="26" t="s">
        <v>1467</v>
      </c>
      <c r="B270" s="40"/>
      <c r="I270" s="285">
        <v>3.5000000000000003E-2</v>
      </c>
      <c r="J270" s="285">
        <v>3.5000000000000003E-2</v>
      </c>
      <c r="K270" s="285">
        <v>3.5000000000000003E-2</v>
      </c>
      <c r="L270" s="285">
        <v>3.5000000000000003E-2</v>
      </c>
      <c r="M270" s="285">
        <v>3.5000000000000003E-2</v>
      </c>
      <c r="N270" s="285">
        <v>3.5000000000000003E-2</v>
      </c>
      <c r="O270" s="285">
        <v>3.5000000000000003E-2</v>
      </c>
      <c r="P270" s="285">
        <v>3.5000000000000003E-2</v>
      </c>
      <c r="Q270" s="285">
        <v>3.5000000000000003E-2</v>
      </c>
      <c r="R270" s="285">
        <v>3.5000000000000003E-2</v>
      </c>
    </row>
    <row r="271" spans="1:18" x14ac:dyDescent="0.35">
      <c r="A271" s="26" t="s">
        <v>14</v>
      </c>
      <c r="I271" s="285">
        <v>3.5000000000000003E-2</v>
      </c>
      <c r="J271" s="285">
        <v>3.5000000000000003E-2</v>
      </c>
      <c r="K271" s="285">
        <v>3.5000000000000003E-2</v>
      </c>
      <c r="L271" s="285">
        <v>3.5000000000000003E-2</v>
      </c>
      <c r="M271" s="285">
        <v>3.5000000000000003E-2</v>
      </c>
      <c r="N271" s="285">
        <v>3.5000000000000003E-2</v>
      </c>
      <c r="O271" s="285">
        <v>3.5000000000000003E-2</v>
      </c>
      <c r="P271" s="285">
        <v>3.5000000000000003E-2</v>
      </c>
      <c r="Q271" s="285">
        <v>3.5000000000000003E-2</v>
      </c>
      <c r="R271" s="285">
        <v>3.5000000000000003E-2</v>
      </c>
    </row>
    <row r="272" spans="1:18" x14ac:dyDescent="0.35">
      <c r="A272" s="26" t="s">
        <v>15</v>
      </c>
      <c r="I272" s="285">
        <v>3.5000000000000003E-2</v>
      </c>
      <c r="J272" s="285">
        <v>3.5000000000000003E-2</v>
      </c>
      <c r="K272" s="285">
        <v>3.5000000000000003E-2</v>
      </c>
      <c r="L272" s="285">
        <v>3.5000000000000003E-2</v>
      </c>
      <c r="M272" s="285">
        <v>3.5000000000000003E-2</v>
      </c>
      <c r="N272" s="285">
        <v>3.5000000000000003E-2</v>
      </c>
      <c r="O272" s="285">
        <v>3.5000000000000003E-2</v>
      </c>
      <c r="P272" s="285">
        <v>3.5000000000000003E-2</v>
      </c>
      <c r="Q272" s="285">
        <v>3.5000000000000003E-2</v>
      </c>
      <c r="R272" s="285">
        <v>3.5000000000000003E-2</v>
      </c>
    </row>
    <row r="273" spans="1:18" x14ac:dyDescent="0.35">
      <c r="A273" s="26" t="s">
        <v>16</v>
      </c>
      <c r="I273" s="285">
        <v>3.5000000000000003E-2</v>
      </c>
      <c r="J273" s="285">
        <v>3.5000000000000003E-2</v>
      </c>
      <c r="K273" s="285">
        <v>3.5000000000000003E-2</v>
      </c>
      <c r="L273" s="285">
        <v>3.5000000000000003E-2</v>
      </c>
      <c r="M273" s="285">
        <v>3.5000000000000003E-2</v>
      </c>
      <c r="N273" s="285">
        <v>3.5000000000000003E-2</v>
      </c>
      <c r="O273" s="285">
        <v>3.5000000000000003E-2</v>
      </c>
      <c r="P273" s="285">
        <v>3.5000000000000003E-2</v>
      </c>
      <c r="Q273" s="285">
        <v>3.5000000000000003E-2</v>
      </c>
      <c r="R273" s="285">
        <v>3.5000000000000003E-2</v>
      </c>
    </row>
    <row r="274" spans="1:18" x14ac:dyDescent="0.35">
      <c r="A274" s="26" t="s">
        <v>17</v>
      </c>
      <c r="I274" s="285">
        <v>3.5000000000000003E-2</v>
      </c>
      <c r="J274" s="285">
        <v>3.5000000000000003E-2</v>
      </c>
      <c r="K274" s="285">
        <v>3.5000000000000003E-2</v>
      </c>
      <c r="L274" s="285">
        <v>3.5000000000000003E-2</v>
      </c>
      <c r="M274" s="285">
        <v>3.5000000000000003E-2</v>
      </c>
      <c r="N274" s="285">
        <v>3.5000000000000003E-2</v>
      </c>
      <c r="O274" s="285">
        <v>3.5000000000000003E-2</v>
      </c>
      <c r="P274" s="285">
        <v>3.5000000000000003E-2</v>
      </c>
      <c r="Q274" s="285">
        <v>3.5000000000000003E-2</v>
      </c>
      <c r="R274" s="285">
        <v>3.5000000000000003E-2</v>
      </c>
    </row>
    <row r="275" spans="1:18" x14ac:dyDescent="0.35">
      <c r="A275" s="26" t="s">
        <v>1466</v>
      </c>
      <c r="I275" s="529">
        <v>0.03</v>
      </c>
      <c r="J275" s="529">
        <v>0.03</v>
      </c>
      <c r="K275" s="529">
        <v>0.03</v>
      </c>
      <c r="L275" s="529">
        <v>0.03</v>
      </c>
      <c r="M275" s="529">
        <v>0.03</v>
      </c>
      <c r="N275" s="529">
        <v>0.03</v>
      </c>
      <c r="O275" s="529">
        <v>0.03</v>
      </c>
      <c r="P275" s="529">
        <v>0.03</v>
      </c>
      <c r="Q275" s="529">
        <v>0.03</v>
      </c>
      <c r="R275" s="529">
        <v>0.03</v>
      </c>
    </row>
    <row r="276" spans="1:18" x14ac:dyDescent="0.35">
      <c r="A276" s="26" t="s">
        <v>658</v>
      </c>
      <c r="I276" s="566">
        <v>3.5000000000000003E-2</v>
      </c>
      <c r="J276" s="566">
        <v>3.5000000000000003E-2</v>
      </c>
      <c r="K276" s="566">
        <v>3.5000000000000003E-2</v>
      </c>
      <c r="L276" s="566">
        <v>3.5000000000000003E-2</v>
      </c>
      <c r="M276" s="566">
        <v>3.5000000000000003E-2</v>
      </c>
      <c r="N276" s="566">
        <v>3.5000000000000003E-2</v>
      </c>
      <c r="O276" s="566">
        <v>3.5000000000000003E-2</v>
      </c>
      <c r="P276" s="566">
        <v>3.5000000000000003E-2</v>
      </c>
      <c r="Q276" s="566">
        <v>3.5000000000000003E-2</v>
      </c>
      <c r="R276" s="566">
        <v>3.5000000000000003E-2</v>
      </c>
    </row>
    <row r="277" spans="1:18" x14ac:dyDescent="0.35">
      <c r="A277" s="26" t="s">
        <v>34</v>
      </c>
      <c r="I277" s="285">
        <v>3.5000000000000003E-2</v>
      </c>
      <c r="J277" s="285">
        <v>3.5000000000000003E-2</v>
      </c>
      <c r="K277" s="285">
        <v>3.5000000000000003E-2</v>
      </c>
      <c r="L277" s="285">
        <v>3.5000000000000003E-2</v>
      </c>
      <c r="M277" s="285">
        <v>3.5000000000000003E-2</v>
      </c>
      <c r="N277" s="285">
        <v>3.5000000000000003E-2</v>
      </c>
      <c r="O277" s="285">
        <v>3.5000000000000003E-2</v>
      </c>
      <c r="P277" s="285">
        <v>3.5000000000000003E-2</v>
      </c>
      <c r="Q277" s="285">
        <v>3.5000000000000003E-2</v>
      </c>
      <c r="R277" s="285">
        <v>3.5000000000000003E-2</v>
      </c>
    </row>
    <row r="278" spans="1:18" x14ac:dyDescent="0.35">
      <c r="A278" s="26" t="s">
        <v>19</v>
      </c>
      <c r="I278" s="285">
        <v>3.5000000000000003E-2</v>
      </c>
      <c r="J278" s="285">
        <v>3.5000000000000003E-2</v>
      </c>
      <c r="K278" s="285">
        <v>3.5000000000000003E-2</v>
      </c>
      <c r="L278" s="285">
        <v>3.5000000000000003E-2</v>
      </c>
      <c r="M278" s="285">
        <v>3.5000000000000003E-2</v>
      </c>
      <c r="N278" s="285">
        <v>3.5000000000000003E-2</v>
      </c>
      <c r="O278" s="285">
        <v>3.5000000000000003E-2</v>
      </c>
      <c r="P278" s="285">
        <v>3.5000000000000003E-2</v>
      </c>
      <c r="Q278" s="285">
        <v>3.5000000000000003E-2</v>
      </c>
      <c r="R278" s="285">
        <v>3.5000000000000003E-2</v>
      </c>
    </row>
    <row r="279" spans="1:18" x14ac:dyDescent="0.35">
      <c r="A279" s="26" t="s">
        <v>20</v>
      </c>
      <c r="I279" s="285">
        <v>3.5000000000000003E-2</v>
      </c>
      <c r="J279" s="285">
        <v>3.5000000000000003E-2</v>
      </c>
      <c r="K279" s="285">
        <v>3.5000000000000003E-2</v>
      </c>
      <c r="L279" s="285">
        <v>3.5000000000000003E-2</v>
      </c>
      <c r="M279" s="285">
        <v>3.5000000000000003E-2</v>
      </c>
      <c r="N279" s="285">
        <v>3.5000000000000003E-2</v>
      </c>
      <c r="O279" s="285">
        <v>3.5000000000000003E-2</v>
      </c>
      <c r="P279" s="285">
        <v>3.5000000000000003E-2</v>
      </c>
      <c r="Q279" s="285">
        <v>3.5000000000000003E-2</v>
      </c>
      <c r="R279" s="285">
        <v>3.5000000000000003E-2</v>
      </c>
    </row>
    <row r="280" spans="1:18" x14ac:dyDescent="0.35">
      <c r="A280" s="26" t="s">
        <v>21</v>
      </c>
      <c r="I280" s="285">
        <v>3.5000000000000003E-2</v>
      </c>
      <c r="J280" s="285">
        <v>3.5000000000000003E-2</v>
      </c>
      <c r="K280" s="285">
        <v>3.5000000000000003E-2</v>
      </c>
      <c r="L280" s="285">
        <v>3.5000000000000003E-2</v>
      </c>
      <c r="M280" s="285">
        <v>3.5000000000000003E-2</v>
      </c>
      <c r="N280" s="285">
        <v>3.5000000000000003E-2</v>
      </c>
      <c r="O280" s="285">
        <v>3.5000000000000003E-2</v>
      </c>
      <c r="P280" s="285">
        <v>3.5000000000000003E-2</v>
      </c>
      <c r="Q280" s="285">
        <v>3.5000000000000003E-2</v>
      </c>
      <c r="R280" s="285">
        <v>3.5000000000000003E-2</v>
      </c>
    </row>
    <row r="281" spans="1:18" x14ac:dyDescent="0.35">
      <c r="A281" s="26" t="s">
        <v>105</v>
      </c>
      <c r="I281" s="285">
        <v>3.5000000000000003E-2</v>
      </c>
      <c r="J281" s="285">
        <v>3.5000000000000003E-2</v>
      </c>
      <c r="K281" s="285">
        <v>3.5000000000000003E-2</v>
      </c>
      <c r="L281" s="285">
        <v>3.5000000000000003E-2</v>
      </c>
      <c r="M281" s="285">
        <v>3.5000000000000003E-2</v>
      </c>
      <c r="N281" s="285">
        <v>3.5000000000000003E-2</v>
      </c>
      <c r="O281" s="285">
        <v>3.5000000000000003E-2</v>
      </c>
      <c r="P281" s="285">
        <v>3.5000000000000003E-2</v>
      </c>
      <c r="Q281" s="285">
        <v>3.5000000000000003E-2</v>
      </c>
      <c r="R281" s="285">
        <v>3.5000000000000003E-2</v>
      </c>
    </row>
    <row r="282" spans="1:18" x14ac:dyDescent="0.35">
      <c r="A282" s="26" t="s">
        <v>22</v>
      </c>
      <c r="I282" s="285">
        <v>3.5000000000000003E-2</v>
      </c>
      <c r="J282" s="285">
        <v>3.5000000000000003E-2</v>
      </c>
      <c r="K282" s="285">
        <v>3.5000000000000003E-2</v>
      </c>
      <c r="L282" s="285">
        <v>3.5000000000000003E-2</v>
      </c>
      <c r="M282" s="285">
        <v>3.5000000000000003E-2</v>
      </c>
      <c r="N282" s="285">
        <v>3.5000000000000003E-2</v>
      </c>
      <c r="O282" s="285">
        <v>3.5000000000000003E-2</v>
      </c>
      <c r="P282" s="285">
        <v>3.5000000000000003E-2</v>
      </c>
      <c r="Q282" s="285">
        <v>3.5000000000000003E-2</v>
      </c>
      <c r="R282" s="285">
        <v>3.5000000000000003E-2</v>
      </c>
    </row>
    <row r="283" spans="1:18" x14ac:dyDescent="0.35">
      <c r="A283" s="26" t="s">
        <v>23</v>
      </c>
      <c r="I283" s="285">
        <v>3.5000000000000003E-2</v>
      </c>
      <c r="J283" s="285">
        <v>3.5000000000000003E-2</v>
      </c>
      <c r="K283" s="285">
        <v>3.5000000000000003E-2</v>
      </c>
      <c r="L283" s="285">
        <v>3.5000000000000003E-2</v>
      </c>
      <c r="M283" s="285">
        <v>3.5000000000000003E-2</v>
      </c>
      <c r="N283" s="285">
        <v>3.5000000000000003E-2</v>
      </c>
      <c r="O283" s="285">
        <v>3.5000000000000003E-2</v>
      </c>
      <c r="P283" s="285">
        <v>3.5000000000000003E-2</v>
      </c>
      <c r="Q283" s="285">
        <v>3.5000000000000003E-2</v>
      </c>
      <c r="R283" s="285">
        <v>3.5000000000000003E-2</v>
      </c>
    </row>
    <row r="284" spans="1:18" x14ac:dyDescent="0.35">
      <c r="A284" s="26" t="s">
        <v>24</v>
      </c>
      <c r="I284" s="285">
        <v>3.5000000000000003E-2</v>
      </c>
      <c r="J284" s="285">
        <v>3.5000000000000003E-2</v>
      </c>
      <c r="K284" s="285">
        <v>3.5000000000000003E-2</v>
      </c>
      <c r="L284" s="285">
        <v>3.5000000000000003E-2</v>
      </c>
      <c r="M284" s="285">
        <v>3.5000000000000003E-2</v>
      </c>
      <c r="N284" s="285">
        <v>3.5000000000000003E-2</v>
      </c>
      <c r="O284" s="285">
        <v>3.5000000000000003E-2</v>
      </c>
      <c r="P284" s="285">
        <v>3.5000000000000003E-2</v>
      </c>
      <c r="Q284" s="285">
        <v>3.5000000000000003E-2</v>
      </c>
      <c r="R284" s="285">
        <v>3.5000000000000003E-2</v>
      </c>
    </row>
    <row r="285" spans="1:18" x14ac:dyDescent="0.35">
      <c r="A285" s="26" t="s">
        <v>25</v>
      </c>
      <c r="I285" s="285">
        <v>3.5000000000000003E-2</v>
      </c>
      <c r="J285" s="285">
        <v>3.5000000000000003E-2</v>
      </c>
      <c r="K285" s="285">
        <v>3.5000000000000003E-2</v>
      </c>
      <c r="L285" s="285">
        <v>3.5000000000000003E-2</v>
      </c>
      <c r="M285" s="285">
        <v>3.5000000000000003E-2</v>
      </c>
      <c r="N285" s="285">
        <v>3.5000000000000003E-2</v>
      </c>
      <c r="O285" s="285">
        <v>3.5000000000000003E-2</v>
      </c>
      <c r="P285" s="285">
        <v>3.5000000000000003E-2</v>
      </c>
      <c r="Q285" s="285">
        <v>3.5000000000000003E-2</v>
      </c>
      <c r="R285" s="285">
        <v>3.5000000000000003E-2</v>
      </c>
    </row>
    <row r="286" spans="1:18" x14ac:dyDescent="0.35">
      <c r="A286" s="26" t="s">
        <v>26</v>
      </c>
      <c r="I286" s="285">
        <v>3.5000000000000003E-2</v>
      </c>
      <c r="J286" s="285">
        <v>3.5000000000000003E-2</v>
      </c>
      <c r="K286" s="285">
        <v>3.5000000000000003E-2</v>
      </c>
      <c r="L286" s="285">
        <v>3.5000000000000003E-2</v>
      </c>
      <c r="M286" s="285">
        <v>3.5000000000000003E-2</v>
      </c>
      <c r="N286" s="285">
        <v>3.5000000000000003E-2</v>
      </c>
      <c r="O286" s="285">
        <v>3.5000000000000003E-2</v>
      </c>
      <c r="P286" s="285">
        <v>3.5000000000000003E-2</v>
      </c>
      <c r="Q286" s="285">
        <v>3.5000000000000003E-2</v>
      </c>
      <c r="R286" s="285">
        <v>3.5000000000000003E-2</v>
      </c>
    </row>
    <row r="287" spans="1:18" x14ac:dyDescent="0.35">
      <c r="A287" s="26" t="s">
        <v>27</v>
      </c>
      <c r="I287" s="285">
        <v>3.5000000000000003E-2</v>
      </c>
      <c r="J287" s="285">
        <v>3.5000000000000003E-2</v>
      </c>
      <c r="K287" s="285">
        <v>3.5000000000000003E-2</v>
      </c>
      <c r="L287" s="285">
        <v>3.5000000000000003E-2</v>
      </c>
      <c r="M287" s="285">
        <v>3.5000000000000003E-2</v>
      </c>
      <c r="N287" s="285">
        <v>3.5000000000000003E-2</v>
      </c>
      <c r="O287" s="285">
        <v>3.5000000000000003E-2</v>
      </c>
      <c r="P287" s="285">
        <v>3.5000000000000003E-2</v>
      </c>
      <c r="Q287" s="285">
        <v>3.5000000000000003E-2</v>
      </c>
      <c r="R287" s="285">
        <v>3.5000000000000003E-2</v>
      </c>
    </row>
    <row r="288" spans="1:18" x14ac:dyDescent="0.35">
      <c r="A288" s="26" t="s">
        <v>28</v>
      </c>
      <c r="I288" s="285">
        <v>3.5000000000000003E-2</v>
      </c>
      <c r="J288" s="285">
        <v>3.5000000000000003E-2</v>
      </c>
      <c r="K288" s="285">
        <v>3.5000000000000003E-2</v>
      </c>
      <c r="L288" s="285">
        <v>3.5000000000000003E-2</v>
      </c>
      <c r="M288" s="285">
        <v>3.5000000000000003E-2</v>
      </c>
      <c r="N288" s="285">
        <v>3.5000000000000003E-2</v>
      </c>
      <c r="O288" s="285">
        <v>3.5000000000000003E-2</v>
      </c>
      <c r="P288" s="285">
        <v>3.5000000000000003E-2</v>
      </c>
      <c r="Q288" s="285">
        <v>3.5000000000000003E-2</v>
      </c>
      <c r="R288" s="285">
        <v>3.5000000000000003E-2</v>
      </c>
    </row>
    <row r="289" spans="1:18" x14ac:dyDescent="0.35">
      <c r="A289" s="26" t="s">
        <v>29</v>
      </c>
      <c r="I289" s="285">
        <v>3.5000000000000003E-2</v>
      </c>
      <c r="J289" s="285">
        <v>3.5000000000000003E-2</v>
      </c>
      <c r="K289" s="285">
        <v>3.5000000000000003E-2</v>
      </c>
      <c r="L289" s="285">
        <v>3.5000000000000003E-2</v>
      </c>
      <c r="M289" s="285">
        <v>3.5000000000000003E-2</v>
      </c>
      <c r="N289" s="285">
        <v>3.5000000000000003E-2</v>
      </c>
      <c r="O289" s="285">
        <v>3.5000000000000003E-2</v>
      </c>
      <c r="P289" s="285">
        <v>3.5000000000000003E-2</v>
      </c>
      <c r="Q289" s="285">
        <v>3.5000000000000003E-2</v>
      </c>
      <c r="R289" s="285">
        <v>3.5000000000000003E-2</v>
      </c>
    </row>
    <row r="290" spans="1:18" x14ac:dyDescent="0.35">
      <c r="A290" s="26" t="s">
        <v>1124</v>
      </c>
      <c r="I290" s="285">
        <v>3.5000000000000003E-2</v>
      </c>
      <c r="J290" s="285">
        <v>3.5000000000000003E-2</v>
      </c>
      <c r="K290" s="285">
        <v>3.5000000000000003E-2</v>
      </c>
      <c r="L290" s="285">
        <v>3.5000000000000003E-2</v>
      </c>
      <c r="M290" s="285">
        <v>3.5000000000000003E-2</v>
      </c>
      <c r="N290" s="285">
        <v>3.5000000000000003E-2</v>
      </c>
      <c r="O290" s="285">
        <v>3.5000000000000003E-2</v>
      </c>
      <c r="P290" s="285">
        <v>3.5000000000000003E-2</v>
      </c>
      <c r="Q290" s="285">
        <v>3.5000000000000003E-2</v>
      </c>
      <c r="R290" s="285">
        <v>3.5000000000000003E-2</v>
      </c>
    </row>
    <row r="292" spans="1:18" x14ac:dyDescent="0.35">
      <c r="A292" s="66" t="s">
        <v>149</v>
      </c>
    </row>
    <row r="293" spans="1:18" x14ac:dyDescent="0.35">
      <c r="A293" s="73" t="s">
        <v>479</v>
      </c>
      <c r="B293" s="73"/>
      <c r="I293" s="285">
        <v>0.03</v>
      </c>
      <c r="J293" s="285">
        <v>0.03</v>
      </c>
      <c r="K293" s="285">
        <v>0.03</v>
      </c>
      <c r="L293" s="285">
        <v>0.03</v>
      </c>
      <c r="M293" s="285">
        <v>0.03</v>
      </c>
      <c r="N293" s="285">
        <v>0.03</v>
      </c>
      <c r="O293" s="285">
        <v>0.03</v>
      </c>
      <c r="P293" s="285">
        <v>0.03</v>
      </c>
      <c r="Q293" s="285">
        <v>0.03</v>
      </c>
      <c r="R293" s="285">
        <v>0.03</v>
      </c>
    </row>
  </sheetData>
  <mergeCells count="26">
    <mergeCell ref="G112:L112"/>
    <mergeCell ref="G113:L113"/>
    <mergeCell ref="G107:L107"/>
    <mergeCell ref="G108:L108"/>
    <mergeCell ref="G109:L109"/>
    <mergeCell ref="G110:L110"/>
    <mergeCell ref="G104:L104"/>
    <mergeCell ref="G105:L105"/>
    <mergeCell ref="G106:L106"/>
    <mergeCell ref="G111:L111"/>
    <mergeCell ref="G100:L100"/>
    <mergeCell ref="G101:L101"/>
    <mergeCell ref="G102:L102"/>
    <mergeCell ref="G103:L103"/>
    <mergeCell ref="G97:L97"/>
    <mergeCell ref="G98:L98"/>
    <mergeCell ref="G99:L99"/>
    <mergeCell ref="G92:L92"/>
    <mergeCell ref="G93:L93"/>
    <mergeCell ref="G94:L94"/>
    <mergeCell ref="G95:L95"/>
    <mergeCell ref="G87:L87"/>
    <mergeCell ref="G88:L88"/>
    <mergeCell ref="G89:L89"/>
    <mergeCell ref="G90:L90"/>
    <mergeCell ref="G96:L96"/>
  </mergeCells>
  <phoneticPr fontId="7" type="noConversion"/>
  <pageMargins left="0.75" right="0.75" top="1" bottom="1" header="0.5" footer="0.5"/>
  <pageSetup scale="56" orientation="portrait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44"/>
  </sheetPr>
  <dimension ref="A1:AI106"/>
  <sheetViews>
    <sheetView topLeftCell="A16" zoomScaleNormal="100" workbookViewId="0">
      <selection activeCell="M58" sqref="M58"/>
    </sheetView>
  </sheetViews>
  <sheetFormatPr defaultColWidth="8.7265625" defaultRowHeight="15.5" x14ac:dyDescent="0.35"/>
  <cols>
    <col min="1" max="1" width="4.26953125" style="26" customWidth="1"/>
    <col min="2" max="2" width="23.26953125" style="26" customWidth="1"/>
    <col min="3" max="5" width="15.7265625" style="26" customWidth="1"/>
    <col min="6" max="6" width="11" style="26" hidden="1" customWidth="1"/>
    <col min="7" max="7" width="12.7265625" style="26" hidden="1" customWidth="1"/>
    <col min="8" max="8" width="11" style="26" hidden="1" customWidth="1"/>
    <col min="9" max="9" width="15.453125" style="26" hidden="1" customWidth="1"/>
    <col min="10" max="10" width="12.7265625" style="26" hidden="1" customWidth="1"/>
    <col min="11" max="11" width="15.7265625" style="26" hidden="1" customWidth="1"/>
    <col min="12" max="12" width="12.7265625" style="26" customWidth="1"/>
    <col min="13" max="18" width="14.26953125" style="26" customWidth="1"/>
    <col min="19" max="16384" width="8.7265625" style="26"/>
  </cols>
  <sheetData>
    <row r="1" spans="1:13" x14ac:dyDescent="0.35">
      <c r="A1" s="25" t="s">
        <v>4</v>
      </c>
      <c r="B1" s="25"/>
      <c r="C1" s="25"/>
    </row>
    <row r="2" spans="1:13" x14ac:dyDescent="0.35">
      <c r="A2" s="25" t="s">
        <v>109</v>
      </c>
      <c r="B2" s="25"/>
      <c r="C2" s="25"/>
    </row>
    <row r="3" spans="1:13" x14ac:dyDescent="0.35">
      <c r="A3" s="25" t="s">
        <v>221</v>
      </c>
      <c r="B3" s="25"/>
      <c r="C3" s="25"/>
      <c r="H3" s="50"/>
      <c r="M3" s="50" t="s">
        <v>110</v>
      </c>
    </row>
    <row r="4" spans="1:13" x14ac:dyDescent="0.35">
      <c r="A4" s="25"/>
      <c r="B4" s="25"/>
      <c r="C4" s="25"/>
      <c r="H4" s="50"/>
    </row>
    <row r="5" spans="1:13" x14ac:dyDescent="0.35">
      <c r="A5" s="25"/>
      <c r="B5" s="25"/>
      <c r="C5" s="98">
        <v>4809652.01</v>
      </c>
      <c r="D5" s="86"/>
      <c r="E5" s="86"/>
      <c r="F5" s="86"/>
      <c r="G5" s="85"/>
      <c r="H5" s="99">
        <v>2255000</v>
      </c>
      <c r="I5" s="86"/>
      <c r="J5" s="86"/>
      <c r="K5" s="86"/>
      <c r="L5" s="85"/>
      <c r="M5" s="610" t="s">
        <v>117</v>
      </c>
    </row>
    <row r="6" spans="1:13" x14ac:dyDescent="0.35">
      <c r="C6" s="97" t="s">
        <v>118</v>
      </c>
      <c r="D6" s="85"/>
      <c r="E6" s="86"/>
      <c r="F6" s="85"/>
      <c r="G6" s="85"/>
      <c r="H6" s="97" t="s">
        <v>407</v>
      </c>
      <c r="I6" s="85"/>
      <c r="J6" s="86"/>
      <c r="K6" s="85"/>
      <c r="L6" s="85"/>
      <c r="M6" s="611"/>
    </row>
    <row r="7" spans="1:13" x14ac:dyDescent="0.35">
      <c r="B7" s="51" t="s">
        <v>669</v>
      </c>
      <c r="C7" s="51" t="s">
        <v>42</v>
      </c>
      <c r="D7" s="87" t="s">
        <v>43</v>
      </c>
      <c r="E7" s="51" t="s">
        <v>115</v>
      </c>
      <c r="F7" s="51" t="s">
        <v>116</v>
      </c>
      <c r="G7" s="51" t="s">
        <v>44</v>
      </c>
      <c r="H7" s="51" t="s">
        <v>42</v>
      </c>
      <c r="I7" s="87" t="s">
        <v>43</v>
      </c>
      <c r="J7" s="51" t="s">
        <v>115</v>
      </c>
      <c r="K7" s="51" t="s">
        <v>116</v>
      </c>
      <c r="L7" s="51" t="s">
        <v>44</v>
      </c>
      <c r="M7" s="612"/>
    </row>
    <row r="8" spans="1:13" ht="6" customHeight="1" thickBot="1" x14ac:dyDescent="0.4">
      <c r="B8" s="47"/>
      <c r="C8" s="90"/>
      <c r="D8" s="93"/>
      <c r="E8" s="91"/>
      <c r="F8" s="47"/>
      <c r="G8" s="92"/>
      <c r="H8" s="47"/>
      <c r="I8" s="47"/>
      <c r="J8" s="47"/>
      <c r="K8" s="47"/>
      <c r="L8" s="101"/>
      <c r="M8" s="47"/>
    </row>
    <row r="9" spans="1:13" ht="16" thickBot="1" x14ac:dyDescent="0.4">
      <c r="B9" s="94">
        <v>2011</v>
      </c>
      <c r="C9" s="429">
        <v>258447.29</v>
      </c>
      <c r="D9" s="430">
        <v>87534</v>
      </c>
      <c r="E9" s="431">
        <f t="shared" ref="E9:E16" si="0">C9+D9</f>
        <v>345981.29000000004</v>
      </c>
      <c r="F9" s="430">
        <v>4607.05</v>
      </c>
      <c r="G9" s="431">
        <f t="shared" ref="G9:G16" si="1">E9+F9</f>
        <v>350588.34</v>
      </c>
      <c r="H9" s="430">
        <v>0</v>
      </c>
      <c r="I9" s="430">
        <v>0</v>
      </c>
      <c r="J9" s="430">
        <v>0</v>
      </c>
      <c r="K9" s="430">
        <v>0</v>
      </c>
      <c r="L9" s="429">
        <v>0</v>
      </c>
      <c r="M9" s="432">
        <f t="shared" ref="M9:M16" si="2">G9+L9</f>
        <v>350588.34</v>
      </c>
    </row>
    <row r="10" spans="1:13" x14ac:dyDescent="0.35">
      <c r="B10" s="88">
        <v>2012</v>
      </c>
      <c r="C10" s="95">
        <v>268361.58</v>
      </c>
      <c r="D10" s="38">
        <v>77619.7</v>
      </c>
      <c r="E10" s="34">
        <f t="shared" si="0"/>
        <v>345981.28</v>
      </c>
      <c r="F10" s="38">
        <v>4085.24</v>
      </c>
      <c r="G10" s="34">
        <f t="shared" si="1"/>
        <v>350066.52</v>
      </c>
      <c r="H10" s="38">
        <v>0</v>
      </c>
      <c r="I10" s="38">
        <v>0</v>
      </c>
      <c r="J10" s="38">
        <v>0</v>
      </c>
      <c r="K10" s="38">
        <v>0</v>
      </c>
      <c r="L10" s="95">
        <v>0</v>
      </c>
      <c r="M10" s="102">
        <f t="shared" si="2"/>
        <v>350066.52</v>
      </c>
    </row>
    <row r="11" spans="1:13" x14ac:dyDescent="0.35">
      <c r="B11" s="88">
        <v>2013</v>
      </c>
      <c r="C11" s="95">
        <v>278656.2</v>
      </c>
      <c r="D11" s="38">
        <v>67325.08</v>
      </c>
      <c r="E11" s="34">
        <f t="shared" si="0"/>
        <v>345981.28</v>
      </c>
      <c r="F11" s="38">
        <v>3543.42</v>
      </c>
      <c r="G11" s="34">
        <f t="shared" si="1"/>
        <v>349524.7</v>
      </c>
      <c r="H11" s="38">
        <v>0</v>
      </c>
      <c r="I11" s="38">
        <v>0</v>
      </c>
      <c r="J11" s="38">
        <v>0</v>
      </c>
      <c r="K11" s="38">
        <v>0</v>
      </c>
      <c r="L11" s="95">
        <v>0</v>
      </c>
      <c r="M11" s="102">
        <f t="shared" si="2"/>
        <v>349524.7</v>
      </c>
    </row>
    <row r="12" spans="1:13" x14ac:dyDescent="0.35">
      <c r="B12" s="88">
        <v>2014</v>
      </c>
      <c r="C12" s="95">
        <v>289345.74</v>
      </c>
      <c r="D12" s="38">
        <v>56635.54</v>
      </c>
      <c r="E12" s="34">
        <f t="shared" si="0"/>
        <v>345981.27999999997</v>
      </c>
      <c r="F12" s="38">
        <v>2980.81</v>
      </c>
      <c r="G12" s="34">
        <f t="shared" si="1"/>
        <v>348962.08999999997</v>
      </c>
      <c r="H12" s="38">
        <v>0</v>
      </c>
      <c r="I12" s="38">
        <v>0</v>
      </c>
      <c r="J12" s="38">
        <v>0</v>
      </c>
      <c r="K12" s="38">
        <v>0</v>
      </c>
      <c r="L12" s="95">
        <v>0</v>
      </c>
      <c r="M12" s="102">
        <f t="shared" si="2"/>
        <v>348962.08999999997</v>
      </c>
    </row>
    <row r="13" spans="1:13" x14ac:dyDescent="0.35">
      <c r="B13" s="88">
        <v>2015</v>
      </c>
      <c r="C13" s="95">
        <v>300445.33</v>
      </c>
      <c r="D13" s="38">
        <v>45536.15</v>
      </c>
      <c r="E13" s="34">
        <f t="shared" si="0"/>
        <v>345981.48000000004</v>
      </c>
      <c r="F13" s="38">
        <v>2396.63</v>
      </c>
      <c r="G13" s="34">
        <f t="shared" si="1"/>
        <v>348378.11000000004</v>
      </c>
      <c r="H13" s="38">
        <v>0</v>
      </c>
      <c r="I13" s="38">
        <v>0</v>
      </c>
      <c r="J13" s="38">
        <v>0</v>
      </c>
      <c r="K13" s="38">
        <v>0</v>
      </c>
      <c r="L13" s="95">
        <v>0</v>
      </c>
      <c r="M13" s="102">
        <f t="shared" si="2"/>
        <v>348378.11000000004</v>
      </c>
    </row>
    <row r="14" spans="1:13" x14ac:dyDescent="0.35">
      <c r="B14" s="88">
        <v>2016</v>
      </c>
      <c r="C14" s="95">
        <v>311970.71000000002</v>
      </c>
      <c r="D14" s="38">
        <v>34010.57</v>
      </c>
      <c r="E14" s="34">
        <f t="shared" si="0"/>
        <v>345981.28</v>
      </c>
      <c r="F14" s="38">
        <v>1790.03</v>
      </c>
      <c r="G14" s="34">
        <f t="shared" si="1"/>
        <v>347771.31000000006</v>
      </c>
      <c r="H14" s="38">
        <v>0</v>
      </c>
      <c r="I14" s="38">
        <v>0</v>
      </c>
      <c r="J14" s="38">
        <v>0</v>
      </c>
      <c r="K14" s="38">
        <v>0</v>
      </c>
      <c r="L14" s="95">
        <v>0</v>
      </c>
      <c r="M14" s="102">
        <f t="shared" si="2"/>
        <v>347771.31000000006</v>
      </c>
    </row>
    <row r="15" spans="1:13" x14ac:dyDescent="0.35">
      <c r="B15" s="88">
        <v>2017</v>
      </c>
      <c r="C15" s="95">
        <v>323938.21000000002</v>
      </c>
      <c r="D15" s="38">
        <v>22043.06</v>
      </c>
      <c r="E15" s="34">
        <f t="shared" si="0"/>
        <v>345981.27</v>
      </c>
      <c r="F15" s="38">
        <v>1160.1600000000001</v>
      </c>
      <c r="G15" s="34">
        <f t="shared" si="1"/>
        <v>347141.43</v>
      </c>
      <c r="H15" s="38">
        <v>0</v>
      </c>
      <c r="I15" s="38">
        <v>0</v>
      </c>
      <c r="J15" s="38">
        <v>0</v>
      </c>
      <c r="K15" s="38">
        <v>0</v>
      </c>
      <c r="L15" s="95">
        <v>0</v>
      </c>
      <c r="M15" s="102">
        <f t="shared" si="2"/>
        <v>347141.43</v>
      </c>
    </row>
    <row r="16" spans="1:13" x14ac:dyDescent="0.35">
      <c r="B16" s="89">
        <v>2018</v>
      </c>
      <c r="C16" s="96">
        <v>336364.81</v>
      </c>
      <c r="D16" s="39">
        <v>9616.4699999999993</v>
      </c>
      <c r="E16" s="35">
        <f t="shared" si="0"/>
        <v>345981.27999999997</v>
      </c>
      <c r="F16" s="39">
        <v>506.13</v>
      </c>
      <c r="G16" s="35">
        <f t="shared" si="1"/>
        <v>346487.41</v>
      </c>
      <c r="H16" s="39">
        <v>0</v>
      </c>
      <c r="I16" s="39">
        <v>0</v>
      </c>
      <c r="J16" s="39">
        <v>0</v>
      </c>
      <c r="K16" s="39">
        <v>0</v>
      </c>
      <c r="L16" s="96">
        <v>0</v>
      </c>
      <c r="M16" s="103">
        <f t="shared" si="2"/>
        <v>346487.41</v>
      </c>
    </row>
    <row r="17" spans="1:13" x14ac:dyDescent="0.35">
      <c r="B17" s="52"/>
    </row>
    <row r="18" spans="1:13" ht="16" thickBot="1" x14ac:dyDescent="0.4">
      <c r="B18" s="52" t="s">
        <v>44</v>
      </c>
      <c r="C18" s="83">
        <f t="shared" ref="C18:M18" si="3">SUM(C9:C17)</f>
        <v>2367529.87</v>
      </c>
      <c r="D18" s="83">
        <f t="shared" si="3"/>
        <v>400320.57</v>
      </c>
      <c r="E18" s="83">
        <f t="shared" si="3"/>
        <v>2767850.44</v>
      </c>
      <c r="F18" s="83">
        <f t="shared" si="3"/>
        <v>21069.47</v>
      </c>
      <c r="G18" s="83">
        <f t="shared" si="3"/>
        <v>2788919.91</v>
      </c>
      <c r="H18" s="83">
        <f t="shared" si="3"/>
        <v>0</v>
      </c>
      <c r="I18" s="83">
        <f t="shared" si="3"/>
        <v>0</v>
      </c>
      <c r="J18" s="83">
        <f t="shared" si="3"/>
        <v>0</v>
      </c>
      <c r="K18" s="83">
        <f t="shared" si="3"/>
        <v>0</v>
      </c>
      <c r="L18" s="83">
        <f t="shared" si="3"/>
        <v>0</v>
      </c>
      <c r="M18" s="100">
        <f t="shared" si="3"/>
        <v>2788919.91</v>
      </c>
    </row>
    <row r="19" spans="1:13" ht="16" thickTop="1" x14ac:dyDescent="0.35">
      <c r="B19" s="52"/>
    </row>
    <row r="20" spans="1:13" x14ac:dyDescent="0.35">
      <c r="A20" s="84">
        <v>-1</v>
      </c>
      <c r="B20" s="73" t="s">
        <v>119</v>
      </c>
    </row>
    <row r="21" spans="1:13" x14ac:dyDescent="0.35">
      <c r="A21" s="84"/>
      <c r="B21" s="73"/>
    </row>
    <row r="22" spans="1:13" x14ac:dyDescent="0.35">
      <c r="B22" s="52"/>
    </row>
    <row r="23" spans="1:13" x14ac:dyDescent="0.35">
      <c r="B23" s="52"/>
    </row>
    <row r="24" spans="1:13" s="122" customFormat="1" ht="6" customHeight="1" x14ac:dyDescent="0.35">
      <c r="B24" s="151"/>
    </row>
    <row r="25" spans="1:13" x14ac:dyDescent="0.35">
      <c r="A25" s="25" t="s">
        <v>4</v>
      </c>
      <c r="B25" s="25"/>
      <c r="C25" s="25"/>
    </row>
    <row r="26" spans="1:13" x14ac:dyDescent="0.35">
      <c r="A26" s="25" t="s">
        <v>109</v>
      </c>
      <c r="B26" s="25"/>
      <c r="C26" s="25"/>
    </row>
    <row r="27" spans="1:13" x14ac:dyDescent="0.35">
      <c r="A27" s="25" t="s">
        <v>219</v>
      </c>
      <c r="B27" s="25"/>
      <c r="C27" s="25"/>
      <c r="E27" s="50" t="s">
        <v>1593</v>
      </c>
      <c r="H27" s="50"/>
    </row>
    <row r="28" spans="1:13" x14ac:dyDescent="0.35">
      <c r="A28" s="25"/>
      <c r="B28" s="25"/>
      <c r="C28" s="25"/>
      <c r="H28" s="50"/>
    </row>
    <row r="29" spans="1:13" ht="15.65" customHeight="1" x14ac:dyDescent="0.35">
      <c r="A29" s="25"/>
      <c r="B29" s="25"/>
      <c r="C29" s="616">
        <v>4809652.01</v>
      </c>
      <c r="D29" s="614"/>
      <c r="E29" s="615"/>
      <c r="F29" s="616">
        <v>2255000</v>
      </c>
      <c r="G29" s="614"/>
      <c r="H29" s="615"/>
      <c r="I29" s="153"/>
      <c r="J29" s="153"/>
      <c r="K29" s="154"/>
    </row>
    <row r="30" spans="1:13" x14ac:dyDescent="0.35">
      <c r="C30" s="613" t="s">
        <v>118</v>
      </c>
      <c r="D30" s="614"/>
      <c r="E30" s="615"/>
      <c r="F30" s="613" t="s">
        <v>220</v>
      </c>
      <c r="G30" s="614"/>
      <c r="H30" s="615"/>
      <c r="I30" s="613" t="s">
        <v>117</v>
      </c>
      <c r="J30" s="614"/>
      <c r="K30" s="615"/>
    </row>
    <row r="31" spans="1:13" x14ac:dyDescent="0.35">
      <c r="B31" s="51" t="s">
        <v>669</v>
      </c>
      <c r="C31" s="51" t="s">
        <v>42</v>
      </c>
      <c r="D31" s="87" t="s">
        <v>940</v>
      </c>
      <c r="E31" s="51" t="s">
        <v>44</v>
      </c>
      <c r="F31" s="89" t="s">
        <v>42</v>
      </c>
      <c r="G31" s="87" t="s">
        <v>940</v>
      </c>
      <c r="H31" s="89" t="s">
        <v>44</v>
      </c>
      <c r="I31" s="89" t="s">
        <v>42</v>
      </c>
      <c r="J31" s="152" t="s">
        <v>43</v>
      </c>
      <c r="K31" s="89" t="s">
        <v>44</v>
      </c>
    </row>
    <row r="32" spans="1:13" ht="7.9" customHeight="1" x14ac:dyDescent="0.35">
      <c r="B32" s="47"/>
      <c r="C32" s="157"/>
      <c r="D32" s="93"/>
      <c r="E32" s="47"/>
      <c r="F32" s="47"/>
      <c r="G32" s="47"/>
      <c r="H32" s="47"/>
      <c r="I32" s="47"/>
      <c r="J32" s="47"/>
      <c r="K32" s="47"/>
    </row>
    <row r="33" spans="1:11" hidden="1" x14ac:dyDescent="0.35">
      <c r="B33" s="88">
        <v>2011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469">
        <f>C33+F33</f>
        <v>0</v>
      </c>
      <c r="J33" s="469">
        <f>D33+G33</f>
        <v>0</v>
      </c>
      <c r="K33" s="469">
        <f t="shared" ref="K33:K40" si="4">I33+J33</f>
        <v>0</v>
      </c>
    </row>
    <row r="34" spans="1:11" hidden="1" x14ac:dyDescent="0.35">
      <c r="B34" s="88">
        <v>2012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/>
      <c r="J34" s="38"/>
      <c r="K34" s="38">
        <f t="shared" si="4"/>
        <v>0</v>
      </c>
    </row>
    <row r="35" spans="1:11" x14ac:dyDescent="0.35">
      <c r="B35" s="88">
        <v>2013</v>
      </c>
      <c r="C35" s="156">
        <v>278656.2</v>
      </c>
      <c r="D35" s="156">
        <v>70868.5</v>
      </c>
      <c r="E35" s="156">
        <f>C35+D35</f>
        <v>349524.7</v>
      </c>
      <c r="F35" s="38">
        <v>0</v>
      </c>
      <c r="G35" s="38">
        <v>0</v>
      </c>
      <c r="H35" s="38">
        <v>0</v>
      </c>
      <c r="I35" s="38">
        <f>C35</f>
        <v>278656.2</v>
      </c>
      <c r="J35" s="38">
        <f>D35</f>
        <v>70868.5</v>
      </c>
      <c r="K35" s="38">
        <f t="shared" si="4"/>
        <v>349524.7</v>
      </c>
    </row>
    <row r="36" spans="1:11" x14ac:dyDescent="0.35">
      <c r="B36" s="88">
        <v>2014</v>
      </c>
      <c r="C36" s="38">
        <v>289345.74</v>
      </c>
      <c r="D36" s="38">
        <v>59616.35</v>
      </c>
      <c r="E36" s="156">
        <f>C36+D36</f>
        <v>348962.08999999997</v>
      </c>
      <c r="F36" s="38">
        <v>0</v>
      </c>
      <c r="G36" s="38">
        <v>0</v>
      </c>
      <c r="H36" s="38">
        <v>0</v>
      </c>
      <c r="I36" s="38">
        <f t="shared" ref="I36:I40" si="5">C36</f>
        <v>289345.74</v>
      </c>
      <c r="J36" s="38">
        <f t="shared" ref="J36:J40" si="6">D36</f>
        <v>59616.35</v>
      </c>
      <c r="K36" s="156">
        <f t="shared" si="4"/>
        <v>348962.08999999997</v>
      </c>
    </row>
    <row r="37" spans="1:11" x14ac:dyDescent="0.35">
      <c r="B37" s="89">
        <v>2015</v>
      </c>
      <c r="C37" s="39">
        <v>300445.33</v>
      </c>
      <c r="D37" s="39">
        <v>47932.78</v>
      </c>
      <c r="E37" s="155">
        <f>C37+D37</f>
        <v>348378.11</v>
      </c>
      <c r="F37" s="39">
        <v>0</v>
      </c>
      <c r="G37" s="39">
        <v>0</v>
      </c>
      <c r="H37" s="39">
        <v>0</v>
      </c>
      <c r="I37" s="39">
        <f t="shared" si="5"/>
        <v>300445.33</v>
      </c>
      <c r="J37" s="39">
        <f t="shared" si="6"/>
        <v>47932.78</v>
      </c>
      <c r="K37" s="155">
        <f t="shared" si="4"/>
        <v>348378.11</v>
      </c>
    </row>
    <row r="38" spans="1:11" hidden="1" x14ac:dyDescent="0.35">
      <c r="B38" s="88">
        <v>2016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f t="shared" si="5"/>
        <v>0</v>
      </c>
      <c r="J38" s="38">
        <f t="shared" si="6"/>
        <v>0</v>
      </c>
      <c r="K38" s="156">
        <f t="shared" si="4"/>
        <v>0</v>
      </c>
    </row>
    <row r="39" spans="1:11" hidden="1" x14ac:dyDescent="0.35">
      <c r="B39" s="88">
        <v>2017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f t="shared" si="5"/>
        <v>0</v>
      </c>
      <c r="J39" s="38">
        <f t="shared" si="6"/>
        <v>0</v>
      </c>
      <c r="K39" s="156">
        <f t="shared" si="4"/>
        <v>0</v>
      </c>
    </row>
    <row r="40" spans="1:11" hidden="1" x14ac:dyDescent="0.35">
      <c r="B40" s="89">
        <v>2018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f t="shared" si="5"/>
        <v>0</v>
      </c>
      <c r="J40" s="39">
        <f t="shared" si="6"/>
        <v>0</v>
      </c>
      <c r="K40" s="155">
        <f t="shared" si="4"/>
        <v>0</v>
      </c>
    </row>
    <row r="41" spans="1:11" x14ac:dyDescent="0.35">
      <c r="B41" s="52"/>
    </row>
    <row r="42" spans="1:11" ht="16" thickBot="1" x14ac:dyDescent="0.4">
      <c r="B42" s="52" t="s">
        <v>44</v>
      </c>
      <c r="C42" s="83">
        <f t="shared" ref="C42:K42" si="7">SUM(C33:C41)</f>
        <v>868447.27</v>
      </c>
      <c r="D42" s="83">
        <f t="shared" si="7"/>
        <v>178417.63</v>
      </c>
      <c r="E42" s="83">
        <f t="shared" si="7"/>
        <v>1046864.9</v>
      </c>
      <c r="F42" s="83">
        <f t="shared" si="7"/>
        <v>0</v>
      </c>
      <c r="G42" s="83">
        <f t="shared" si="7"/>
        <v>0</v>
      </c>
      <c r="H42" s="83">
        <f t="shared" si="7"/>
        <v>0</v>
      </c>
      <c r="I42" s="83">
        <f t="shared" si="7"/>
        <v>868447.27</v>
      </c>
      <c r="J42" s="83">
        <f t="shared" si="7"/>
        <v>178417.63</v>
      </c>
      <c r="K42" s="83">
        <f t="shared" si="7"/>
        <v>1046864.9</v>
      </c>
    </row>
    <row r="43" spans="1:11" ht="16" thickTop="1" x14ac:dyDescent="0.35">
      <c r="B43" s="52"/>
    </row>
    <row r="44" spans="1:11" x14ac:dyDescent="0.35">
      <c r="A44" s="73" t="s">
        <v>117</v>
      </c>
      <c r="E44" s="33">
        <f>E42</f>
        <v>1046864.9</v>
      </c>
      <c r="H44" s="33">
        <f>H42</f>
        <v>0</v>
      </c>
    </row>
    <row r="45" spans="1:11" ht="6" customHeight="1" x14ac:dyDescent="0.35">
      <c r="B45" s="52"/>
    </row>
    <row r="46" spans="1:11" x14ac:dyDescent="0.35">
      <c r="A46" s="73" t="s">
        <v>222</v>
      </c>
      <c r="E46" s="357">
        <v>1</v>
      </c>
      <c r="H46" s="357">
        <v>1</v>
      </c>
    </row>
    <row r="47" spans="1:11" ht="6.65" customHeight="1" x14ac:dyDescent="0.35">
      <c r="B47" s="52"/>
    </row>
    <row r="48" spans="1:11" x14ac:dyDescent="0.35">
      <c r="A48" s="73" t="s">
        <v>223</v>
      </c>
      <c r="E48" s="33">
        <f>E44*E46</f>
        <v>1046864.9</v>
      </c>
      <c r="H48" s="128">
        <f>H44*H46</f>
        <v>0</v>
      </c>
    </row>
    <row r="49" spans="1:16" ht="9" customHeight="1" x14ac:dyDescent="0.35">
      <c r="B49" s="52"/>
    </row>
    <row r="50" spans="1:16" x14ac:dyDescent="0.35">
      <c r="A50" s="25" t="s">
        <v>224</v>
      </c>
      <c r="B50" s="27"/>
      <c r="C50" s="25"/>
      <c r="D50" s="25"/>
      <c r="E50" s="36">
        <f>E48+H48</f>
        <v>1046864.9</v>
      </c>
      <c r="F50" s="25"/>
      <c r="G50" s="25"/>
    </row>
    <row r="51" spans="1:16" ht="8.65" customHeight="1" x14ac:dyDescent="0.35">
      <c r="B51" s="52"/>
    </row>
    <row r="52" spans="1:16" x14ac:dyDescent="0.35">
      <c r="A52" s="25" t="s">
        <v>225</v>
      </c>
      <c r="B52" s="52"/>
      <c r="E52" s="425">
        <f>IF(P52=1,0,E50/3)</f>
        <v>348954.96666666667</v>
      </c>
      <c r="N52" s="26" t="s">
        <v>1032</v>
      </c>
      <c r="P52" s="424">
        <v>2</v>
      </c>
    </row>
    <row r="53" spans="1:16" x14ac:dyDescent="0.35">
      <c r="B53" s="52"/>
    </row>
    <row r="54" spans="1:16" x14ac:dyDescent="0.35">
      <c r="B54" s="52"/>
      <c r="N54" s="73" t="s">
        <v>1101</v>
      </c>
    </row>
    <row r="55" spans="1:16" x14ac:dyDescent="0.35">
      <c r="A55" s="84">
        <v>-1</v>
      </c>
      <c r="B55" s="73" t="s">
        <v>1670</v>
      </c>
    </row>
    <row r="56" spans="1:16" x14ac:dyDescent="0.35">
      <c r="A56" s="84"/>
      <c r="B56" s="73"/>
    </row>
    <row r="57" spans="1:16" x14ac:dyDescent="0.35">
      <c r="B57" s="52"/>
    </row>
    <row r="58" spans="1:16" x14ac:dyDescent="0.35">
      <c r="B58" s="52"/>
    </row>
    <row r="60" spans="1:16" s="122" customFormat="1" ht="4.1500000000000004" customHeight="1" x14ac:dyDescent="0.35"/>
    <row r="61" spans="1:16" x14ac:dyDescent="0.35">
      <c r="A61" s="25" t="s">
        <v>39</v>
      </c>
    </row>
    <row r="62" spans="1:16" x14ac:dyDescent="0.35">
      <c r="A62" s="25" t="s">
        <v>40</v>
      </c>
    </row>
    <row r="63" spans="1:16" x14ac:dyDescent="0.35">
      <c r="L63" s="34">
        <f>L69+L70</f>
        <v>47932.78</v>
      </c>
    </row>
    <row r="64" spans="1:16" ht="48" customHeight="1" x14ac:dyDescent="0.35">
      <c r="F64" s="433"/>
    </row>
    <row r="65" spans="1:35" x14ac:dyDescent="0.35">
      <c r="F65" s="51">
        <v>2009</v>
      </c>
      <c r="G65" s="51">
        <v>2010</v>
      </c>
      <c r="H65" s="51">
        <v>2011</v>
      </c>
      <c r="I65" s="51">
        <v>2012</v>
      </c>
      <c r="J65" s="51">
        <v>2013</v>
      </c>
      <c r="K65" s="51">
        <v>2014</v>
      </c>
      <c r="L65" s="51">
        <v>2015</v>
      </c>
      <c r="M65" s="51">
        <v>2016</v>
      </c>
      <c r="N65" s="51">
        <v>2017</v>
      </c>
      <c r="O65" s="51">
        <v>2018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7" spans="1:35" x14ac:dyDescent="0.35">
      <c r="A67" s="25" t="s">
        <v>41</v>
      </c>
    </row>
    <row r="68" spans="1:35" x14ac:dyDescent="0.35">
      <c r="B68" s="26" t="s">
        <v>42</v>
      </c>
      <c r="F68" s="45">
        <v>235234.52</v>
      </c>
      <c r="G68" s="45">
        <v>248899.27</v>
      </c>
      <c r="H68" s="45">
        <v>248899.27</v>
      </c>
      <c r="I68" s="33">
        <f t="shared" ref="I68:O70" si="8">IF($P$52=1,0,I88)</f>
        <v>268361.58</v>
      </c>
      <c r="J68" s="33">
        <f t="shared" si="8"/>
        <v>278656.2</v>
      </c>
      <c r="K68" s="33">
        <f t="shared" si="8"/>
        <v>289345.74</v>
      </c>
      <c r="L68" s="33">
        <f t="shared" si="8"/>
        <v>300445.33</v>
      </c>
      <c r="M68" s="33">
        <f t="shared" si="8"/>
        <v>311970.70999999996</v>
      </c>
      <c r="N68" s="33">
        <f t="shared" si="8"/>
        <v>323938.20999999996</v>
      </c>
      <c r="O68" s="33">
        <f t="shared" si="8"/>
        <v>336364.81</v>
      </c>
      <c r="P68" s="33"/>
      <c r="Q68" s="33"/>
      <c r="R68" s="33"/>
    </row>
    <row r="69" spans="1:35" x14ac:dyDescent="0.35">
      <c r="B69" s="26" t="s">
        <v>43</v>
      </c>
      <c r="F69" s="42">
        <v>120746.76</v>
      </c>
      <c r="G69" s="42">
        <v>97082.01</v>
      </c>
      <c r="H69" s="42">
        <v>97082.01</v>
      </c>
      <c r="I69" s="34">
        <f t="shared" si="8"/>
        <v>77619.7</v>
      </c>
      <c r="J69" s="34">
        <f t="shared" si="8"/>
        <v>67325.08</v>
      </c>
      <c r="K69" s="34">
        <f t="shared" si="8"/>
        <v>56635.54</v>
      </c>
      <c r="L69" s="34">
        <f t="shared" si="8"/>
        <v>45536.15</v>
      </c>
      <c r="M69" s="34">
        <f t="shared" si="8"/>
        <v>34010.57</v>
      </c>
      <c r="N69" s="34">
        <f t="shared" si="8"/>
        <v>22043.059999999998</v>
      </c>
      <c r="O69" s="34">
        <f t="shared" si="8"/>
        <v>9616.4700000000012</v>
      </c>
      <c r="P69" s="34"/>
      <c r="Q69" s="34"/>
      <c r="R69" s="34"/>
    </row>
    <row r="70" spans="1:35" x14ac:dyDescent="0.35">
      <c r="B70" s="26" t="s">
        <v>116</v>
      </c>
      <c r="F70" s="43">
        <v>5828.77</v>
      </c>
      <c r="G70" s="43">
        <v>5109.58</v>
      </c>
      <c r="H70" s="43">
        <v>5109.58</v>
      </c>
      <c r="I70" s="35">
        <f t="shared" si="8"/>
        <v>4085.24</v>
      </c>
      <c r="J70" s="35">
        <f t="shared" si="8"/>
        <v>3543.42</v>
      </c>
      <c r="K70" s="35">
        <f t="shared" si="8"/>
        <v>2980.81</v>
      </c>
      <c r="L70" s="35">
        <f t="shared" si="8"/>
        <v>2396.63</v>
      </c>
      <c r="M70" s="35">
        <f t="shared" si="8"/>
        <v>1790.03</v>
      </c>
      <c r="N70" s="35">
        <f t="shared" si="8"/>
        <v>1160.1600000000001</v>
      </c>
      <c r="O70" s="35">
        <f t="shared" si="8"/>
        <v>506.13</v>
      </c>
      <c r="P70" s="34"/>
      <c r="Q70" s="34"/>
      <c r="R70" s="34"/>
    </row>
    <row r="71" spans="1:35" x14ac:dyDescent="0.35">
      <c r="A71" s="26" t="s">
        <v>44</v>
      </c>
      <c r="F71" s="33">
        <f>SUM(F68:F69)</f>
        <v>355981.27999999997</v>
      </c>
      <c r="G71" s="33">
        <f>SUM(G68:G69)</f>
        <v>345981.27999999997</v>
      </c>
      <c r="H71" s="33">
        <f>SUM(H68:H69)</f>
        <v>345981.27999999997</v>
      </c>
      <c r="I71" s="33">
        <f>SUM(I68:I70)</f>
        <v>350066.52</v>
      </c>
      <c r="J71" s="33">
        <f t="shared" ref="J71:O71" si="9">SUM(J68:J70)</f>
        <v>349524.7</v>
      </c>
      <c r="K71" s="33">
        <f t="shared" si="9"/>
        <v>348962.08999999997</v>
      </c>
      <c r="L71" s="33">
        <f t="shared" si="9"/>
        <v>348378.11000000004</v>
      </c>
      <c r="M71" s="33">
        <f t="shared" si="9"/>
        <v>347771.31</v>
      </c>
      <c r="N71" s="33">
        <f t="shared" si="9"/>
        <v>347141.42999999993</v>
      </c>
      <c r="O71" s="33">
        <f t="shared" si="9"/>
        <v>346487.41000000003</v>
      </c>
    </row>
    <row r="73" spans="1:35" x14ac:dyDescent="0.35">
      <c r="A73" s="25" t="s">
        <v>217</v>
      </c>
      <c r="I73" s="34"/>
      <c r="J73" s="34"/>
      <c r="K73" s="34"/>
    </row>
    <row r="74" spans="1:35" x14ac:dyDescent="0.35">
      <c r="B74" s="26" t="s">
        <v>42</v>
      </c>
      <c r="F74" s="45">
        <v>125000</v>
      </c>
      <c r="G74" s="45">
        <v>160000</v>
      </c>
      <c r="H74" s="45">
        <v>0</v>
      </c>
    </row>
    <row r="75" spans="1:35" x14ac:dyDescent="0.35">
      <c r="B75" s="26" t="s">
        <v>43</v>
      </c>
      <c r="F75" s="42">
        <v>15932.5</v>
      </c>
      <c r="G75" s="42">
        <v>7120</v>
      </c>
      <c r="H75" s="42">
        <v>0</v>
      </c>
    </row>
    <row r="76" spans="1:35" x14ac:dyDescent="0.35">
      <c r="B76" s="26" t="s">
        <v>408</v>
      </c>
      <c r="F76" s="42">
        <v>1024.1300000000001</v>
      </c>
      <c r="G76" s="42">
        <v>452.04</v>
      </c>
      <c r="H76" s="42">
        <v>0</v>
      </c>
    </row>
    <row r="77" spans="1:35" x14ac:dyDescent="0.35">
      <c r="B77" s="26" t="s">
        <v>45</v>
      </c>
      <c r="F77" s="43">
        <v>207.54</v>
      </c>
      <c r="G77" s="43">
        <v>91.6</v>
      </c>
      <c r="H77" s="43">
        <v>0</v>
      </c>
    </row>
    <row r="78" spans="1:35" x14ac:dyDescent="0.35">
      <c r="A78" s="26" t="s">
        <v>44</v>
      </c>
      <c r="F78" s="33">
        <f>SUM(F74:F77)</f>
        <v>142164.17000000001</v>
      </c>
      <c r="G78" s="33">
        <f>SUM(G74:G77)</f>
        <v>167663.64000000001</v>
      </c>
      <c r="H78" s="33">
        <f>SUM(H74:H77)</f>
        <v>0</v>
      </c>
    </row>
    <row r="81" spans="1:15" s="25" customFormat="1" ht="15" x14ac:dyDescent="0.3">
      <c r="A81" s="25" t="s">
        <v>46</v>
      </c>
      <c r="F81" s="36">
        <f>F71+F78</f>
        <v>498145.44999999995</v>
      </c>
      <c r="G81" s="36">
        <f t="shared" ref="G81:O81" si="10">G71+G78</f>
        <v>513644.92</v>
      </c>
      <c r="H81" s="36">
        <f t="shared" si="10"/>
        <v>345981.27999999997</v>
      </c>
      <c r="I81" s="36">
        <f t="shared" si="10"/>
        <v>350066.52</v>
      </c>
      <c r="J81" s="36">
        <f t="shared" si="10"/>
        <v>349524.7</v>
      </c>
      <c r="K81" s="36">
        <f t="shared" si="10"/>
        <v>348962.08999999997</v>
      </c>
      <c r="L81" s="36">
        <f t="shared" si="10"/>
        <v>348378.11000000004</v>
      </c>
      <c r="M81" s="36">
        <f t="shared" si="10"/>
        <v>347771.31</v>
      </c>
      <c r="N81" s="36">
        <f t="shared" si="10"/>
        <v>347141.42999999993</v>
      </c>
      <c r="O81" s="36">
        <f t="shared" si="10"/>
        <v>346487.41000000003</v>
      </c>
    </row>
    <row r="82" spans="1:15" s="40" customFormat="1" x14ac:dyDescent="0.35">
      <c r="A82" s="40" t="s">
        <v>33</v>
      </c>
      <c r="G82" s="41">
        <f>(G81-F81)/F81</f>
        <v>3.1114346221570492E-2</v>
      </c>
      <c r="H82" s="41">
        <f t="shared" ref="H82:O82" si="11">(H81-G81)/G81</f>
        <v>-0.32641934821432678</v>
      </c>
      <c r="I82" s="41">
        <f t="shared" si="11"/>
        <v>1.1807690866974217E-2</v>
      </c>
      <c r="J82" s="41">
        <f t="shared" si="11"/>
        <v>-1.5477629794474689E-3</v>
      </c>
      <c r="K82" s="41">
        <f t="shared" si="11"/>
        <v>-1.6096430381030132E-3</v>
      </c>
      <c r="L82" s="41">
        <f t="shared" si="11"/>
        <v>-1.6734769097695489E-3</v>
      </c>
      <c r="M82" s="41">
        <f t="shared" si="11"/>
        <v>-1.741785670747357E-3</v>
      </c>
      <c r="N82" s="41">
        <f t="shared" si="11"/>
        <v>-1.8111902330300417E-3</v>
      </c>
      <c r="O82" s="41">
        <f t="shared" si="11"/>
        <v>-1.8840159758514055E-3</v>
      </c>
    </row>
    <row r="85" spans="1:15" x14ac:dyDescent="0.35">
      <c r="A85" s="148"/>
    </row>
    <row r="86" spans="1:15" ht="17.649999999999999" customHeight="1" x14ac:dyDescent="0.35">
      <c r="F86" s="52"/>
    </row>
    <row r="87" spans="1:15" x14ac:dyDescent="0.35">
      <c r="A87" s="25" t="s">
        <v>41</v>
      </c>
    </row>
    <row r="88" spans="1:15" x14ac:dyDescent="0.35">
      <c r="B88" s="26" t="s">
        <v>42</v>
      </c>
      <c r="F88" s="33"/>
      <c r="H88" s="45">
        <v>258447.29</v>
      </c>
      <c r="I88" s="45">
        <v>268361.58</v>
      </c>
      <c r="J88" s="45">
        <f>138016.94+140639.26</f>
        <v>278656.2</v>
      </c>
      <c r="K88" s="45">
        <f>143311.41+146034.33</f>
        <v>289345.74</v>
      </c>
      <c r="L88" s="45">
        <f>148808.98+151636.35</f>
        <v>300445.33</v>
      </c>
      <c r="M88" s="45">
        <f>154517.44+157453.27</f>
        <v>311970.70999999996</v>
      </c>
      <c r="N88" s="45">
        <f>160444.88+163493.33</f>
        <v>323938.20999999996</v>
      </c>
      <c r="O88" s="45">
        <f>166599.71+169765.1</f>
        <v>336364.81</v>
      </c>
    </row>
    <row r="89" spans="1:15" x14ac:dyDescent="0.35">
      <c r="B89" s="26" t="s">
        <v>43</v>
      </c>
      <c r="F89" s="34"/>
      <c r="H89" s="42">
        <v>87534</v>
      </c>
      <c r="I89" s="42">
        <v>77619.7</v>
      </c>
      <c r="J89" s="42">
        <f>34973.7+32351.38</f>
        <v>67325.08</v>
      </c>
      <c r="K89" s="42">
        <f>29679.23+26956.31</f>
        <v>56635.54</v>
      </c>
      <c r="L89" s="42">
        <f>24181.86+21354.29</f>
        <v>45536.15</v>
      </c>
      <c r="M89" s="42">
        <f>18473.2+15537.37</f>
        <v>34010.57</v>
      </c>
      <c r="N89" s="42">
        <f>12545.76+9497.3</f>
        <v>22043.059999999998</v>
      </c>
      <c r="O89" s="42">
        <f>6390.93+3225.54</f>
        <v>9616.4700000000012</v>
      </c>
    </row>
    <row r="90" spans="1:15" x14ac:dyDescent="0.35">
      <c r="B90" s="26" t="s">
        <v>116</v>
      </c>
      <c r="F90" s="33"/>
      <c r="H90" s="43">
        <v>4607.05</v>
      </c>
      <c r="I90" s="43">
        <v>4085.24</v>
      </c>
      <c r="J90" s="43">
        <v>3543.42</v>
      </c>
      <c r="K90" s="43">
        <v>2980.81</v>
      </c>
      <c r="L90" s="43">
        <v>2396.63</v>
      </c>
      <c r="M90" s="43">
        <v>1790.03</v>
      </c>
      <c r="N90" s="43">
        <v>1160.1600000000001</v>
      </c>
      <c r="O90" s="43">
        <v>506.13</v>
      </c>
    </row>
    <row r="91" spans="1:15" ht="9" customHeight="1" x14ac:dyDescent="0.35"/>
    <row r="95" spans="1:15" x14ac:dyDescent="0.35">
      <c r="A95" s="25"/>
    </row>
    <row r="96" spans="1:15" x14ac:dyDescent="0.35">
      <c r="F96" s="33"/>
    </row>
    <row r="97" spans="1:6" x14ac:dyDescent="0.35">
      <c r="F97" s="34"/>
    </row>
    <row r="98" spans="1:6" x14ac:dyDescent="0.35">
      <c r="F98" s="33"/>
    </row>
    <row r="99" spans="1:6" ht="6" customHeight="1" x14ac:dyDescent="0.35">
      <c r="F99" s="33"/>
    </row>
    <row r="100" spans="1:6" x14ac:dyDescent="0.35">
      <c r="F100" s="33"/>
    </row>
    <row r="101" spans="1:6" x14ac:dyDescent="0.35">
      <c r="F101" s="33"/>
    </row>
    <row r="102" spans="1:6" x14ac:dyDescent="0.35">
      <c r="A102" s="25"/>
      <c r="F102" s="36"/>
    </row>
    <row r="103" spans="1:6" x14ac:dyDescent="0.35">
      <c r="F103" s="33"/>
    </row>
    <row r="104" spans="1:6" x14ac:dyDescent="0.35">
      <c r="F104" s="33"/>
    </row>
    <row r="105" spans="1:6" x14ac:dyDescent="0.35">
      <c r="F105" s="33"/>
    </row>
    <row r="106" spans="1:6" x14ac:dyDescent="0.35">
      <c r="A106" s="84"/>
    </row>
  </sheetData>
  <mergeCells count="6">
    <mergeCell ref="M5:M7"/>
    <mergeCell ref="C30:E30"/>
    <mergeCell ref="C29:E29"/>
    <mergeCell ref="F29:H29"/>
    <mergeCell ref="F30:H30"/>
    <mergeCell ref="I30:K30"/>
  </mergeCells>
  <phoneticPr fontId="7" type="noConversion"/>
  <pageMargins left="0.75" right="0.75" top="1" bottom="1" header="0.5" footer="0.5"/>
  <pageSetup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44"/>
  </sheetPr>
  <dimension ref="A1:AN163"/>
  <sheetViews>
    <sheetView topLeftCell="A22" zoomScaleNormal="100" workbookViewId="0">
      <selection activeCell="H51" sqref="H51"/>
    </sheetView>
  </sheetViews>
  <sheetFormatPr defaultColWidth="8.7265625" defaultRowHeight="15.5" outlineLevelCol="1" x14ac:dyDescent="0.35"/>
  <cols>
    <col min="1" max="1" width="3.7265625" style="26" customWidth="1"/>
    <col min="2" max="2" width="15.7265625" style="26" customWidth="1"/>
    <col min="3" max="3" width="8.7265625" style="26"/>
    <col min="4" max="4" width="39.26953125" style="26" customWidth="1"/>
    <col min="5" max="5" width="13.26953125" style="26" customWidth="1"/>
    <col min="6" max="6" width="13.7265625" style="26" customWidth="1"/>
    <col min="7" max="9" width="13.7265625" style="26" customWidth="1" outlineLevel="1"/>
    <col min="10" max="11" width="15.453125" style="26" bestFit="1" customWidth="1" outlineLevel="1"/>
    <col min="12" max="12" width="3" style="26" customWidth="1"/>
    <col min="13" max="13" width="15.7265625" style="26" bestFit="1" customWidth="1"/>
    <col min="14" max="40" width="13.26953125" style="26" customWidth="1"/>
    <col min="41" max="16384" width="8.7265625" style="26"/>
  </cols>
  <sheetData>
    <row r="1" spans="1:14" x14ac:dyDescent="0.35">
      <c r="A1" s="25" t="s">
        <v>4</v>
      </c>
      <c r="B1" s="25"/>
      <c r="C1" s="25"/>
    </row>
    <row r="2" spans="1:14" x14ac:dyDescent="0.35">
      <c r="A2" s="25" t="s">
        <v>109</v>
      </c>
      <c r="B2" s="25"/>
      <c r="C2" s="25"/>
    </row>
    <row r="3" spans="1:14" x14ac:dyDescent="0.35">
      <c r="A3" s="25" t="s">
        <v>134</v>
      </c>
      <c r="B3" s="25"/>
      <c r="C3" s="25"/>
      <c r="M3" s="50" t="s">
        <v>1594</v>
      </c>
      <c r="N3" s="589"/>
    </row>
    <row r="4" spans="1:14" ht="16" thickBot="1" x14ac:dyDescent="0.4"/>
    <row r="5" spans="1:14" ht="46.15" customHeight="1" x14ac:dyDescent="0.35">
      <c r="E5" s="111">
        <v>2012</v>
      </c>
    </row>
    <row r="6" spans="1:14" x14ac:dyDescent="0.35">
      <c r="B6" s="316"/>
      <c r="E6" s="112" t="s">
        <v>139</v>
      </c>
      <c r="F6" s="446" t="s">
        <v>37</v>
      </c>
      <c r="G6" s="51">
        <v>2014</v>
      </c>
      <c r="H6" s="51">
        <v>2015</v>
      </c>
      <c r="I6" s="51">
        <v>2016</v>
      </c>
      <c r="J6" s="51">
        <v>2017</v>
      </c>
      <c r="K6" s="51">
        <v>2018</v>
      </c>
      <c r="L6" s="88"/>
      <c r="M6" s="51" t="s">
        <v>44</v>
      </c>
    </row>
    <row r="7" spans="1:14" ht="8.65" customHeight="1" x14ac:dyDescent="0.35">
      <c r="E7" s="135"/>
    </row>
    <row r="8" spans="1:14" x14ac:dyDescent="0.35">
      <c r="A8" s="25" t="s">
        <v>133</v>
      </c>
      <c r="E8" s="136"/>
    </row>
    <row r="9" spans="1:14" x14ac:dyDescent="0.35">
      <c r="B9" s="26" t="s">
        <v>1166</v>
      </c>
      <c r="E9" s="137">
        <v>276425.21999999997</v>
      </c>
      <c r="F9" s="450">
        <v>110000</v>
      </c>
      <c r="G9" s="450">
        <v>0</v>
      </c>
      <c r="H9" s="450">
        <v>0</v>
      </c>
      <c r="I9" s="450">
        <v>0</v>
      </c>
      <c r="J9" s="450">
        <v>0</v>
      </c>
      <c r="K9" s="451">
        <v>0</v>
      </c>
      <c r="L9" s="33"/>
      <c r="M9" s="37">
        <f>SUM(E9:K9)</f>
        <v>386425.22</v>
      </c>
    </row>
    <row r="10" spans="1:14" x14ac:dyDescent="0.35">
      <c r="B10" s="26" t="s">
        <v>1483</v>
      </c>
      <c r="E10" s="138">
        <v>445904.41</v>
      </c>
      <c r="F10" s="353">
        <v>20000</v>
      </c>
      <c r="G10" s="353">
        <v>0</v>
      </c>
      <c r="H10" s="353">
        <v>0</v>
      </c>
      <c r="I10" s="353">
        <v>0</v>
      </c>
      <c r="J10" s="353">
        <v>0</v>
      </c>
      <c r="K10" s="486">
        <v>0</v>
      </c>
      <c r="L10" s="33"/>
      <c r="M10" s="38">
        <f>SUM(E10:K10)</f>
        <v>465904.41</v>
      </c>
    </row>
    <row r="11" spans="1:14" x14ac:dyDescent="0.35">
      <c r="B11" s="26" t="s">
        <v>1170</v>
      </c>
      <c r="E11" s="138">
        <v>42936.59</v>
      </c>
      <c r="F11" s="353">
        <v>300000</v>
      </c>
      <c r="G11" s="353">
        <v>0</v>
      </c>
      <c r="H11" s="353">
        <v>0</v>
      </c>
      <c r="I11" s="353">
        <v>0</v>
      </c>
      <c r="J11" s="353">
        <v>0</v>
      </c>
      <c r="K11" s="486">
        <v>0</v>
      </c>
      <c r="L11" s="33"/>
      <c r="M11" s="38">
        <f t="shared" ref="M11:M20" si="0">SUM(E11:K11)</f>
        <v>342936.58999999997</v>
      </c>
    </row>
    <row r="12" spans="1:14" x14ac:dyDescent="0.35">
      <c r="B12" s="26" t="s">
        <v>1068</v>
      </c>
      <c r="E12" s="138">
        <v>380343.5</v>
      </c>
      <c r="F12" s="353">
        <v>0</v>
      </c>
      <c r="G12" s="353">
        <v>0</v>
      </c>
      <c r="H12" s="353">
        <v>0</v>
      </c>
      <c r="I12" s="353">
        <v>0</v>
      </c>
      <c r="J12" s="353">
        <v>0</v>
      </c>
      <c r="K12" s="486">
        <v>0</v>
      </c>
      <c r="L12" s="33"/>
      <c r="M12" s="38">
        <f>SUM(E12:K12)</f>
        <v>380343.5</v>
      </c>
    </row>
    <row r="13" spans="1:14" x14ac:dyDescent="0.35">
      <c r="B13" s="26" t="s">
        <v>1469</v>
      </c>
      <c r="E13" s="138">
        <v>13017.57</v>
      </c>
      <c r="F13" s="353">
        <v>35000</v>
      </c>
      <c r="G13" s="353">
        <v>0</v>
      </c>
      <c r="H13" s="353">
        <v>0</v>
      </c>
      <c r="I13" s="353">
        <v>0</v>
      </c>
      <c r="J13" s="353">
        <v>0</v>
      </c>
      <c r="K13" s="486">
        <v>0</v>
      </c>
      <c r="L13" s="33"/>
      <c r="M13" s="38">
        <f t="shared" si="0"/>
        <v>48017.57</v>
      </c>
    </row>
    <row r="14" spans="1:14" x14ac:dyDescent="0.35">
      <c r="B14" s="26" t="s">
        <v>1067</v>
      </c>
      <c r="E14" s="138">
        <v>30996.11</v>
      </c>
      <c r="F14" s="353">
        <v>300000</v>
      </c>
      <c r="G14" s="353">
        <v>30000</v>
      </c>
      <c r="H14" s="353">
        <v>0</v>
      </c>
      <c r="I14" s="353">
        <v>0</v>
      </c>
      <c r="J14" s="353">
        <v>0</v>
      </c>
      <c r="K14" s="486">
        <v>0</v>
      </c>
      <c r="L14" s="33"/>
      <c r="M14" s="38">
        <f t="shared" si="0"/>
        <v>360996.11</v>
      </c>
    </row>
    <row r="15" spans="1:14" x14ac:dyDescent="0.35">
      <c r="B15" s="26" t="s">
        <v>1069</v>
      </c>
      <c r="E15" s="138">
        <v>0</v>
      </c>
      <c r="F15" s="353">
        <v>115000</v>
      </c>
      <c r="G15" s="353">
        <v>0</v>
      </c>
      <c r="H15" s="353">
        <v>0</v>
      </c>
      <c r="I15" s="353">
        <v>0</v>
      </c>
      <c r="J15" s="353">
        <v>0</v>
      </c>
      <c r="K15" s="486">
        <v>0</v>
      </c>
      <c r="L15" s="34"/>
      <c r="M15" s="38">
        <f t="shared" si="0"/>
        <v>115000</v>
      </c>
    </row>
    <row r="16" spans="1:14" x14ac:dyDescent="0.35">
      <c r="B16" s="26" t="s">
        <v>1470</v>
      </c>
      <c r="E16" s="138">
        <v>13822.64</v>
      </c>
      <c r="F16" s="353">
        <v>30000</v>
      </c>
      <c r="G16" s="353">
        <v>0</v>
      </c>
      <c r="H16" s="353">
        <v>0</v>
      </c>
      <c r="I16" s="353">
        <v>0</v>
      </c>
      <c r="J16" s="353">
        <v>0</v>
      </c>
      <c r="K16" s="486">
        <v>0</v>
      </c>
      <c r="L16" s="34"/>
      <c r="M16" s="38">
        <f t="shared" si="0"/>
        <v>43822.64</v>
      </c>
    </row>
    <row r="17" spans="2:13" x14ac:dyDescent="0.35">
      <c r="B17" s="26" t="s">
        <v>1471</v>
      </c>
      <c r="E17" s="138">
        <v>3713.41</v>
      </c>
      <c r="F17" s="353">
        <v>90000</v>
      </c>
      <c r="G17" s="353">
        <v>0</v>
      </c>
      <c r="H17" s="353">
        <v>0</v>
      </c>
      <c r="I17" s="353">
        <v>0</v>
      </c>
      <c r="J17" s="353">
        <v>0</v>
      </c>
      <c r="K17" s="486">
        <v>0</v>
      </c>
      <c r="L17" s="34"/>
      <c r="M17" s="38">
        <f t="shared" si="0"/>
        <v>93713.41</v>
      </c>
    </row>
    <row r="18" spans="2:13" x14ac:dyDescent="0.35">
      <c r="B18" s="26" t="s">
        <v>1472</v>
      </c>
      <c r="E18" s="591">
        <v>265182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486">
        <v>0</v>
      </c>
      <c r="L18" s="34"/>
      <c r="M18" s="38">
        <f t="shared" si="0"/>
        <v>265182</v>
      </c>
    </row>
    <row r="19" spans="2:13" x14ac:dyDescent="0.35">
      <c r="B19" s="26" t="s">
        <v>1473</v>
      </c>
      <c r="E19" s="591">
        <v>113571</v>
      </c>
      <c r="F19" s="353">
        <v>5000</v>
      </c>
      <c r="G19" s="353">
        <v>0</v>
      </c>
      <c r="H19" s="353">
        <v>0</v>
      </c>
      <c r="I19" s="353">
        <v>0</v>
      </c>
      <c r="J19" s="353">
        <v>0</v>
      </c>
      <c r="K19" s="486">
        <v>0</v>
      </c>
      <c r="L19" s="34"/>
      <c r="M19" s="38">
        <f t="shared" si="0"/>
        <v>118571</v>
      </c>
    </row>
    <row r="20" spans="2:13" x14ac:dyDescent="0.35">
      <c r="B20" s="26" t="s">
        <v>1474</v>
      </c>
      <c r="E20" s="138">
        <v>136931.67000000001</v>
      </c>
      <c r="F20" s="353">
        <v>0</v>
      </c>
      <c r="G20" s="353">
        <v>0</v>
      </c>
      <c r="H20" s="353">
        <v>0</v>
      </c>
      <c r="I20" s="353">
        <v>0</v>
      </c>
      <c r="J20" s="353">
        <v>0</v>
      </c>
      <c r="K20" s="486">
        <v>0</v>
      </c>
      <c r="L20" s="34"/>
      <c r="M20" s="38">
        <f t="shared" si="0"/>
        <v>136931.67000000001</v>
      </c>
    </row>
    <row r="21" spans="2:13" x14ac:dyDescent="0.35">
      <c r="B21" s="26" t="s">
        <v>1475</v>
      </c>
      <c r="E21" s="138">
        <v>2053.2800000000002</v>
      </c>
      <c r="F21" s="353">
        <v>10000</v>
      </c>
      <c r="G21" s="353"/>
      <c r="H21" s="353">
        <v>0</v>
      </c>
      <c r="I21" s="353">
        <v>0</v>
      </c>
      <c r="J21" s="353">
        <v>0</v>
      </c>
      <c r="K21" s="486">
        <v>0</v>
      </c>
      <c r="L21" s="34"/>
      <c r="M21" s="38">
        <f t="shared" ref="M21:M33" si="1">SUM(E21:L21)</f>
        <v>12053.28</v>
      </c>
    </row>
    <row r="22" spans="2:13" x14ac:dyDescent="0.35">
      <c r="B22" s="26" t="s">
        <v>1476</v>
      </c>
      <c r="E22" s="138">
        <v>4310.7</v>
      </c>
      <c r="F22" s="353">
        <v>70000</v>
      </c>
      <c r="G22" s="353">
        <v>0</v>
      </c>
      <c r="H22" s="353">
        <v>0</v>
      </c>
      <c r="I22" s="353">
        <v>0</v>
      </c>
      <c r="J22" s="353">
        <v>0</v>
      </c>
      <c r="K22" s="486">
        <v>0</v>
      </c>
      <c r="L22" s="34"/>
      <c r="M22" s="38">
        <f t="shared" si="1"/>
        <v>74310.7</v>
      </c>
    </row>
    <row r="23" spans="2:13" x14ac:dyDescent="0.35">
      <c r="B23" s="26" t="s">
        <v>1477</v>
      </c>
      <c r="E23" s="138">
        <v>5753.2</v>
      </c>
      <c r="F23" s="353">
        <v>5000</v>
      </c>
      <c r="G23" s="353">
        <v>0</v>
      </c>
      <c r="H23" s="353">
        <v>0</v>
      </c>
      <c r="I23" s="353">
        <v>0</v>
      </c>
      <c r="J23" s="353">
        <v>0</v>
      </c>
      <c r="K23" s="486">
        <v>0</v>
      </c>
      <c r="L23" s="34"/>
      <c r="M23" s="38">
        <f t="shared" si="1"/>
        <v>10753.2</v>
      </c>
    </row>
    <row r="24" spans="2:13" x14ac:dyDescent="0.35">
      <c r="B24" s="26" t="s">
        <v>1478</v>
      </c>
      <c r="E24" s="138">
        <v>25632.799999999999</v>
      </c>
      <c r="F24" s="353">
        <v>400000</v>
      </c>
      <c r="G24" s="353">
        <v>200000</v>
      </c>
      <c r="H24" s="353">
        <v>0</v>
      </c>
      <c r="I24" s="353">
        <v>0</v>
      </c>
      <c r="J24" s="353">
        <v>0</v>
      </c>
      <c r="K24" s="486">
        <v>0</v>
      </c>
      <c r="L24" s="34"/>
      <c r="M24" s="38">
        <f t="shared" si="1"/>
        <v>625632.80000000005</v>
      </c>
    </row>
    <row r="25" spans="2:13" x14ac:dyDescent="0.35">
      <c r="B25" s="26" t="s">
        <v>1168</v>
      </c>
      <c r="E25" s="138">
        <v>0</v>
      </c>
      <c r="F25" s="353">
        <v>600000</v>
      </c>
      <c r="G25" s="353">
        <v>400000</v>
      </c>
      <c r="H25" s="353">
        <v>0</v>
      </c>
      <c r="I25" s="353">
        <v>0</v>
      </c>
      <c r="J25" s="353">
        <v>0</v>
      </c>
      <c r="K25" s="486"/>
      <c r="L25" s="34"/>
      <c r="M25" s="38">
        <f t="shared" si="1"/>
        <v>1000000</v>
      </c>
    </row>
    <row r="26" spans="2:13" x14ac:dyDescent="0.35">
      <c r="B26" s="26" t="s">
        <v>1167</v>
      </c>
      <c r="E26" s="138">
        <v>0</v>
      </c>
      <c r="F26" s="353">
        <v>0</v>
      </c>
      <c r="G26" s="353">
        <v>300000</v>
      </c>
      <c r="H26" s="353">
        <v>0</v>
      </c>
      <c r="I26" s="353">
        <v>0</v>
      </c>
      <c r="J26" s="353">
        <v>0</v>
      </c>
      <c r="K26" s="486"/>
      <c r="L26" s="34"/>
      <c r="M26" s="38">
        <f t="shared" si="1"/>
        <v>300000</v>
      </c>
    </row>
    <row r="27" spans="2:13" x14ac:dyDescent="0.35">
      <c r="B27" s="26" t="s">
        <v>1169</v>
      </c>
      <c r="E27" s="138">
        <v>0</v>
      </c>
      <c r="F27" s="353">
        <v>200000</v>
      </c>
      <c r="G27" s="353">
        <v>0</v>
      </c>
      <c r="H27" s="353">
        <v>0</v>
      </c>
      <c r="I27" s="353">
        <v>0</v>
      </c>
      <c r="J27" s="353">
        <v>0</v>
      </c>
      <c r="K27" s="486"/>
      <c r="L27" s="34"/>
      <c r="M27" s="38">
        <f t="shared" si="1"/>
        <v>200000</v>
      </c>
    </row>
    <row r="28" spans="2:13" x14ac:dyDescent="0.35">
      <c r="B28" s="26" t="s">
        <v>1479</v>
      </c>
      <c r="E28" s="138">
        <v>0</v>
      </c>
      <c r="F28" s="353">
        <v>0</v>
      </c>
      <c r="G28" s="353">
        <v>0</v>
      </c>
      <c r="H28" s="353">
        <v>0</v>
      </c>
      <c r="I28" s="353">
        <v>100000</v>
      </c>
      <c r="J28" s="353">
        <v>0</v>
      </c>
      <c r="K28" s="486"/>
      <c r="L28" s="34"/>
      <c r="M28" s="38">
        <f t="shared" si="1"/>
        <v>100000</v>
      </c>
    </row>
    <row r="29" spans="2:13" x14ac:dyDescent="0.35">
      <c r="B29" s="26" t="s">
        <v>1070</v>
      </c>
      <c r="E29" s="138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486"/>
      <c r="L29" s="34"/>
      <c r="M29" s="38">
        <f t="shared" si="1"/>
        <v>0</v>
      </c>
    </row>
    <row r="30" spans="2:13" x14ac:dyDescent="0.35">
      <c r="B30" s="26" t="s">
        <v>1171</v>
      </c>
      <c r="E30" s="138">
        <v>0</v>
      </c>
      <c r="F30" s="353">
        <v>0</v>
      </c>
      <c r="G30" s="353">
        <v>0</v>
      </c>
      <c r="H30" s="353">
        <v>50000</v>
      </c>
      <c r="I30" s="353">
        <v>250000</v>
      </c>
      <c r="J30" s="353">
        <v>0</v>
      </c>
      <c r="K30" s="486"/>
      <c r="L30" s="34"/>
      <c r="M30" s="38">
        <f t="shared" si="1"/>
        <v>300000</v>
      </c>
    </row>
    <row r="31" spans="2:13" x14ac:dyDescent="0.35">
      <c r="B31" s="26" t="s">
        <v>1071</v>
      </c>
      <c r="E31" s="138">
        <v>0</v>
      </c>
      <c r="F31" s="353">
        <v>0</v>
      </c>
      <c r="G31" s="353">
        <v>200000</v>
      </c>
      <c r="H31" s="353">
        <v>200000</v>
      </c>
      <c r="I31" s="353">
        <v>200000</v>
      </c>
      <c r="J31" s="353">
        <v>0</v>
      </c>
      <c r="K31" s="486"/>
      <c r="L31" s="34"/>
      <c r="M31" s="38">
        <f t="shared" si="1"/>
        <v>600000</v>
      </c>
    </row>
    <row r="32" spans="2:13" x14ac:dyDescent="0.35">
      <c r="B32" s="26" t="s">
        <v>1172</v>
      </c>
      <c r="E32" s="138">
        <v>0</v>
      </c>
      <c r="F32" s="353">
        <v>0</v>
      </c>
      <c r="G32" s="353">
        <v>300000</v>
      </c>
      <c r="H32" s="353">
        <v>400000</v>
      </c>
      <c r="I32" s="353">
        <v>400000</v>
      </c>
      <c r="J32" s="353">
        <v>0</v>
      </c>
      <c r="K32" s="486">
        <v>0</v>
      </c>
      <c r="L32" s="34"/>
      <c r="M32" s="38">
        <f t="shared" si="1"/>
        <v>1100000</v>
      </c>
    </row>
    <row r="33" spans="1:13" x14ac:dyDescent="0.35">
      <c r="B33" s="26" t="s">
        <v>1072</v>
      </c>
      <c r="E33" s="138">
        <v>0</v>
      </c>
      <c r="F33" s="353">
        <v>0</v>
      </c>
      <c r="G33" s="353">
        <v>100000</v>
      </c>
      <c r="H33" s="353">
        <v>100000</v>
      </c>
      <c r="I33" s="353">
        <v>100000</v>
      </c>
      <c r="J33" s="353">
        <v>0</v>
      </c>
      <c r="K33" s="486">
        <v>0</v>
      </c>
      <c r="L33" s="34"/>
      <c r="M33" s="38">
        <f t="shared" si="1"/>
        <v>300000</v>
      </c>
    </row>
    <row r="34" spans="1:13" x14ac:dyDescent="0.35">
      <c r="B34" s="26" t="s">
        <v>1480</v>
      </c>
      <c r="E34" s="140">
        <v>0</v>
      </c>
      <c r="F34" s="354">
        <v>0</v>
      </c>
      <c r="G34" s="354">
        <v>0</v>
      </c>
      <c r="H34" s="526">
        <v>400000</v>
      </c>
      <c r="I34" s="526">
        <v>150000</v>
      </c>
      <c r="J34" s="526">
        <v>1300000</v>
      </c>
      <c r="K34" s="567">
        <v>1400000</v>
      </c>
      <c r="L34" s="34"/>
      <c r="M34" s="39">
        <f>SUM(E34:K34)</f>
        <v>3250000</v>
      </c>
    </row>
    <row r="35" spans="1:13" x14ac:dyDescent="0.35">
      <c r="E35" s="136"/>
    </row>
    <row r="36" spans="1:13" x14ac:dyDescent="0.35">
      <c r="A36" s="26" t="s">
        <v>135</v>
      </c>
      <c r="E36" s="142">
        <f t="shared" ref="E36:K36" si="2">SUM(E9:E35)</f>
        <v>1760594.0999999996</v>
      </c>
      <c r="F36" s="33">
        <f t="shared" si="2"/>
        <v>2290000</v>
      </c>
      <c r="G36" s="33">
        <f t="shared" si="2"/>
        <v>1530000</v>
      </c>
      <c r="H36" s="33">
        <f t="shared" si="2"/>
        <v>1150000</v>
      </c>
      <c r="I36" s="33">
        <f t="shared" si="2"/>
        <v>1200000</v>
      </c>
      <c r="J36" s="470">
        <f t="shared" si="2"/>
        <v>1300000</v>
      </c>
      <c r="K36" s="470">
        <f t="shared" si="2"/>
        <v>1400000</v>
      </c>
      <c r="L36" s="33"/>
      <c r="M36" s="33">
        <f>SUM(M9:M35)</f>
        <v>10630594.100000001</v>
      </c>
    </row>
    <row r="37" spans="1:13" x14ac:dyDescent="0.35">
      <c r="E37" s="136"/>
    </row>
    <row r="38" spans="1:13" x14ac:dyDescent="0.35">
      <c r="A38" s="25" t="s">
        <v>136</v>
      </c>
      <c r="E38" s="136"/>
    </row>
    <row r="39" spans="1:13" x14ac:dyDescent="0.35">
      <c r="B39" s="26" t="s">
        <v>137</v>
      </c>
      <c r="E39" s="137">
        <v>709043.59999999963</v>
      </c>
      <c r="F39" s="448">
        <v>502539.14231741382</v>
      </c>
      <c r="G39" s="450">
        <v>1031736.0416571419</v>
      </c>
      <c r="H39" s="450">
        <v>855043</v>
      </c>
      <c r="I39" s="450">
        <v>1200000</v>
      </c>
      <c r="J39" s="222">
        <f>'Test Year Detail'!L44</f>
        <v>1293141.668145238</v>
      </c>
      <c r="K39" s="569">
        <f>'Test Year Detail'!M44</f>
        <v>1338408.3348119047</v>
      </c>
      <c r="L39" s="33"/>
      <c r="M39" s="37">
        <f t="shared" ref="M39:M44" si="3">SUM(E39:L39)</f>
        <v>6929911.7869316982</v>
      </c>
    </row>
    <row r="40" spans="1:13" x14ac:dyDescent="0.35">
      <c r="B40" s="26" t="s">
        <v>228</v>
      </c>
      <c r="E40" s="138">
        <v>0</v>
      </c>
      <c r="F40" s="34">
        <f>Reserves!G19</f>
        <v>421726.76768258633</v>
      </c>
      <c r="G40" s="34">
        <f>Reserves!H19</f>
        <v>48263.958342858125</v>
      </c>
      <c r="H40" s="34">
        <f>Reserves!I19</f>
        <v>0</v>
      </c>
      <c r="I40" s="34">
        <f>Reserves!J19</f>
        <v>0</v>
      </c>
      <c r="J40" s="34">
        <f>Reserves!K19</f>
        <v>6858.3318547620438</v>
      </c>
      <c r="K40" s="568">
        <f>Reserves!L19</f>
        <v>61591.6651880953</v>
      </c>
      <c r="L40" s="33"/>
      <c r="M40" s="38">
        <f t="shared" si="3"/>
        <v>538440.7230683018</v>
      </c>
    </row>
    <row r="41" spans="1:13" x14ac:dyDescent="0.35">
      <c r="B41" s="26" t="s">
        <v>1173</v>
      </c>
      <c r="E41" s="138">
        <v>164820.57</v>
      </c>
      <c r="F41" s="42">
        <v>785000</v>
      </c>
      <c r="G41" s="42">
        <v>450000</v>
      </c>
      <c r="H41" s="42">
        <v>294957</v>
      </c>
      <c r="I41" s="42">
        <v>0</v>
      </c>
      <c r="J41" s="42">
        <v>0</v>
      </c>
      <c r="K41" s="139">
        <v>0</v>
      </c>
      <c r="L41" s="34"/>
      <c r="M41" s="38">
        <f t="shared" si="3"/>
        <v>1694777.57</v>
      </c>
    </row>
    <row r="42" spans="1:13" x14ac:dyDescent="0.35">
      <c r="B42" s="26" t="s">
        <v>1174</v>
      </c>
      <c r="E42" s="138">
        <v>886729.93</v>
      </c>
      <c r="F42" s="42">
        <v>580734.09</v>
      </c>
      <c r="G42" s="42">
        <v>0</v>
      </c>
      <c r="H42" s="42"/>
      <c r="I42" s="42"/>
      <c r="J42" s="42"/>
      <c r="K42" s="139"/>
      <c r="L42" s="34"/>
      <c r="M42" s="38">
        <f t="shared" si="3"/>
        <v>1467464.02</v>
      </c>
    </row>
    <row r="43" spans="1:13" x14ac:dyDescent="0.35">
      <c r="B43" s="26" t="s">
        <v>188</v>
      </c>
      <c r="E43" s="138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139">
        <v>0</v>
      </c>
      <c r="L43" s="34"/>
      <c r="M43" s="38">
        <f t="shared" si="3"/>
        <v>0</v>
      </c>
    </row>
    <row r="44" spans="1:13" x14ac:dyDescent="0.35">
      <c r="B44" s="26" t="s">
        <v>189</v>
      </c>
      <c r="E44" s="140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141">
        <v>0</v>
      </c>
      <c r="L44" s="34"/>
      <c r="M44" s="39">
        <f t="shared" si="3"/>
        <v>0</v>
      </c>
    </row>
    <row r="45" spans="1:13" x14ac:dyDescent="0.35">
      <c r="E45" s="136"/>
    </row>
    <row r="46" spans="1:13" ht="16" thickBot="1" x14ac:dyDescent="0.4">
      <c r="A46" s="26" t="s">
        <v>138</v>
      </c>
      <c r="E46" s="143">
        <f>SUM(E39:E45)</f>
        <v>1760594.0999999996</v>
      </c>
      <c r="F46" s="33">
        <f t="shared" ref="F46:K46" si="4">SUM(F39:F45)</f>
        <v>2290000</v>
      </c>
      <c r="G46" s="33">
        <f t="shared" si="4"/>
        <v>1530000</v>
      </c>
      <c r="H46" s="33">
        <f t="shared" si="4"/>
        <v>1150000</v>
      </c>
      <c r="I46" s="33">
        <f t="shared" si="4"/>
        <v>1200000</v>
      </c>
      <c r="J46" s="33">
        <f t="shared" si="4"/>
        <v>1300000</v>
      </c>
      <c r="K46" s="33">
        <f t="shared" si="4"/>
        <v>1400000</v>
      </c>
      <c r="L46" s="33"/>
      <c r="M46" s="33">
        <f>SUM(M39:M45)</f>
        <v>10630594.1</v>
      </c>
    </row>
    <row r="48" spans="1:13" s="40" customFormat="1" x14ac:dyDescent="0.35">
      <c r="A48" s="40" t="s">
        <v>187</v>
      </c>
      <c r="E48" s="144">
        <f>E36-E46</f>
        <v>0</v>
      </c>
      <c r="F48" s="144">
        <f t="shared" ref="F48:M48" si="5">F36-F46</f>
        <v>0</v>
      </c>
      <c r="G48" s="144">
        <f t="shared" si="5"/>
        <v>0</v>
      </c>
      <c r="H48" s="144">
        <f t="shared" si="5"/>
        <v>0</v>
      </c>
      <c r="I48" s="144">
        <f t="shared" si="5"/>
        <v>0</v>
      </c>
      <c r="J48" s="144">
        <f t="shared" si="5"/>
        <v>0</v>
      </c>
      <c r="K48" s="144">
        <f t="shared" si="5"/>
        <v>0</v>
      </c>
      <c r="M48" s="144">
        <f t="shared" si="5"/>
        <v>0</v>
      </c>
    </row>
    <row r="51" spans="1:11" x14ac:dyDescent="0.35">
      <c r="A51" s="84">
        <v>-1</v>
      </c>
      <c r="B51" s="26" t="s">
        <v>207</v>
      </c>
    </row>
    <row r="52" spans="1:11" x14ac:dyDescent="0.35">
      <c r="B52" s="26" t="s">
        <v>1482</v>
      </c>
    </row>
    <row r="53" spans="1:11" x14ac:dyDescent="0.35">
      <c r="B53" s="26" t="s">
        <v>1648</v>
      </c>
    </row>
    <row r="54" spans="1:11" x14ac:dyDescent="0.35">
      <c r="E54" s="33"/>
    </row>
    <row r="56" spans="1:11" s="122" customFormat="1" ht="5.65" customHeight="1" x14ac:dyDescent="0.35"/>
    <row r="57" spans="1:11" x14ac:dyDescent="0.35">
      <c r="A57" s="134" t="s">
        <v>195</v>
      </c>
    </row>
    <row r="60" spans="1:11" x14ac:dyDescent="0.35">
      <c r="F60" s="51">
        <v>2012</v>
      </c>
      <c r="G60" s="51">
        <v>2013</v>
      </c>
      <c r="H60" s="51">
        <v>2014</v>
      </c>
      <c r="I60" s="51">
        <v>2015</v>
      </c>
      <c r="J60" s="51">
        <v>2016</v>
      </c>
      <c r="K60" s="51">
        <v>2017</v>
      </c>
    </row>
    <row r="61" spans="1:11" x14ac:dyDescent="0.35">
      <c r="A61" s="148" t="s">
        <v>188</v>
      </c>
    </row>
    <row r="63" spans="1:11" x14ac:dyDescent="0.35">
      <c r="A63" s="26" t="s">
        <v>133</v>
      </c>
      <c r="F63" s="33">
        <f t="shared" ref="F63:K63" si="6">F43</f>
        <v>0</v>
      </c>
      <c r="G63" s="33">
        <f t="shared" si="6"/>
        <v>0</v>
      </c>
      <c r="H63" s="33">
        <f t="shared" si="6"/>
        <v>0</v>
      </c>
      <c r="I63" s="33">
        <f t="shared" si="6"/>
        <v>0</v>
      </c>
      <c r="J63" s="33">
        <f t="shared" si="6"/>
        <v>0</v>
      </c>
      <c r="K63" s="33">
        <f t="shared" si="6"/>
        <v>0</v>
      </c>
    </row>
    <row r="64" spans="1:11" ht="16" thickBot="1" x14ac:dyDescent="0.4"/>
    <row r="65" spans="1:26" ht="16" thickBot="1" x14ac:dyDescent="0.4">
      <c r="A65" s="26" t="s">
        <v>196</v>
      </c>
      <c r="F65" s="149">
        <f>F63+G63</f>
        <v>0</v>
      </c>
      <c r="H65" s="149">
        <f>H63+I63</f>
        <v>0</v>
      </c>
      <c r="J65" s="149">
        <f>J63+K63</f>
        <v>0</v>
      </c>
    </row>
    <row r="68" spans="1:26" s="92" customFormat="1" x14ac:dyDescent="0.35">
      <c r="A68" s="147" t="s">
        <v>1102</v>
      </c>
      <c r="G68" s="91">
        <v>1</v>
      </c>
      <c r="H68" s="91">
        <v>2</v>
      </c>
      <c r="I68" s="91">
        <v>3</v>
      </c>
      <c r="J68" s="91">
        <v>4</v>
      </c>
      <c r="K68" s="91">
        <v>5</v>
      </c>
      <c r="L68" s="91">
        <v>6</v>
      </c>
      <c r="M68" s="91">
        <v>7</v>
      </c>
      <c r="N68" s="91">
        <v>8</v>
      </c>
      <c r="O68" s="91">
        <v>9</v>
      </c>
      <c r="P68" s="91">
        <v>10</v>
      </c>
      <c r="Q68" s="91">
        <v>11</v>
      </c>
      <c r="R68" s="91">
        <v>12</v>
      </c>
      <c r="S68" s="91">
        <v>13</v>
      </c>
      <c r="T68" s="91">
        <v>14</v>
      </c>
      <c r="U68" s="91">
        <v>15</v>
      </c>
      <c r="V68" s="91">
        <v>16</v>
      </c>
      <c r="W68" s="91">
        <v>17</v>
      </c>
      <c r="X68" s="91">
        <v>18</v>
      </c>
      <c r="Y68" s="91">
        <v>19</v>
      </c>
      <c r="Z68" s="91">
        <v>20</v>
      </c>
    </row>
    <row r="69" spans="1:26" x14ac:dyDescent="0.35">
      <c r="B69" s="26" t="s">
        <v>42</v>
      </c>
      <c r="G69" s="33">
        <f t="shared" ref="G69:Z69" si="7">PPMT($C$77,G68,$C$76,-$F$65)</f>
        <v>0</v>
      </c>
      <c r="H69" s="33">
        <f t="shared" si="7"/>
        <v>0</v>
      </c>
      <c r="I69" s="33">
        <f t="shared" si="7"/>
        <v>0</v>
      </c>
      <c r="J69" s="33">
        <f t="shared" si="7"/>
        <v>0</v>
      </c>
      <c r="K69" s="33">
        <f t="shared" si="7"/>
        <v>0</v>
      </c>
      <c r="L69" s="33">
        <f t="shared" si="7"/>
        <v>0</v>
      </c>
      <c r="M69" s="33">
        <f t="shared" si="7"/>
        <v>0</v>
      </c>
      <c r="N69" s="33">
        <f t="shared" si="7"/>
        <v>0</v>
      </c>
      <c r="O69" s="33">
        <f t="shared" si="7"/>
        <v>0</v>
      </c>
      <c r="P69" s="33">
        <f t="shared" si="7"/>
        <v>0</v>
      </c>
      <c r="Q69" s="33">
        <f t="shared" si="7"/>
        <v>0</v>
      </c>
      <c r="R69" s="33">
        <f t="shared" si="7"/>
        <v>0</v>
      </c>
      <c r="S69" s="33">
        <f t="shared" si="7"/>
        <v>0</v>
      </c>
      <c r="T69" s="33">
        <f t="shared" si="7"/>
        <v>0</v>
      </c>
      <c r="U69" s="33">
        <f t="shared" si="7"/>
        <v>0</v>
      </c>
      <c r="V69" s="33">
        <f t="shared" si="7"/>
        <v>0</v>
      </c>
      <c r="W69" s="33">
        <f t="shared" si="7"/>
        <v>0</v>
      </c>
      <c r="X69" s="33">
        <f t="shared" si="7"/>
        <v>0</v>
      </c>
      <c r="Y69" s="33">
        <f t="shared" si="7"/>
        <v>0</v>
      </c>
      <c r="Z69" s="33">
        <f t="shared" si="7"/>
        <v>0</v>
      </c>
    </row>
    <row r="70" spans="1:26" x14ac:dyDescent="0.35">
      <c r="B70" s="26" t="s">
        <v>43</v>
      </c>
      <c r="G70" s="35">
        <f t="shared" ref="G70:Z70" si="8">IPMT($C$77,G68,$C$76,-$F$65)</f>
        <v>0</v>
      </c>
      <c r="H70" s="35">
        <f t="shared" si="8"/>
        <v>0</v>
      </c>
      <c r="I70" s="35">
        <f t="shared" si="8"/>
        <v>0</v>
      </c>
      <c r="J70" s="35">
        <f t="shared" si="8"/>
        <v>0</v>
      </c>
      <c r="K70" s="35">
        <f t="shared" si="8"/>
        <v>0</v>
      </c>
      <c r="L70" s="35">
        <f t="shared" si="8"/>
        <v>0</v>
      </c>
      <c r="M70" s="35">
        <f t="shared" si="8"/>
        <v>0</v>
      </c>
      <c r="N70" s="35">
        <f t="shared" si="8"/>
        <v>0</v>
      </c>
      <c r="O70" s="35">
        <f t="shared" si="8"/>
        <v>0</v>
      </c>
      <c r="P70" s="35">
        <f t="shared" si="8"/>
        <v>0</v>
      </c>
      <c r="Q70" s="35">
        <f t="shared" si="8"/>
        <v>0</v>
      </c>
      <c r="R70" s="35">
        <f t="shared" si="8"/>
        <v>0</v>
      </c>
      <c r="S70" s="35">
        <f t="shared" si="8"/>
        <v>0</v>
      </c>
      <c r="T70" s="35">
        <f t="shared" si="8"/>
        <v>0</v>
      </c>
      <c r="U70" s="35">
        <f t="shared" si="8"/>
        <v>0</v>
      </c>
      <c r="V70" s="35">
        <f t="shared" si="8"/>
        <v>0</v>
      </c>
      <c r="W70" s="35">
        <f t="shared" si="8"/>
        <v>0</v>
      </c>
      <c r="X70" s="35">
        <f t="shared" si="8"/>
        <v>0</v>
      </c>
      <c r="Y70" s="35">
        <f t="shared" si="8"/>
        <v>0</v>
      </c>
      <c r="Z70" s="35">
        <f t="shared" si="8"/>
        <v>0</v>
      </c>
    </row>
    <row r="71" spans="1:26" x14ac:dyDescent="0.35">
      <c r="A71" s="26" t="s">
        <v>197</v>
      </c>
      <c r="G71" s="33">
        <f>SUM(G69:G70)</f>
        <v>0</v>
      </c>
      <c r="H71" s="33">
        <f t="shared" ref="H71:Z71" si="9">SUM(H69:H70)</f>
        <v>0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0</v>
      </c>
      <c r="P71" s="33">
        <f t="shared" si="9"/>
        <v>0</v>
      </c>
      <c r="Q71" s="33">
        <f t="shared" si="9"/>
        <v>0</v>
      </c>
      <c r="R71" s="33">
        <f t="shared" si="9"/>
        <v>0</v>
      </c>
      <c r="S71" s="33">
        <f t="shared" si="9"/>
        <v>0</v>
      </c>
      <c r="T71" s="33">
        <f t="shared" si="9"/>
        <v>0</v>
      </c>
      <c r="U71" s="33">
        <f t="shared" si="9"/>
        <v>0</v>
      </c>
      <c r="V71" s="33">
        <f t="shared" si="9"/>
        <v>0</v>
      </c>
      <c r="W71" s="33">
        <f t="shared" si="9"/>
        <v>0</v>
      </c>
      <c r="X71" s="33">
        <f t="shared" si="9"/>
        <v>0</v>
      </c>
      <c r="Y71" s="33">
        <f t="shared" si="9"/>
        <v>0</v>
      </c>
      <c r="Z71" s="33">
        <f t="shared" si="9"/>
        <v>0</v>
      </c>
    </row>
    <row r="73" spans="1:26" x14ac:dyDescent="0.35">
      <c r="A73" s="26" t="s">
        <v>198</v>
      </c>
      <c r="F73" s="33">
        <f>F65</f>
        <v>0</v>
      </c>
      <c r="G73" s="33">
        <f>F73-G69</f>
        <v>0</v>
      </c>
      <c r="H73" s="33">
        <f t="shared" ref="H73:Z73" si="10">G73-H69</f>
        <v>0</v>
      </c>
      <c r="I73" s="33">
        <f t="shared" si="10"/>
        <v>0</v>
      </c>
      <c r="J73" s="33">
        <f t="shared" si="10"/>
        <v>0</v>
      </c>
      <c r="K73" s="33">
        <f t="shared" si="10"/>
        <v>0</v>
      </c>
      <c r="L73" s="33">
        <f t="shared" si="10"/>
        <v>0</v>
      </c>
      <c r="M73" s="33">
        <f t="shared" si="10"/>
        <v>0</v>
      </c>
      <c r="N73" s="33">
        <f t="shared" si="10"/>
        <v>0</v>
      </c>
      <c r="O73" s="33">
        <f t="shared" si="10"/>
        <v>0</v>
      </c>
      <c r="P73" s="33">
        <f t="shared" si="10"/>
        <v>0</v>
      </c>
      <c r="Q73" s="33">
        <f t="shared" si="10"/>
        <v>0</v>
      </c>
      <c r="R73" s="33">
        <f t="shared" si="10"/>
        <v>0</v>
      </c>
      <c r="S73" s="33">
        <f t="shared" si="10"/>
        <v>0</v>
      </c>
      <c r="T73" s="33">
        <f t="shared" si="10"/>
        <v>0</v>
      </c>
      <c r="U73" s="33">
        <f t="shared" si="10"/>
        <v>0</v>
      </c>
      <c r="V73" s="33">
        <f t="shared" si="10"/>
        <v>0</v>
      </c>
      <c r="W73" s="33">
        <f t="shared" si="10"/>
        <v>0</v>
      </c>
      <c r="X73" s="33">
        <f t="shared" si="10"/>
        <v>0</v>
      </c>
      <c r="Y73" s="33">
        <f t="shared" si="10"/>
        <v>0</v>
      </c>
      <c r="Z73" s="33">
        <f t="shared" si="10"/>
        <v>0</v>
      </c>
    </row>
    <row r="75" spans="1:26" x14ac:dyDescent="0.35">
      <c r="A75" s="26" t="s">
        <v>199</v>
      </c>
    </row>
    <row r="76" spans="1:26" x14ac:dyDescent="0.35">
      <c r="B76" s="26" t="s">
        <v>200</v>
      </c>
      <c r="C76" s="145">
        <v>20</v>
      </c>
    </row>
    <row r="77" spans="1:26" x14ac:dyDescent="0.35">
      <c r="B77" s="26" t="s">
        <v>201</v>
      </c>
      <c r="C77" s="146">
        <v>0.02</v>
      </c>
    </row>
    <row r="78" spans="1:26" s="81" customFormat="1" x14ac:dyDescent="0.35"/>
    <row r="81" spans="1:30" s="92" customFormat="1" x14ac:dyDescent="0.35">
      <c r="A81" s="147" t="s">
        <v>1103</v>
      </c>
      <c r="G81" s="91"/>
      <c r="H81" s="91"/>
      <c r="I81" s="91">
        <v>1</v>
      </c>
      <c r="J81" s="91">
        <v>2</v>
      </c>
      <c r="K81" s="91">
        <v>3</v>
      </c>
      <c r="L81" s="91">
        <v>4</v>
      </c>
      <c r="M81" s="91">
        <v>5</v>
      </c>
      <c r="N81" s="91">
        <v>6</v>
      </c>
      <c r="O81" s="91">
        <v>7</v>
      </c>
      <c r="P81" s="91">
        <v>8</v>
      </c>
      <c r="Q81" s="91">
        <v>9</v>
      </c>
      <c r="R81" s="91">
        <v>10</v>
      </c>
      <c r="S81" s="91">
        <v>11</v>
      </c>
      <c r="T81" s="91">
        <v>12</v>
      </c>
      <c r="U81" s="91">
        <v>13</v>
      </c>
      <c r="V81" s="91">
        <v>14</v>
      </c>
      <c r="W81" s="91">
        <v>15</v>
      </c>
      <c r="X81" s="91">
        <v>16</v>
      </c>
      <c r="Y81" s="91">
        <v>17</v>
      </c>
      <c r="Z81" s="91">
        <v>18</v>
      </c>
      <c r="AA81" s="91">
        <v>19</v>
      </c>
      <c r="AB81" s="91">
        <v>20</v>
      </c>
    </row>
    <row r="82" spans="1:30" x14ac:dyDescent="0.35">
      <c r="B82" s="26" t="s">
        <v>42</v>
      </c>
      <c r="G82" s="33"/>
      <c r="H82" s="33"/>
      <c r="I82" s="33">
        <f t="shared" ref="I82:AB82" si="11">PPMT($C$90,I81,$C$89,-$H$65)</f>
        <v>0</v>
      </c>
      <c r="J82" s="33">
        <f t="shared" si="11"/>
        <v>0</v>
      </c>
      <c r="K82" s="33">
        <f t="shared" si="11"/>
        <v>0</v>
      </c>
      <c r="L82" s="33">
        <f t="shared" si="11"/>
        <v>0</v>
      </c>
      <c r="M82" s="33">
        <f t="shared" si="11"/>
        <v>0</v>
      </c>
      <c r="N82" s="33">
        <f t="shared" si="11"/>
        <v>0</v>
      </c>
      <c r="O82" s="33">
        <f t="shared" si="11"/>
        <v>0</v>
      </c>
      <c r="P82" s="33">
        <f t="shared" si="11"/>
        <v>0</v>
      </c>
      <c r="Q82" s="33">
        <f t="shared" si="11"/>
        <v>0</v>
      </c>
      <c r="R82" s="33">
        <f t="shared" si="11"/>
        <v>0</v>
      </c>
      <c r="S82" s="33">
        <f t="shared" si="11"/>
        <v>0</v>
      </c>
      <c r="T82" s="33">
        <f t="shared" si="11"/>
        <v>0</v>
      </c>
      <c r="U82" s="33">
        <f t="shared" si="11"/>
        <v>0</v>
      </c>
      <c r="V82" s="33">
        <f t="shared" si="11"/>
        <v>0</v>
      </c>
      <c r="W82" s="33">
        <f t="shared" si="11"/>
        <v>0</v>
      </c>
      <c r="X82" s="33">
        <f t="shared" si="11"/>
        <v>0</v>
      </c>
      <c r="Y82" s="33">
        <f t="shared" si="11"/>
        <v>0</v>
      </c>
      <c r="Z82" s="33">
        <f t="shared" si="11"/>
        <v>0</v>
      </c>
      <c r="AA82" s="33">
        <f t="shared" si="11"/>
        <v>0</v>
      </c>
      <c r="AB82" s="33">
        <f t="shared" si="11"/>
        <v>0</v>
      </c>
    </row>
    <row r="83" spans="1:30" x14ac:dyDescent="0.35">
      <c r="B83" s="26" t="s">
        <v>43</v>
      </c>
      <c r="G83" s="34"/>
      <c r="H83" s="34"/>
      <c r="I83" s="35">
        <f t="shared" ref="I83:AB83" si="12">IPMT($C$90,I81,$C$89,-$H$65)</f>
        <v>0</v>
      </c>
      <c r="J83" s="35">
        <f t="shared" si="12"/>
        <v>0</v>
      </c>
      <c r="K83" s="35">
        <f t="shared" si="12"/>
        <v>0</v>
      </c>
      <c r="L83" s="35">
        <f t="shared" si="12"/>
        <v>0</v>
      </c>
      <c r="M83" s="35">
        <f t="shared" si="12"/>
        <v>0</v>
      </c>
      <c r="N83" s="35">
        <f t="shared" si="12"/>
        <v>0</v>
      </c>
      <c r="O83" s="35">
        <f t="shared" si="12"/>
        <v>0</v>
      </c>
      <c r="P83" s="35">
        <f t="shared" si="12"/>
        <v>0</v>
      </c>
      <c r="Q83" s="35">
        <f t="shared" si="12"/>
        <v>0</v>
      </c>
      <c r="R83" s="35">
        <f t="shared" si="12"/>
        <v>0</v>
      </c>
      <c r="S83" s="35">
        <f t="shared" si="12"/>
        <v>0</v>
      </c>
      <c r="T83" s="35">
        <f t="shared" si="12"/>
        <v>0</v>
      </c>
      <c r="U83" s="35">
        <f t="shared" si="12"/>
        <v>0</v>
      </c>
      <c r="V83" s="35">
        <f t="shared" si="12"/>
        <v>0</v>
      </c>
      <c r="W83" s="35">
        <f t="shared" si="12"/>
        <v>0</v>
      </c>
      <c r="X83" s="35">
        <f t="shared" si="12"/>
        <v>0</v>
      </c>
      <c r="Y83" s="35">
        <f t="shared" si="12"/>
        <v>0</v>
      </c>
      <c r="Z83" s="35">
        <f t="shared" si="12"/>
        <v>0</v>
      </c>
      <c r="AA83" s="35">
        <f t="shared" si="12"/>
        <v>0</v>
      </c>
      <c r="AB83" s="35">
        <f t="shared" si="12"/>
        <v>0</v>
      </c>
    </row>
    <row r="84" spans="1:30" x14ac:dyDescent="0.35">
      <c r="A84" s="26" t="s">
        <v>197</v>
      </c>
      <c r="G84" s="33"/>
      <c r="H84" s="33"/>
      <c r="I84" s="33">
        <f t="shared" ref="I84:AB84" si="13">SUM(I82:I83)</f>
        <v>0</v>
      </c>
      <c r="J84" s="33">
        <f t="shared" si="13"/>
        <v>0</v>
      </c>
      <c r="K84" s="33">
        <f t="shared" si="13"/>
        <v>0</v>
      </c>
      <c r="L84" s="33">
        <f t="shared" si="13"/>
        <v>0</v>
      </c>
      <c r="M84" s="33">
        <f t="shared" si="13"/>
        <v>0</v>
      </c>
      <c r="N84" s="33">
        <f t="shared" si="13"/>
        <v>0</v>
      </c>
      <c r="O84" s="33">
        <f t="shared" si="13"/>
        <v>0</v>
      </c>
      <c r="P84" s="33">
        <f t="shared" si="13"/>
        <v>0</v>
      </c>
      <c r="Q84" s="33">
        <f t="shared" si="13"/>
        <v>0</v>
      </c>
      <c r="R84" s="33">
        <f t="shared" si="13"/>
        <v>0</v>
      </c>
      <c r="S84" s="33">
        <f t="shared" si="13"/>
        <v>0</v>
      </c>
      <c r="T84" s="33">
        <f t="shared" si="13"/>
        <v>0</v>
      </c>
      <c r="U84" s="33">
        <f t="shared" si="13"/>
        <v>0</v>
      </c>
      <c r="V84" s="33">
        <f t="shared" si="13"/>
        <v>0</v>
      </c>
      <c r="W84" s="33">
        <f t="shared" si="13"/>
        <v>0</v>
      </c>
      <c r="X84" s="33">
        <f t="shared" si="13"/>
        <v>0</v>
      </c>
      <c r="Y84" s="33">
        <f t="shared" si="13"/>
        <v>0</v>
      </c>
      <c r="Z84" s="33">
        <f t="shared" si="13"/>
        <v>0</v>
      </c>
      <c r="AA84" s="33">
        <f t="shared" si="13"/>
        <v>0</v>
      </c>
      <c r="AB84" s="33">
        <f t="shared" si="13"/>
        <v>0</v>
      </c>
    </row>
    <row r="86" spans="1:30" x14ac:dyDescent="0.35">
      <c r="A86" s="26" t="s">
        <v>198</v>
      </c>
      <c r="F86" s="33"/>
      <c r="G86" s="33"/>
      <c r="H86" s="33">
        <f>H65</f>
        <v>0</v>
      </c>
      <c r="I86" s="33">
        <f t="shared" ref="I86:AB86" si="14">H86-I82</f>
        <v>0</v>
      </c>
      <c r="J86" s="33">
        <f t="shared" si="14"/>
        <v>0</v>
      </c>
      <c r="K86" s="33">
        <f t="shared" si="14"/>
        <v>0</v>
      </c>
      <c r="L86" s="33">
        <f t="shared" si="14"/>
        <v>0</v>
      </c>
      <c r="M86" s="33">
        <f t="shared" si="14"/>
        <v>0</v>
      </c>
      <c r="N86" s="33">
        <f t="shared" si="14"/>
        <v>0</v>
      </c>
      <c r="O86" s="33">
        <f t="shared" si="14"/>
        <v>0</v>
      </c>
      <c r="P86" s="33">
        <f t="shared" si="14"/>
        <v>0</v>
      </c>
      <c r="Q86" s="33">
        <f t="shared" si="14"/>
        <v>0</v>
      </c>
      <c r="R86" s="33">
        <f t="shared" si="14"/>
        <v>0</v>
      </c>
      <c r="S86" s="33">
        <f t="shared" si="14"/>
        <v>0</v>
      </c>
      <c r="T86" s="33">
        <f t="shared" si="14"/>
        <v>0</v>
      </c>
      <c r="U86" s="33">
        <f t="shared" si="14"/>
        <v>0</v>
      </c>
      <c r="V86" s="33">
        <f t="shared" si="14"/>
        <v>0</v>
      </c>
      <c r="W86" s="33">
        <f t="shared" si="14"/>
        <v>0</v>
      </c>
      <c r="X86" s="33">
        <f t="shared" si="14"/>
        <v>0</v>
      </c>
      <c r="Y86" s="33">
        <f t="shared" si="14"/>
        <v>0</v>
      </c>
      <c r="Z86" s="33">
        <f t="shared" si="14"/>
        <v>0</v>
      </c>
      <c r="AA86" s="33">
        <f t="shared" si="14"/>
        <v>0</v>
      </c>
      <c r="AB86" s="33">
        <f t="shared" si="14"/>
        <v>0</v>
      </c>
    </row>
    <row r="88" spans="1:30" x14ac:dyDescent="0.35">
      <c r="A88" s="26" t="s">
        <v>199</v>
      </c>
    </row>
    <row r="89" spans="1:30" x14ac:dyDescent="0.35">
      <c r="B89" s="26" t="s">
        <v>200</v>
      </c>
      <c r="C89" s="145">
        <v>20</v>
      </c>
    </row>
    <row r="90" spans="1:30" x14ac:dyDescent="0.35">
      <c r="B90" s="26" t="s">
        <v>201</v>
      </c>
      <c r="C90" s="146">
        <v>0.02</v>
      </c>
    </row>
    <row r="91" spans="1:30" s="81" customFormat="1" x14ac:dyDescent="0.35"/>
    <row r="94" spans="1:30" s="92" customFormat="1" x14ac:dyDescent="0.35">
      <c r="A94" s="147" t="s">
        <v>1104</v>
      </c>
      <c r="G94" s="91"/>
      <c r="H94" s="91"/>
      <c r="I94" s="91"/>
      <c r="J94" s="91"/>
      <c r="K94" s="91">
        <v>1</v>
      </c>
      <c r="L94" s="91">
        <v>2</v>
      </c>
      <c r="M94" s="91">
        <v>3</v>
      </c>
      <c r="N94" s="91">
        <v>4</v>
      </c>
      <c r="O94" s="91">
        <v>5</v>
      </c>
      <c r="P94" s="91">
        <v>6</v>
      </c>
      <c r="Q94" s="91">
        <v>7</v>
      </c>
      <c r="R94" s="91">
        <v>8</v>
      </c>
      <c r="S94" s="91">
        <v>9</v>
      </c>
      <c r="T94" s="91">
        <v>10</v>
      </c>
      <c r="U94" s="91">
        <v>11</v>
      </c>
      <c r="V94" s="91">
        <v>12</v>
      </c>
      <c r="W94" s="91">
        <v>13</v>
      </c>
      <c r="X94" s="91">
        <v>14</v>
      </c>
      <c r="Y94" s="91">
        <v>15</v>
      </c>
      <c r="Z94" s="91">
        <v>16</v>
      </c>
      <c r="AA94" s="91">
        <v>17</v>
      </c>
      <c r="AB94" s="91">
        <v>18</v>
      </c>
      <c r="AC94" s="91">
        <v>19</v>
      </c>
      <c r="AD94" s="91">
        <v>20</v>
      </c>
    </row>
    <row r="95" spans="1:30" x14ac:dyDescent="0.35">
      <c r="B95" s="26" t="s">
        <v>42</v>
      </c>
      <c r="G95" s="33"/>
      <c r="H95" s="33"/>
      <c r="I95" s="33"/>
      <c r="J95" s="33"/>
      <c r="K95" s="33">
        <f t="shared" ref="K95:AD95" si="15">PPMT($C$103,K94,$C$102,-$J$65)</f>
        <v>0</v>
      </c>
      <c r="L95" s="33">
        <f t="shared" si="15"/>
        <v>0</v>
      </c>
      <c r="M95" s="33">
        <f t="shared" si="15"/>
        <v>0</v>
      </c>
      <c r="N95" s="33">
        <f t="shared" si="15"/>
        <v>0</v>
      </c>
      <c r="O95" s="33">
        <f t="shared" si="15"/>
        <v>0</v>
      </c>
      <c r="P95" s="33">
        <f t="shared" si="15"/>
        <v>0</v>
      </c>
      <c r="Q95" s="33">
        <f t="shared" si="15"/>
        <v>0</v>
      </c>
      <c r="R95" s="33">
        <f t="shared" si="15"/>
        <v>0</v>
      </c>
      <c r="S95" s="33">
        <f t="shared" si="15"/>
        <v>0</v>
      </c>
      <c r="T95" s="33">
        <f t="shared" si="15"/>
        <v>0</v>
      </c>
      <c r="U95" s="33">
        <f t="shared" si="15"/>
        <v>0</v>
      </c>
      <c r="V95" s="33">
        <f t="shared" si="15"/>
        <v>0</v>
      </c>
      <c r="W95" s="33">
        <f t="shared" si="15"/>
        <v>0</v>
      </c>
      <c r="X95" s="33">
        <f t="shared" si="15"/>
        <v>0</v>
      </c>
      <c r="Y95" s="33">
        <f t="shared" si="15"/>
        <v>0</v>
      </c>
      <c r="Z95" s="33">
        <f t="shared" si="15"/>
        <v>0</v>
      </c>
      <c r="AA95" s="33">
        <f t="shared" si="15"/>
        <v>0</v>
      </c>
      <c r="AB95" s="33">
        <f t="shared" si="15"/>
        <v>0</v>
      </c>
      <c r="AC95" s="33">
        <f t="shared" si="15"/>
        <v>0</v>
      </c>
      <c r="AD95" s="33">
        <f t="shared" si="15"/>
        <v>0</v>
      </c>
    </row>
    <row r="96" spans="1:30" x14ac:dyDescent="0.35">
      <c r="B96" s="26" t="s">
        <v>43</v>
      </c>
      <c r="G96" s="34"/>
      <c r="H96" s="34"/>
      <c r="I96" s="34"/>
      <c r="J96" s="34"/>
      <c r="K96" s="35">
        <f t="shared" ref="K96:AD96" si="16">IPMT($C$103,K94,$C$102,-$J$65)</f>
        <v>0</v>
      </c>
      <c r="L96" s="35">
        <f t="shared" si="16"/>
        <v>0</v>
      </c>
      <c r="M96" s="35">
        <f t="shared" si="16"/>
        <v>0</v>
      </c>
      <c r="N96" s="35">
        <f t="shared" si="16"/>
        <v>0</v>
      </c>
      <c r="O96" s="35">
        <f t="shared" si="16"/>
        <v>0</v>
      </c>
      <c r="P96" s="35">
        <f t="shared" si="16"/>
        <v>0</v>
      </c>
      <c r="Q96" s="35">
        <f t="shared" si="16"/>
        <v>0</v>
      </c>
      <c r="R96" s="35">
        <f t="shared" si="16"/>
        <v>0</v>
      </c>
      <c r="S96" s="35">
        <f t="shared" si="16"/>
        <v>0</v>
      </c>
      <c r="T96" s="35">
        <f t="shared" si="16"/>
        <v>0</v>
      </c>
      <c r="U96" s="35">
        <f t="shared" si="16"/>
        <v>0</v>
      </c>
      <c r="V96" s="35">
        <f t="shared" si="16"/>
        <v>0</v>
      </c>
      <c r="W96" s="35">
        <f t="shared" si="16"/>
        <v>0</v>
      </c>
      <c r="X96" s="35">
        <f t="shared" si="16"/>
        <v>0</v>
      </c>
      <c r="Y96" s="35">
        <f t="shared" si="16"/>
        <v>0</v>
      </c>
      <c r="Z96" s="35">
        <f t="shared" si="16"/>
        <v>0</v>
      </c>
      <c r="AA96" s="35">
        <f t="shared" si="16"/>
        <v>0</v>
      </c>
      <c r="AB96" s="35">
        <f t="shared" si="16"/>
        <v>0</v>
      </c>
      <c r="AC96" s="35">
        <f t="shared" si="16"/>
        <v>0</v>
      </c>
      <c r="AD96" s="35">
        <f t="shared" si="16"/>
        <v>0</v>
      </c>
    </row>
    <row r="97" spans="1:30" x14ac:dyDescent="0.35">
      <c r="A97" s="26" t="s">
        <v>197</v>
      </c>
      <c r="G97" s="33"/>
      <c r="H97" s="33"/>
      <c r="I97" s="33"/>
      <c r="J97" s="33"/>
      <c r="K97" s="33">
        <f t="shared" ref="K97:AD97" si="17">SUM(K95:K96)</f>
        <v>0</v>
      </c>
      <c r="L97" s="33">
        <f t="shared" si="17"/>
        <v>0</v>
      </c>
      <c r="M97" s="33">
        <f t="shared" si="17"/>
        <v>0</v>
      </c>
      <c r="N97" s="33">
        <f t="shared" si="17"/>
        <v>0</v>
      </c>
      <c r="O97" s="33">
        <f t="shared" si="17"/>
        <v>0</v>
      </c>
      <c r="P97" s="33">
        <f t="shared" si="17"/>
        <v>0</v>
      </c>
      <c r="Q97" s="33">
        <f t="shared" si="17"/>
        <v>0</v>
      </c>
      <c r="R97" s="33">
        <f t="shared" si="17"/>
        <v>0</v>
      </c>
      <c r="S97" s="33">
        <f t="shared" si="17"/>
        <v>0</v>
      </c>
      <c r="T97" s="33">
        <f t="shared" si="17"/>
        <v>0</v>
      </c>
      <c r="U97" s="33">
        <f t="shared" si="17"/>
        <v>0</v>
      </c>
      <c r="V97" s="33">
        <f t="shared" si="17"/>
        <v>0</v>
      </c>
      <c r="W97" s="33">
        <f t="shared" si="17"/>
        <v>0</v>
      </c>
      <c r="X97" s="33">
        <f t="shared" si="17"/>
        <v>0</v>
      </c>
      <c r="Y97" s="33">
        <f t="shared" si="17"/>
        <v>0</v>
      </c>
      <c r="Z97" s="33">
        <f t="shared" si="17"/>
        <v>0</v>
      </c>
      <c r="AA97" s="33">
        <f t="shared" si="17"/>
        <v>0</v>
      </c>
      <c r="AB97" s="33">
        <f t="shared" si="17"/>
        <v>0</v>
      </c>
      <c r="AC97" s="33">
        <f t="shared" si="17"/>
        <v>0</v>
      </c>
      <c r="AD97" s="33">
        <f t="shared" si="17"/>
        <v>0</v>
      </c>
    </row>
    <row r="99" spans="1:30" x14ac:dyDescent="0.35">
      <c r="A99" s="26" t="s">
        <v>198</v>
      </c>
      <c r="F99" s="33"/>
      <c r="G99" s="33"/>
      <c r="H99" s="33"/>
      <c r="I99" s="33"/>
      <c r="J99" s="33">
        <f>J65</f>
        <v>0</v>
      </c>
      <c r="K99" s="33">
        <f t="shared" ref="K99:AD99" si="18">J99-K95</f>
        <v>0</v>
      </c>
      <c r="L99" s="33">
        <f t="shared" si="18"/>
        <v>0</v>
      </c>
      <c r="M99" s="33">
        <f t="shared" si="18"/>
        <v>0</v>
      </c>
      <c r="N99" s="33">
        <f t="shared" si="18"/>
        <v>0</v>
      </c>
      <c r="O99" s="33">
        <f t="shared" si="18"/>
        <v>0</v>
      </c>
      <c r="P99" s="33">
        <f t="shared" si="18"/>
        <v>0</v>
      </c>
      <c r="Q99" s="33">
        <f t="shared" si="18"/>
        <v>0</v>
      </c>
      <c r="R99" s="33">
        <f t="shared" si="18"/>
        <v>0</v>
      </c>
      <c r="S99" s="33">
        <f t="shared" si="18"/>
        <v>0</v>
      </c>
      <c r="T99" s="33">
        <f t="shared" si="18"/>
        <v>0</v>
      </c>
      <c r="U99" s="33">
        <f t="shared" si="18"/>
        <v>0</v>
      </c>
      <c r="V99" s="33">
        <f t="shared" si="18"/>
        <v>0</v>
      </c>
      <c r="W99" s="33">
        <f t="shared" si="18"/>
        <v>0</v>
      </c>
      <c r="X99" s="33">
        <f t="shared" si="18"/>
        <v>0</v>
      </c>
      <c r="Y99" s="33">
        <f t="shared" si="18"/>
        <v>0</v>
      </c>
      <c r="Z99" s="33">
        <f t="shared" si="18"/>
        <v>0</v>
      </c>
      <c r="AA99" s="33">
        <f t="shared" si="18"/>
        <v>0</v>
      </c>
      <c r="AB99" s="33">
        <f t="shared" si="18"/>
        <v>0</v>
      </c>
      <c r="AC99" s="33">
        <f t="shared" si="18"/>
        <v>0</v>
      </c>
      <c r="AD99" s="33">
        <f t="shared" si="18"/>
        <v>0</v>
      </c>
    </row>
    <row r="101" spans="1:30" x14ac:dyDescent="0.35">
      <c r="A101" s="26" t="s">
        <v>199</v>
      </c>
    </row>
    <row r="102" spans="1:30" x14ac:dyDescent="0.35">
      <c r="B102" s="26" t="s">
        <v>200</v>
      </c>
      <c r="C102" s="145">
        <v>20</v>
      </c>
    </row>
    <row r="103" spans="1:30" x14ac:dyDescent="0.35">
      <c r="B103" s="26" t="s">
        <v>201</v>
      </c>
      <c r="C103" s="146">
        <v>0.02</v>
      </c>
    </row>
    <row r="104" spans="1:30" s="81" customFormat="1" x14ac:dyDescent="0.35"/>
    <row r="107" spans="1:30" x14ac:dyDescent="0.35">
      <c r="F107" s="51">
        <v>2012</v>
      </c>
      <c r="G107" s="51">
        <v>2013</v>
      </c>
      <c r="H107" s="51">
        <v>2014</v>
      </c>
      <c r="I107" s="51">
        <v>2015</v>
      </c>
      <c r="J107" s="51">
        <v>2016</v>
      </c>
      <c r="K107" s="51">
        <v>2017</v>
      </c>
    </row>
    <row r="108" spans="1:30" x14ac:dyDescent="0.35">
      <c r="A108" s="148" t="s">
        <v>189</v>
      </c>
    </row>
    <row r="110" spans="1:30" x14ac:dyDescent="0.35">
      <c r="A110" s="26" t="s">
        <v>133</v>
      </c>
      <c r="F110" s="33">
        <f t="shared" ref="F110:K110" si="19">F44</f>
        <v>0</v>
      </c>
      <c r="G110" s="33">
        <f t="shared" si="19"/>
        <v>0</v>
      </c>
      <c r="H110" s="33">
        <f t="shared" si="19"/>
        <v>0</v>
      </c>
      <c r="I110" s="33">
        <f t="shared" si="19"/>
        <v>0</v>
      </c>
      <c r="J110" s="33">
        <f t="shared" si="19"/>
        <v>0</v>
      </c>
      <c r="K110" s="33">
        <f t="shared" si="19"/>
        <v>0</v>
      </c>
    </row>
    <row r="112" spans="1:30" x14ac:dyDescent="0.35">
      <c r="A112" s="26" t="s">
        <v>202</v>
      </c>
      <c r="F112" s="33">
        <f>F110+G110</f>
        <v>0</v>
      </c>
      <c r="H112" s="33">
        <f>H110+I110</f>
        <v>0</v>
      </c>
      <c r="J112" s="33">
        <f>J110+K110</f>
        <v>0</v>
      </c>
    </row>
    <row r="113" spans="1:36" ht="6.65" customHeight="1" x14ac:dyDescent="0.35"/>
    <row r="114" spans="1:36" x14ac:dyDescent="0.35">
      <c r="A114" s="26" t="s">
        <v>203</v>
      </c>
    </row>
    <row r="115" spans="1:36" x14ac:dyDescent="0.35">
      <c r="B115" s="26" t="s">
        <v>204</v>
      </c>
      <c r="C115" s="127">
        <v>0.02</v>
      </c>
      <c r="F115" s="150">
        <f>F112*C115</f>
        <v>0</v>
      </c>
      <c r="H115" s="150">
        <f>H112*C115</f>
        <v>0</v>
      </c>
      <c r="J115" s="150">
        <f>J112*C115</f>
        <v>0</v>
      </c>
    </row>
    <row r="116" spans="1:36" ht="9.65" customHeight="1" thickBot="1" x14ac:dyDescent="0.4"/>
    <row r="117" spans="1:36" ht="16" thickBot="1" x14ac:dyDescent="0.4">
      <c r="A117" s="26" t="s">
        <v>205</v>
      </c>
      <c r="F117" s="149">
        <f>F112+F115</f>
        <v>0</v>
      </c>
      <c r="H117" s="149">
        <f>H112+H115</f>
        <v>0</v>
      </c>
      <c r="J117" s="149">
        <f>J112+J115</f>
        <v>0</v>
      </c>
    </row>
    <row r="120" spans="1:36" s="92" customFormat="1" x14ac:dyDescent="0.35">
      <c r="A120" s="147" t="s">
        <v>1105</v>
      </c>
      <c r="G120" s="91">
        <v>1</v>
      </c>
      <c r="H120" s="91">
        <v>2</v>
      </c>
      <c r="I120" s="91">
        <v>3</v>
      </c>
      <c r="J120" s="91">
        <v>4</v>
      </c>
      <c r="K120" s="91">
        <v>5</v>
      </c>
      <c r="L120" s="91">
        <v>6</v>
      </c>
      <c r="M120" s="91">
        <v>7</v>
      </c>
      <c r="N120" s="91">
        <v>8</v>
      </c>
      <c r="O120" s="91">
        <v>9</v>
      </c>
      <c r="P120" s="91">
        <v>10</v>
      </c>
      <c r="Q120" s="91">
        <v>11</v>
      </c>
      <c r="R120" s="91">
        <v>12</v>
      </c>
      <c r="S120" s="91">
        <v>13</v>
      </c>
      <c r="T120" s="91">
        <v>14</v>
      </c>
      <c r="U120" s="91">
        <v>15</v>
      </c>
      <c r="V120" s="91">
        <v>16</v>
      </c>
      <c r="W120" s="91">
        <v>17</v>
      </c>
      <c r="X120" s="91">
        <v>18</v>
      </c>
      <c r="Y120" s="91">
        <v>19</v>
      </c>
      <c r="Z120" s="91">
        <v>20</v>
      </c>
      <c r="AA120" s="91">
        <v>21</v>
      </c>
      <c r="AB120" s="91">
        <v>22</v>
      </c>
      <c r="AC120" s="91">
        <v>23</v>
      </c>
      <c r="AD120" s="91">
        <v>24</v>
      </c>
      <c r="AE120" s="91">
        <v>25</v>
      </c>
      <c r="AF120" s="91">
        <v>26</v>
      </c>
      <c r="AG120" s="91">
        <v>27</v>
      </c>
      <c r="AH120" s="91">
        <v>28</v>
      </c>
      <c r="AI120" s="91">
        <v>29</v>
      </c>
      <c r="AJ120" s="91">
        <v>30</v>
      </c>
    </row>
    <row r="121" spans="1:36" x14ac:dyDescent="0.35">
      <c r="B121" s="26" t="s">
        <v>42</v>
      </c>
      <c r="G121" s="33">
        <f t="shared" ref="G121:AJ121" si="20">PPMT($C$129,G120,$C$128,-$F$117)</f>
        <v>0</v>
      </c>
      <c r="H121" s="33">
        <f t="shared" si="20"/>
        <v>0</v>
      </c>
      <c r="I121" s="33">
        <f t="shared" si="20"/>
        <v>0</v>
      </c>
      <c r="J121" s="33">
        <f t="shared" si="20"/>
        <v>0</v>
      </c>
      <c r="K121" s="33">
        <f t="shared" si="20"/>
        <v>0</v>
      </c>
      <c r="L121" s="33">
        <f t="shared" si="20"/>
        <v>0</v>
      </c>
      <c r="M121" s="33">
        <f t="shared" si="20"/>
        <v>0</v>
      </c>
      <c r="N121" s="33">
        <f t="shared" si="20"/>
        <v>0</v>
      </c>
      <c r="O121" s="33">
        <f t="shared" si="20"/>
        <v>0</v>
      </c>
      <c r="P121" s="33">
        <f t="shared" si="20"/>
        <v>0</v>
      </c>
      <c r="Q121" s="33">
        <f t="shared" si="20"/>
        <v>0</v>
      </c>
      <c r="R121" s="33">
        <f t="shared" si="20"/>
        <v>0</v>
      </c>
      <c r="S121" s="33">
        <f t="shared" si="20"/>
        <v>0</v>
      </c>
      <c r="T121" s="33">
        <f t="shared" si="20"/>
        <v>0</v>
      </c>
      <c r="U121" s="33">
        <f t="shared" si="20"/>
        <v>0</v>
      </c>
      <c r="V121" s="33">
        <f t="shared" si="20"/>
        <v>0</v>
      </c>
      <c r="W121" s="33">
        <f t="shared" si="20"/>
        <v>0</v>
      </c>
      <c r="X121" s="33">
        <f t="shared" si="20"/>
        <v>0</v>
      </c>
      <c r="Y121" s="33">
        <f t="shared" si="20"/>
        <v>0</v>
      </c>
      <c r="Z121" s="33">
        <f t="shared" si="20"/>
        <v>0</v>
      </c>
      <c r="AA121" s="33">
        <f t="shared" si="20"/>
        <v>0</v>
      </c>
      <c r="AB121" s="33">
        <f t="shared" si="20"/>
        <v>0</v>
      </c>
      <c r="AC121" s="33">
        <f t="shared" si="20"/>
        <v>0</v>
      </c>
      <c r="AD121" s="33">
        <f t="shared" si="20"/>
        <v>0</v>
      </c>
      <c r="AE121" s="33">
        <f t="shared" si="20"/>
        <v>0</v>
      </c>
      <c r="AF121" s="33">
        <f t="shared" si="20"/>
        <v>0</v>
      </c>
      <c r="AG121" s="33">
        <f t="shared" si="20"/>
        <v>0</v>
      </c>
      <c r="AH121" s="33">
        <f t="shared" si="20"/>
        <v>0</v>
      </c>
      <c r="AI121" s="33">
        <f t="shared" si="20"/>
        <v>0</v>
      </c>
      <c r="AJ121" s="33">
        <f t="shared" si="20"/>
        <v>0</v>
      </c>
    </row>
    <row r="122" spans="1:36" x14ac:dyDescent="0.35">
      <c r="B122" s="26" t="s">
        <v>43</v>
      </c>
      <c r="G122" s="35">
        <f t="shared" ref="G122:AJ122" si="21">IPMT($C$129,G120,$C$128,-$F$117)</f>
        <v>0</v>
      </c>
      <c r="H122" s="35">
        <f t="shared" si="21"/>
        <v>0</v>
      </c>
      <c r="I122" s="35">
        <f t="shared" si="21"/>
        <v>0</v>
      </c>
      <c r="J122" s="35">
        <f t="shared" si="21"/>
        <v>0</v>
      </c>
      <c r="K122" s="35">
        <f t="shared" si="21"/>
        <v>0</v>
      </c>
      <c r="L122" s="35">
        <f t="shared" si="21"/>
        <v>0</v>
      </c>
      <c r="M122" s="35">
        <f t="shared" si="21"/>
        <v>0</v>
      </c>
      <c r="N122" s="35">
        <f t="shared" si="21"/>
        <v>0</v>
      </c>
      <c r="O122" s="35">
        <f t="shared" si="21"/>
        <v>0</v>
      </c>
      <c r="P122" s="35">
        <f t="shared" si="21"/>
        <v>0</v>
      </c>
      <c r="Q122" s="35">
        <f t="shared" si="21"/>
        <v>0</v>
      </c>
      <c r="R122" s="35">
        <f t="shared" si="21"/>
        <v>0</v>
      </c>
      <c r="S122" s="35">
        <f t="shared" si="21"/>
        <v>0</v>
      </c>
      <c r="T122" s="35">
        <f t="shared" si="21"/>
        <v>0</v>
      </c>
      <c r="U122" s="35">
        <f t="shared" si="21"/>
        <v>0</v>
      </c>
      <c r="V122" s="35">
        <f t="shared" si="21"/>
        <v>0</v>
      </c>
      <c r="W122" s="35">
        <f t="shared" si="21"/>
        <v>0</v>
      </c>
      <c r="X122" s="35">
        <f t="shared" si="21"/>
        <v>0</v>
      </c>
      <c r="Y122" s="35">
        <f t="shared" si="21"/>
        <v>0</v>
      </c>
      <c r="Z122" s="35">
        <f t="shared" si="21"/>
        <v>0</v>
      </c>
      <c r="AA122" s="35">
        <f t="shared" si="21"/>
        <v>0</v>
      </c>
      <c r="AB122" s="35">
        <f t="shared" si="21"/>
        <v>0</v>
      </c>
      <c r="AC122" s="35">
        <f t="shared" si="21"/>
        <v>0</v>
      </c>
      <c r="AD122" s="35">
        <f t="shared" si="21"/>
        <v>0</v>
      </c>
      <c r="AE122" s="35">
        <f t="shared" si="21"/>
        <v>0</v>
      </c>
      <c r="AF122" s="35">
        <f t="shared" si="21"/>
        <v>0</v>
      </c>
      <c r="AG122" s="35">
        <f t="shared" si="21"/>
        <v>0</v>
      </c>
      <c r="AH122" s="35">
        <f t="shared" si="21"/>
        <v>0</v>
      </c>
      <c r="AI122" s="35">
        <f t="shared" si="21"/>
        <v>0</v>
      </c>
      <c r="AJ122" s="35">
        <f t="shared" si="21"/>
        <v>0</v>
      </c>
    </row>
    <row r="123" spans="1:36" x14ac:dyDescent="0.35">
      <c r="A123" s="26" t="s">
        <v>197</v>
      </c>
      <c r="G123" s="33">
        <f t="shared" ref="G123:AJ123" si="22">SUM(G121:G122)</f>
        <v>0</v>
      </c>
      <c r="H123" s="33">
        <f t="shared" si="22"/>
        <v>0</v>
      </c>
      <c r="I123" s="33">
        <f t="shared" si="22"/>
        <v>0</v>
      </c>
      <c r="J123" s="33">
        <f t="shared" si="22"/>
        <v>0</v>
      </c>
      <c r="K123" s="33">
        <f t="shared" si="22"/>
        <v>0</v>
      </c>
      <c r="L123" s="33">
        <f t="shared" si="22"/>
        <v>0</v>
      </c>
      <c r="M123" s="33">
        <f t="shared" si="22"/>
        <v>0</v>
      </c>
      <c r="N123" s="33">
        <f t="shared" si="22"/>
        <v>0</v>
      </c>
      <c r="O123" s="33">
        <f t="shared" si="22"/>
        <v>0</v>
      </c>
      <c r="P123" s="33">
        <f t="shared" si="22"/>
        <v>0</v>
      </c>
      <c r="Q123" s="33">
        <f t="shared" si="22"/>
        <v>0</v>
      </c>
      <c r="R123" s="33">
        <f t="shared" si="22"/>
        <v>0</v>
      </c>
      <c r="S123" s="33">
        <f t="shared" si="22"/>
        <v>0</v>
      </c>
      <c r="T123" s="33">
        <f t="shared" si="22"/>
        <v>0</v>
      </c>
      <c r="U123" s="33">
        <f t="shared" si="22"/>
        <v>0</v>
      </c>
      <c r="V123" s="33">
        <f t="shared" si="22"/>
        <v>0</v>
      </c>
      <c r="W123" s="33">
        <f t="shared" si="22"/>
        <v>0</v>
      </c>
      <c r="X123" s="33">
        <f t="shared" si="22"/>
        <v>0</v>
      </c>
      <c r="Y123" s="33">
        <f t="shared" si="22"/>
        <v>0</v>
      </c>
      <c r="Z123" s="33">
        <f t="shared" si="22"/>
        <v>0</v>
      </c>
      <c r="AA123" s="33">
        <f t="shared" si="22"/>
        <v>0</v>
      </c>
      <c r="AB123" s="33">
        <f t="shared" si="22"/>
        <v>0</v>
      </c>
      <c r="AC123" s="33">
        <f t="shared" si="22"/>
        <v>0</v>
      </c>
      <c r="AD123" s="33">
        <f t="shared" si="22"/>
        <v>0</v>
      </c>
      <c r="AE123" s="33">
        <f t="shared" si="22"/>
        <v>0</v>
      </c>
      <c r="AF123" s="33">
        <f t="shared" si="22"/>
        <v>0</v>
      </c>
      <c r="AG123" s="33">
        <f t="shared" si="22"/>
        <v>0</v>
      </c>
      <c r="AH123" s="33">
        <f t="shared" si="22"/>
        <v>0</v>
      </c>
      <c r="AI123" s="33">
        <f t="shared" si="22"/>
        <v>0</v>
      </c>
      <c r="AJ123" s="33">
        <f t="shared" si="22"/>
        <v>0</v>
      </c>
    </row>
    <row r="125" spans="1:36" x14ac:dyDescent="0.35">
      <c r="A125" s="26" t="s">
        <v>198</v>
      </c>
      <c r="F125" s="33">
        <f>F117</f>
        <v>0</v>
      </c>
      <c r="G125" s="33">
        <f>F125-G121</f>
        <v>0</v>
      </c>
      <c r="H125" s="33">
        <f t="shared" ref="H125:Z125" si="23">G125-H121</f>
        <v>0</v>
      </c>
      <c r="I125" s="33">
        <f t="shared" si="23"/>
        <v>0</v>
      </c>
      <c r="J125" s="33">
        <f t="shared" si="23"/>
        <v>0</v>
      </c>
      <c r="K125" s="33">
        <f t="shared" si="23"/>
        <v>0</v>
      </c>
      <c r="L125" s="33">
        <f t="shared" si="23"/>
        <v>0</v>
      </c>
      <c r="M125" s="33">
        <f t="shared" si="23"/>
        <v>0</v>
      </c>
      <c r="N125" s="33">
        <f t="shared" si="23"/>
        <v>0</v>
      </c>
      <c r="O125" s="33">
        <f t="shared" si="23"/>
        <v>0</v>
      </c>
      <c r="P125" s="33">
        <f t="shared" si="23"/>
        <v>0</v>
      </c>
      <c r="Q125" s="33">
        <f t="shared" si="23"/>
        <v>0</v>
      </c>
      <c r="R125" s="33">
        <f t="shared" si="23"/>
        <v>0</v>
      </c>
      <c r="S125" s="33">
        <f t="shared" si="23"/>
        <v>0</v>
      </c>
      <c r="T125" s="33">
        <f t="shared" si="23"/>
        <v>0</v>
      </c>
      <c r="U125" s="33">
        <f t="shared" si="23"/>
        <v>0</v>
      </c>
      <c r="V125" s="33">
        <f t="shared" si="23"/>
        <v>0</v>
      </c>
      <c r="W125" s="33">
        <f t="shared" si="23"/>
        <v>0</v>
      </c>
      <c r="X125" s="33">
        <f t="shared" si="23"/>
        <v>0</v>
      </c>
      <c r="Y125" s="33">
        <f t="shared" si="23"/>
        <v>0</v>
      </c>
      <c r="Z125" s="33">
        <f t="shared" si="23"/>
        <v>0</v>
      </c>
      <c r="AA125" s="33">
        <f t="shared" ref="AA125:AJ125" si="24">Z125-AA121</f>
        <v>0</v>
      </c>
      <c r="AB125" s="33">
        <f t="shared" si="24"/>
        <v>0</v>
      </c>
      <c r="AC125" s="33">
        <f t="shared" si="24"/>
        <v>0</v>
      </c>
      <c r="AD125" s="33">
        <f t="shared" si="24"/>
        <v>0</v>
      </c>
      <c r="AE125" s="33">
        <f t="shared" si="24"/>
        <v>0</v>
      </c>
      <c r="AF125" s="33">
        <f t="shared" si="24"/>
        <v>0</v>
      </c>
      <c r="AG125" s="33">
        <f t="shared" si="24"/>
        <v>0</v>
      </c>
      <c r="AH125" s="33">
        <f t="shared" si="24"/>
        <v>0</v>
      </c>
      <c r="AI125" s="33">
        <f t="shared" si="24"/>
        <v>0</v>
      </c>
      <c r="AJ125" s="33">
        <f t="shared" si="24"/>
        <v>0</v>
      </c>
    </row>
    <row r="127" spans="1:36" x14ac:dyDescent="0.35">
      <c r="A127" s="26" t="s">
        <v>206</v>
      </c>
    </row>
    <row r="128" spans="1:36" x14ac:dyDescent="0.35">
      <c r="B128" s="26" t="s">
        <v>200</v>
      </c>
      <c r="C128" s="145">
        <v>30</v>
      </c>
    </row>
    <row r="129" spans="1:38" x14ac:dyDescent="0.35">
      <c r="B129" s="26" t="s">
        <v>201</v>
      </c>
      <c r="C129" s="146">
        <v>0.06</v>
      </c>
    </row>
    <row r="130" spans="1:38" s="81" customFormat="1" x14ac:dyDescent="0.35"/>
    <row r="133" spans="1:38" s="92" customFormat="1" x14ac:dyDescent="0.35">
      <c r="A133" s="147" t="s">
        <v>1106</v>
      </c>
      <c r="G133" s="91"/>
      <c r="H133" s="91"/>
      <c r="I133" s="91">
        <v>1</v>
      </c>
      <c r="J133" s="91">
        <v>2</v>
      </c>
      <c r="K133" s="91">
        <v>3</v>
      </c>
      <c r="L133" s="91">
        <v>4</v>
      </c>
      <c r="M133" s="91">
        <v>5</v>
      </c>
      <c r="N133" s="91">
        <v>6</v>
      </c>
      <c r="O133" s="91">
        <v>7</v>
      </c>
      <c r="P133" s="91">
        <v>8</v>
      </c>
      <c r="Q133" s="91">
        <v>9</v>
      </c>
      <c r="R133" s="91">
        <v>10</v>
      </c>
      <c r="S133" s="91">
        <v>11</v>
      </c>
      <c r="T133" s="91">
        <v>12</v>
      </c>
      <c r="U133" s="91">
        <v>13</v>
      </c>
      <c r="V133" s="91">
        <v>14</v>
      </c>
      <c r="W133" s="91">
        <v>15</v>
      </c>
      <c r="X133" s="91">
        <v>16</v>
      </c>
      <c r="Y133" s="91">
        <v>17</v>
      </c>
      <c r="Z133" s="91">
        <v>18</v>
      </c>
      <c r="AA133" s="91">
        <v>19</v>
      </c>
      <c r="AB133" s="91">
        <v>20</v>
      </c>
      <c r="AC133" s="91">
        <v>21</v>
      </c>
      <c r="AD133" s="91">
        <v>22</v>
      </c>
      <c r="AE133" s="91">
        <v>23</v>
      </c>
      <c r="AF133" s="91">
        <v>24</v>
      </c>
      <c r="AG133" s="91">
        <v>25</v>
      </c>
      <c r="AH133" s="91">
        <v>26</v>
      </c>
      <c r="AI133" s="91">
        <v>27</v>
      </c>
      <c r="AJ133" s="91">
        <v>28</v>
      </c>
      <c r="AK133" s="91">
        <v>29</v>
      </c>
      <c r="AL133" s="91">
        <v>30</v>
      </c>
    </row>
    <row r="134" spans="1:38" x14ac:dyDescent="0.35">
      <c r="B134" s="26" t="s">
        <v>42</v>
      </c>
      <c r="G134" s="33"/>
      <c r="H134" s="33"/>
      <c r="I134" s="33">
        <f t="shared" ref="I134:AL134" si="25">PPMT($C$142,I133,$C$141,-$H$117)</f>
        <v>0</v>
      </c>
      <c r="J134" s="33">
        <f t="shared" si="25"/>
        <v>0</v>
      </c>
      <c r="K134" s="33">
        <f t="shared" si="25"/>
        <v>0</v>
      </c>
      <c r="L134" s="33">
        <f t="shared" si="25"/>
        <v>0</v>
      </c>
      <c r="M134" s="33">
        <f t="shared" si="25"/>
        <v>0</v>
      </c>
      <c r="N134" s="33">
        <f t="shared" si="25"/>
        <v>0</v>
      </c>
      <c r="O134" s="33">
        <f t="shared" si="25"/>
        <v>0</v>
      </c>
      <c r="P134" s="33">
        <f t="shared" si="25"/>
        <v>0</v>
      </c>
      <c r="Q134" s="33">
        <f t="shared" si="25"/>
        <v>0</v>
      </c>
      <c r="R134" s="33">
        <f t="shared" si="25"/>
        <v>0</v>
      </c>
      <c r="S134" s="33">
        <f t="shared" si="25"/>
        <v>0</v>
      </c>
      <c r="T134" s="33">
        <f t="shared" si="25"/>
        <v>0</v>
      </c>
      <c r="U134" s="33">
        <f t="shared" si="25"/>
        <v>0</v>
      </c>
      <c r="V134" s="33">
        <f t="shared" si="25"/>
        <v>0</v>
      </c>
      <c r="W134" s="33">
        <f t="shared" si="25"/>
        <v>0</v>
      </c>
      <c r="X134" s="33">
        <f t="shared" si="25"/>
        <v>0</v>
      </c>
      <c r="Y134" s="33">
        <f t="shared" si="25"/>
        <v>0</v>
      </c>
      <c r="Z134" s="33">
        <f t="shared" si="25"/>
        <v>0</v>
      </c>
      <c r="AA134" s="33">
        <f t="shared" si="25"/>
        <v>0</v>
      </c>
      <c r="AB134" s="33">
        <f t="shared" si="25"/>
        <v>0</v>
      </c>
      <c r="AC134" s="33">
        <f t="shared" si="25"/>
        <v>0</v>
      </c>
      <c r="AD134" s="33">
        <f t="shared" si="25"/>
        <v>0</v>
      </c>
      <c r="AE134" s="33">
        <f t="shared" si="25"/>
        <v>0</v>
      </c>
      <c r="AF134" s="33">
        <f t="shared" si="25"/>
        <v>0</v>
      </c>
      <c r="AG134" s="33">
        <f t="shared" si="25"/>
        <v>0</v>
      </c>
      <c r="AH134" s="33">
        <f t="shared" si="25"/>
        <v>0</v>
      </c>
      <c r="AI134" s="33">
        <f t="shared" si="25"/>
        <v>0</v>
      </c>
      <c r="AJ134" s="33">
        <f t="shared" si="25"/>
        <v>0</v>
      </c>
      <c r="AK134" s="33">
        <f t="shared" si="25"/>
        <v>0</v>
      </c>
      <c r="AL134" s="33">
        <f t="shared" si="25"/>
        <v>0</v>
      </c>
    </row>
    <row r="135" spans="1:38" x14ac:dyDescent="0.35">
      <c r="B135" s="26" t="s">
        <v>43</v>
      </c>
      <c r="G135" s="34"/>
      <c r="H135" s="34"/>
      <c r="I135" s="35">
        <f t="shared" ref="I135:AL135" si="26">IPMT($C$142,I133,$C$141,-$H$117)</f>
        <v>0</v>
      </c>
      <c r="J135" s="35">
        <f t="shared" si="26"/>
        <v>0</v>
      </c>
      <c r="K135" s="35">
        <f t="shared" si="26"/>
        <v>0</v>
      </c>
      <c r="L135" s="35">
        <f t="shared" si="26"/>
        <v>0</v>
      </c>
      <c r="M135" s="35">
        <f t="shared" si="26"/>
        <v>0</v>
      </c>
      <c r="N135" s="35">
        <f t="shared" si="26"/>
        <v>0</v>
      </c>
      <c r="O135" s="35">
        <f t="shared" si="26"/>
        <v>0</v>
      </c>
      <c r="P135" s="35">
        <f t="shared" si="26"/>
        <v>0</v>
      </c>
      <c r="Q135" s="35">
        <f t="shared" si="26"/>
        <v>0</v>
      </c>
      <c r="R135" s="35">
        <f t="shared" si="26"/>
        <v>0</v>
      </c>
      <c r="S135" s="35">
        <f t="shared" si="26"/>
        <v>0</v>
      </c>
      <c r="T135" s="35">
        <f t="shared" si="26"/>
        <v>0</v>
      </c>
      <c r="U135" s="35">
        <f t="shared" si="26"/>
        <v>0</v>
      </c>
      <c r="V135" s="35">
        <f t="shared" si="26"/>
        <v>0</v>
      </c>
      <c r="W135" s="35">
        <f t="shared" si="26"/>
        <v>0</v>
      </c>
      <c r="X135" s="35">
        <f t="shared" si="26"/>
        <v>0</v>
      </c>
      <c r="Y135" s="35">
        <f t="shared" si="26"/>
        <v>0</v>
      </c>
      <c r="Z135" s="35">
        <f t="shared" si="26"/>
        <v>0</v>
      </c>
      <c r="AA135" s="35">
        <f t="shared" si="26"/>
        <v>0</v>
      </c>
      <c r="AB135" s="35">
        <f t="shared" si="26"/>
        <v>0</v>
      </c>
      <c r="AC135" s="35">
        <f t="shared" si="26"/>
        <v>0</v>
      </c>
      <c r="AD135" s="35">
        <f t="shared" si="26"/>
        <v>0</v>
      </c>
      <c r="AE135" s="35">
        <f t="shared" si="26"/>
        <v>0</v>
      </c>
      <c r="AF135" s="35">
        <f t="shared" si="26"/>
        <v>0</v>
      </c>
      <c r="AG135" s="35">
        <f t="shared" si="26"/>
        <v>0</v>
      </c>
      <c r="AH135" s="35">
        <f t="shared" si="26"/>
        <v>0</v>
      </c>
      <c r="AI135" s="35">
        <f t="shared" si="26"/>
        <v>0</v>
      </c>
      <c r="AJ135" s="35">
        <f t="shared" si="26"/>
        <v>0</v>
      </c>
      <c r="AK135" s="35">
        <f t="shared" si="26"/>
        <v>0</v>
      </c>
      <c r="AL135" s="35">
        <f t="shared" si="26"/>
        <v>0</v>
      </c>
    </row>
    <row r="136" spans="1:38" x14ac:dyDescent="0.35">
      <c r="A136" s="26" t="s">
        <v>197</v>
      </c>
      <c r="G136" s="33"/>
      <c r="H136" s="33"/>
      <c r="I136" s="33">
        <f t="shared" ref="I136:AL136" si="27">SUM(I134:I135)</f>
        <v>0</v>
      </c>
      <c r="J136" s="33">
        <f t="shared" si="27"/>
        <v>0</v>
      </c>
      <c r="K136" s="33">
        <f t="shared" si="27"/>
        <v>0</v>
      </c>
      <c r="L136" s="33">
        <f t="shared" si="27"/>
        <v>0</v>
      </c>
      <c r="M136" s="33">
        <f t="shared" si="27"/>
        <v>0</v>
      </c>
      <c r="N136" s="33">
        <f t="shared" si="27"/>
        <v>0</v>
      </c>
      <c r="O136" s="33">
        <f t="shared" si="27"/>
        <v>0</v>
      </c>
      <c r="P136" s="33">
        <f t="shared" si="27"/>
        <v>0</v>
      </c>
      <c r="Q136" s="33">
        <f t="shared" si="27"/>
        <v>0</v>
      </c>
      <c r="R136" s="33">
        <f t="shared" si="27"/>
        <v>0</v>
      </c>
      <c r="S136" s="33">
        <f t="shared" si="27"/>
        <v>0</v>
      </c>
      <c r="T136" s="33">
        <f t="shared" si="27"/>
        <v>0</v>
      </c>
      <c r="U136" s="33">
        <f t="shared" si="27"/>
        <v>0</v>
      </c>
      <c r="V136" s="33">
        <f t="shared" si="27"/>
        <v>0</v>
      </c>
      <c r="W136" s="33">
        <f t="shared" si="27"/>
        <v>0</v>
      </c>
      <c r="X136" s="33">
        <f t="shared" si="27"/>
        <v>0</v>
      </c>
      <c r="Y136" s="33">
        <f t="shared" si="27"/>
        <v>0</v>
      </c>
      <c r="Z136" s="33">
        <f t="shared" si="27"/>
        <v>0</v>
      </c>
      <c r="AA136" s="33">
        <f t="shared" si="27"/>
        <v>0</v>
      </c>
      <c r="AB136" s="33">
        <f t="shared" si="27"/>
        <v>0</v>
      </c>
      <c r="AC136" s="33">
        <f t="shared" si="27"/>
        <v>0</v>
      </c>
      <c r="AD136" s="33">
        <f t="shared" si="27"/>
        <v>0</v>
      </c>
      <c r="AE136" s="33">
        <f t="shared" si="27"/>
        <v>0</v>
      </c>
      <c r="AF136" s="33">
        <f t="shared" si="27"/>
        <v>0</v>
      </c>
      <c r="AG136" s="33">
        <f t="shared" si="27"/>
        <v>0</v>
      </c>
      <c r="AH136" s="33">
        <f t="shared" si="27"/>
        <v>0</v>
      </c>
      <c r="AI136" s="33">
        <f t="shared" si="27"/>
        <v>0</v>
      </c>
      <c r="AJ136" s="33">
        <f t="shared" si="27"/>
        <v>0</v>
      </c>
      <c r="AK136" s="33">
        <f t="shared" si="27"/>
        <v>0</v>
      </c>
      <c r="AL136" s="33">
        <f t="shared" si="27"/>
        <v>0</v>
      </c>
    </row>
    <row r="138" spans="1:38" x14ac:dyDescent="0.35">
      <c r="A138" s="26" t="s">
        <v>198</v>
      </c>
      <c r="F138" s="33"/>
      <c r="G138" s="33"/>
      <c r="H138" s="33">
        <f>H117</f>
        <v>0</v>
      </c>
      <c r="I138" s="33">
        <f t="shared" ref="I138:AB138" si="28">H138-I134</f>
        <v>0</v>
      </c>
      <c r="J138" s="33">
        <f t="shared" si="28"/>
        <v>0</v>
      </c>
      <c r="K138" s="33">
        <f t="shared" si="28"/>
        <v>0</v>
      </c>
      <c r="L138" s="33">
        <f t="shared" si="28"/>
        <v>0</v>
      </c>
      <c r="M138" s="33">
        <f t="shared" si="28"/>
        <v>0</v>
      </c>
      <c r="N138" s="33">
        <f t="shared" si="28"/>
        <v>0</v>
      </c>
      <c r="O138" s="33">
        <f t="shared" si="28"/>
        <v>0</v>
      </c>
      <c r="P138" s="33">
        <f t="shared" si="28"/>
        <v>0</v>
      </c>
      <c r="Q138" s="33">
        <f t="shared" si="28"/>
        <v>0</v>
      </c>
      <c r="R138" s="33">
        <f t="shared" si="28"/>
        <v>0</v>
      </c>
      <c r="S138" s="33">
        <f t="shared" si="28"/>
        <v>0</v>
      </c>
      <c r="T138" s="33">
        <f t="shared" si="28"/>
        <v>0</v>
      </c>
      <c r="U138" s="33">
        <f t="shared" si="28"/>
        <v>0</v>
      </c>
      <c r="V138" s="33">
        <f t="shared" si="28"/>
        <v>0</v>
      </c>
      <c r="W138" s="33">
        <f t="shared" si="28"/>
        <v>0</v>
      </c>
      <c r="X138" s="33">
        <f t="shared" si="28"/>
        <v>0</v>
      </c>
      <c r="Y138" s="33">
        <f t="shared" si="28"/>
        <v>0</v>
      </c>
      <c r="Z138" s="33">
        <f t="shared" si="28"/>
        <v>0</v>
      </c>
      <c r="AA138" s="33">
        <f t="shared" si="28"/>
        <v>0</v>
      </c>
      <c r="AB138" s="33">
        <f t="shared" si="28"/>
        <v>0</v>
      </c>
      <c r="AC138" s="33">
        <f t="shared" ref="AC138:AL138" si="29">AB138-AC134</f>
        <v>0</v>
      </c>
      <c r="AD138" s="33">
        <f t="shared" si="29"/>
        <v>0</v>
      </c>
      <c r="AE138" s="33">
        <f t="shared" si="29"/>
        <v>0</v>
      </c>
      <c r="AF138" s="33">
        <f t="shared" si="29"/>
        <v>0</v>
      </c>
      <c r="AG138" s="33">
        <f t="shared" si="29"/>
        <v>0</v>
      </c>
      <c r="AH138" s="33">
        <f t="shared" si="29"/>
        <v>0</v>
      </c>
      <c r="AI138" s="33">
        <f t="shared" si="29"/>
        <v>0</v>
      </c>
      <c r="AJ138" s="33">
        <f t="shared" si="29"/>
        <v>0</v>
      </c>
      <c r="AK138" s="33">
        <f t="shared" si="29"/>
        <v>0</v>
      </c>
      <c r="AL138" s="33">
        <f t="shared" si="29"/>
        <v>0</v>
      </c>
    </row>
    <row r="140" spans="1:38" x14ac:dyDescent="0.35">
      <c r="A140" s="26" t="s">
        <v>206</v>
      </c>
    </row>
    <row r="141" spans="1:38" x14ac:dyDescent="0.35">
      <c r="B141" s="26" t="s">
        <v>200</v>
      </c>
      <c r="C141" s="145">
        <v>30</v>
      </c>
    </row>
    <row r="142" spans="1:38" x14ac:dyDescent="0.35">
      <c r="B142" s="26" t="s">
        <v>201</v>
      </c>
      <c r="C142" s="146">
        <v>0.06</v>
      </c>
    </row>
    <row r="143" spans="1:38" s="81" customFormat="1" x14ac:dyDescent="0.35"/>
    <row r="146" spans="1:40" s="92" customFormat="1" x14ac:dyDescent="0.35">
      <c r="A146" s="147" t="s">
        <v>1107</v>
      </c>
      <c r="G146" s="91"/>
      <c r="H146" s="91"/>
      <c r="I146" s="91"/>
      <c r="J146" s="91"/>
      <c r="K146" s="91">
        <v>1</v>
      </c>
      <c r="L146" s="91">
        <v>2</v>
      </c>
      <c r="M146" s="91">
        <v>3</v>
      </c>
      <c r="N146" s="91">
        <v>4</v>
      </c>
      <c r="O146" s="91">
        <v>5</v>
      </c>
      <c r="P146" s="91">
        <v>6</v>
      </c>
      <c r="Q146" s="91">
        <v>7</v>
      </c>
      <c r="R146" s="91">
        <v>8</v>
      </c>
      <c r="S146" s="91">
        <v>9</v>
      </c>
      <c r="T146" s="91">
        <v>10</v>
      </c>
      <c r="U146" s="91">
        <v>11</v>
      </c>
      <c r="V146" s="91">
        <v>12</v>
      </c>
      <c r="W146" s="91">
        <v>13</v>
      </c>
      <c r="X146" s="91">
        <v>14</v>
      </c>
      <c r="Y146" s="91">
        <v>15</v>
      </c>
      <c r="Z146" s="91">
        <v>16</v>
      </c>
      <c r="AA146" s="91">
        <v>17</v>
      </c>
      <c r="AB146" s="91">
        <v>18</v>
      </c>
      <c r="AC146" s="91">
        <v>19</v>
      </c>
      <c r="AD146" s="91">
        <v>20</v>
      </c>
      <c r="AE146" s="91">
        <v>21</v>
      </c>
      <c r="AF146" s="91">
        <v>22</v>
      </c>
      <c r="AG146" s="91">
        <v>23</v>
      </c>
      <c r="AH146" s="91">
        <v>24</v>
      </c>
      <c r="AI146" s="91">
        <v>25</v>
      </c>
      <c r="AJ146" s="91">
        <v>26</v>
      </c>
      <c r="AK146" s="91">
        <v>27</v>
      </c>
      <c r="AL146" s="91">
        <v>28</v>
      </c>
      <c r="AM146" s="91">
        <v>29</v>
      </c>
      <c r="AN146" s="91">
        <v>30</v>
      </c>
    </row>
    <row r="147" spans="1:40" x14ac:dyDescent="0.35">
      <c r="B147" s="26" t="s">
        <v>42</v>
      </c>
      <c r="G147" s="33"/>
      <c r="H147" s="33"/>
      <c r="I147" s="33"/>
      <c r="J147" s="33"/>
      <c r="K147" s="33">
        <f t="shared" ref="K147:AN147" si="30">PPMT($C$155,K146,$C$154,-$J$117)</f>
        <v>0</v>
      </c>
      <c r="L147" s="33">
        <f t="shared" si="30"/>
        <v>0</v>
      </c>
      <c r="M147" s="33">
        <f t="shared" si="30"/>
        <v>0</v>
      </c>
      <c r="N147" s="33">
        <f t="shared" si="30"/>
        <v>0</v>
      </c>
      <c r="O147" s="33">
        <f t="shared" si="30"/>
        <v>0</v>
      </c>
      <c r="P147" s="33">
        <f t="shared" si="30"/>
        <v>0</v>
      </c>
      <c r="Q147" s="33">
        <f t="shared" si="30"/>
        <v>0</v>
      </c>
      <c r="R147" s="33">
        <f t="shared" si="30"/>
        <v>0</v>
      </c>
      <c r="S147" s="33">
        <f t="shared" si="30"/>
        <v>0</v>
      </c>
      <c r="T147" s="33">
        <f t="shared" si="30"/>
        <v>0</v>
      </c>
      <c r="U147" s="33">
        <f t="shared" si="30"/>
        <v>0</v>
      </c>
      <c r="V147" s="33">
        <f t="shared" si="30"/>
        <v>0</v>
      </c>
      <c r="W147" s="33">
        <f t="shared" si="30"/>
        <v>0</v>
      </c>
      <c r="X147" s="33">
        <f t="shared" si="30"/>
        <v>0</v>
      </c>
      <c r="Y147" s="33">
        <f t="shared" si="30"/>
        <v>0</v>
      </c>
      <c r="Z147" s="33">
        <f t="shared" si="30"/>
        <v>0</v>
      </c>
      <c r="AA147" s="33">
        <f t="shared" si="30"/>
        <v>0</v>
      </c>
      <c r="AB147" s="33">
        <f t="shared" si="30"/>
        <v>0</v>
      </c>
      <c r="AC147" s="33">
        <f t="shared" si="30"/>
        <v>0</v>
      </c>
      <c r="AD147" s="33">
        <f t="shared" si="30"/>
        <v>0</v>
      </c>
      <c r="AE147" s="33">
        <f t="shared" si="30"/>
        <v>0</v>
      </c>
      <c r="AF147" s="33">
        <f t="shared" si="30"/>
        <v>0</v>
      </c>
      <c r="AG147" s="33">
        <f t="shared" si="30"/>
        <v>0</v>
      </c>
      <c r="AH147" s="33">
        <f t="shared" si="30"/>
        <v>0</v>
      </c>
      <c r="AI147" s="33">
        <f t="shared" si="30"/>
        <v>0</v>
      </c>
      <c r="AJ147" s="33">
        <f t="shared" si="30"/>
        <v>0</v>
      </c>
      <c r="AK147" s="33">
        <f t="shared" si="30"/>
        <v>0</v>
      </c>
      <c r="AL147" s="33">
        <f t="shared" si="30"/>
        <v>0</v>
      </c>
      <c r="AM147" s="33">
        <f t="shared" si="30"/>
        <v>0</v>
      </c>
      <c r="AN147" s="33">
        <f t="shared" si="30"/>
        <v>0</v>
      </c>
    </row>
    <row r="148" spans="1:40" x14ac:dyDescent="0.35">
      <c r="B148" s="26" t="s">
        <v>43</v>
      </c>
      <c r="G148" s="34"/>
      <c r="H148" s="34"/>
      <c r="I148" s="34"/>
      <c r="J148" s="34"/>
      <c r="K148" s="35">
        <f t="shared" ref="K148:AN148" si="31">IPMT($C$155,K146,$C$154,-$J$117)</f>
        <v>0</v>
      </c>
      <c r="L148" s="35">
        <f t="shared" si="31"/>
        <v>0</v>
      </c>
      <c r="M148" s="35">
        <f t="shared" si="31"/>
        <v>0</v>
      </c>
      <c r="N148" s="35">
        <f t="shared" si="31"/>
        <v>0</v>
      </c>
      <c r="O148" s="35">
        <f t="shared" si="31"/>
        <v>0</v>
      </c>
      <c r="P148" s="35">
        <f t="shared" si="31"/>
        <v>0</v>
      </c>
      <c r="Q148" s="35">
        <f t="shared" si="31"/>
        <v>0</v>
      </c>
      <c r="R148" s="35">
        <f t="shared" si="31"/>
        <v>0</v>
      </c>
      <c r="S148" s="35">
        <f t="shared" si="31"/>
        <v>0</v>
      </c>
      <c r="T148" s="35">
        <f t="shared" si="31"/>
        <v>0</v>
      </c>
      <c r="U148" s="35">
        <f t="shared" si="31"/>
        <v>0</v>
      </c>
      <c r="V148" s="35">
        <f t="shared" si="31"/>
        <v>0</v>
      </c>
      <c r="W148" s="35">
        <f t="shared" si="31"/>
        <v>0</v>
      </c>
      <c r="X148" s="35">
        <f t="shared" si="31"/>
        <v>0</v>
      </c>
      <c r="Y148" s="35">
        <f t="shared" si="31"/>
        <v>0</v>
      </c>
      <c r="Z148" s="35">
        <f t="shared" si="31"/>
        <v>0</v>
      </c>
      <c r="AA148" s="35">
        <f t="shared" si="31"/>
        <v>0</v>
      </c>
      <c r="AB148" s="35">
        <f t="shared" si="31"/>
        <v>0</v>
      </c>
      <c r="AC148" s="35">
        <f t="shared" si="31"/>
        <v>0</v>
      </c>
      <c r="AD148" s="35">
        <f t="shared" si="31"/>
        <v>0</v>
      </c>
      <c r="AE148" s="35">
        <f t="shared" si="31"/>
        <v>0</v>
      </c>
      <c r="AF148" s="35">
        <f t="shared" si="31"/>
        <v>0</v>
      </c>
      <c r="AG148" s="35">
        <f t="shared" si="31"/>
        <v>0</v>
      </c>
      <c r="AH148" s="35">
        <f t="shared" si="31"/>
        <v>0</v>
      </c>
      <c r="AI148" s="35">
        <f t="shared" si="31"/>
        <v>0</v>
      </c>
      <c r="AJ148" s="35">
        <f t="shared" si="31"/>
        <v>0</v>
      </c>
      <c r="AK148" s="35">
        <f t="shared" si="31"/>
        <v>0</v>
      </c>
      <c r="AL148" s="35">
        <f t="shared" si="31"/>
        <v>0</v>
      </c>
      <c r="AM148" s="35">
        <f t="shared" si="31"/>
        <v>0</v>
      </c>
      <c r="AN148" s="35">
        <f t="shared" si="31"/>
        <v>0</v>
      </c>
    </row>
    <row r="149" spans="1:40" x14ac:dyDescent="0.35">
      <c r="A149" s="26" t="s">
        <v>197</v>
      </c>
      <c r="G149" s="33"/>
      <c r="H149" s="33"/>
      <c r="I149" s="33"/>
      <c r="J149" s="33"/>
      <c r="K149" s="33">
        <f t="shared" ref="K149:AN149" si="32">SUM(K147:K148)</f>
        <v>0</v>
      </c>
      <c r="L149" s="33">
        <f t="shared" si="32"/>
        <v>0</v>
      </c>
      <c r="M149" s="33">
        <f t="shared" si="32"/>
        <v>0</v>
      </c>
      <c r="N149" s="33">
        <f t="shared" si="32"/>
        <v>0</v>
      </c>
      <c r="O149" s="33">
        <f t="shared" si="32"/>
        <v>0</v>
      </c>
      <c r="P149" s="33">
        <f t="shared" si="32"/>
        <v>0</v>
      </c>
      <c r="Q149" s="33">
        <f t="shared" si="32"/>
        <v>0</v>
      </c>
      <c r="R149" s="33">
        <f t="shared" si="32"/>
        <v>0</v>
      </c>
      <c r="S149" s="33">
        <f t="shared" si="32"/>
        <v>0</v>
      </c>
      <c r="T149" s="33">
        <f t="shared" si="32"/>
        <v>0</v>
      </c>
      <c r="U149" s="33">
        <f t="shared" si="32"/>
        <v>0</v>
      </c>
      <c r="V149" s="33">
        <f t="shared" si="32"/>
        <v>0</v>
      </c>
      <c r="W149" s="33">
        <f t="shared" si="32"/>
        <v>0</v>
      </c>
      <c r="X149" s="33">
        <f t="shared" si="32"/>
        <v>0</v>
      </c>
      <c r="Y149" s="33">
        <f t="shared" si="32"/>
        <v>0</v>
      </c>
      <c r="Z149" s="33">
        <f t="shared" si="32"/>
        <v>0</v>
      </c>
      <c r="AA149" s="33">
        <f t="shared" si="32"/>
        <v>0</v>
      </c>
      <c r="AB149" s="33">
        <f t="shared" si="32"/>
        <v>0</v>
      </c>
      <c r="AC149" s="33">
        <f t="shared" si="32"/>
        <v>0</v>
      </c>
      <c r="AD149" s="33">
        <f t="shared" si="32"/>
        <v>0</v>
      </c>
      <c r="AE149" s="33">
        <f t="shared" si="32"/>
        <v>0</v>
      </c>
      <c r="AF149" s="33">
        <f t="shared" si="32"/>
        <v>0</v>
      </c>
      <c r="AG149" s="33">
        <f t="shared" si="32"/>
        <v>0</v>
      </c>
      <c r="AH149" s="33">
        <f t="shared" si="32"/>
        <v>0</v>
      </c>
      <c r="AI149" s="33">
        <f t="shared" si="32"/>
        <v>0</v>
      </c>
      <c r="AJ149" s="33">
        <f t="shared" si="32"/>
        <v>0</v>
      </c>
      <c r="AK149" s="33">
        <f t="shared" si="32"/>
        <v>0</v>
      </c>
      <c r="AL149" s="33">
        <f t="shared" si="32"/>
        <v>0</v>
      </c>
      <c r="AM149" s="33">
        <f t="shared" si="32"/>
        <v>0</v>
      </c>
      <c r="AN149" s="33">
        <f t="shared" si="32"/>
        <v>0</v>
      </c>
    </row>
    <row r="151" spans="1:40" x14ac:dyDescent="0.35">
      <c r="A151" s="26" t="s">
        <v>198</v>
      </c>
      <c r="F151" s="33"/>
      <c r="G151" s="33"/>
      <c r="H151" s="33"/>
      <c r="I151" s="33"/>
      <c r="J151" s="33">
        <f>J117</f>
        <v>0</v>
      </c>
      <c r="K151" s="33">
        <f t="shared" ref="K151:AD151" si="33">J151-K147</f>
        <v>0</v>
      </c>
      <c r="L151" s="33">
        <f t="shared" si="33"/>
        <v>0</v>
      </c>
      <c r="M151" s="33">
        <f t="shared" si="33"/>
        <v>0</v>
      </c>
      <c r="N151" s="33">
        <f t="shared" si="33"/>
        <v>0</v>
      </c>
      <c r="O151" s="33">
        <f t="shared" si="33"/>
        <v>0</v>
      </c>
      <c r="P151" s="33">
        <f t="shared" si="33"/>
        <v>0</v>
      </c>
      <c r="Q151" s="33">
        <f t="shared" si="33"/>
        <v>0</v>
      </c>
      <c r="R151" s="33">
        <f t="shared" si="33"/>
        <v>0</v>
      </c>
      <c r="S151" s="33">
        <f t="shared" si="33"/>
        <v>0</v>
      </c>
      <c r="T151" s="33">
        <f t="shared" si="33"/>
        <v>0</v>
      </c>
      <c r="U151" s="33">
        <f t="shared" si="33"/>
        <v>0</v>
      </c>
      <c r="V151" s="33">
        <f t="shared" si="33"/>
        <v>0</v>
      </c>
      <c r="W151" s="33">
        <f t="shared" si="33"/>
        <v>0</v>
      </c>
      <c r="X151" s="33">
        <f t="shared" si="33"/>
        <v>0</v>
      </c>
      <c r="Y151" s="33">
        <f t="shared" si="33"/>
        <v>0</v>
      </c>
      <c r="Z151" s="33">
        <f t="shared" si="33"/>
        <v>0</v>
      </c>
      <c r="AA151" s="33">
        <f t="shared" si="33"/>
        <v>0</v>
      </c>
      <c r="AB151" s="33">
        <f t="shared" si="33"/>
        <v>0</v>
      </c>
      <c r="AC151" s="33">
        <f t="shared" si="33"/>
        <v>0</v>
      </c>
      <c r="AD151" s="33">
        <f t="shared" si="33"/>
        <v>0</v>
      </c>
      <c r="AE151" s="33">
        <f t="shared" ref="AE151:AN151" si="34">AD151-AE147</f>
        <v>0</v>
      </c>
      <c r="AF151" s="33">
        <f t="shared" si="34"/>
        <v>0</v>
      </c>
      <c r="AG151" s="33">
        <f t="shared" si="34"/>
        <v>0</v>
      </c>
      <c r="AH151" s="33">
        <f t="shared" si="34"/>
        <v>0</v>
      </c>
      <c r="AI151" s="33">
        <f t="shared" si="34"/>
        <v>0</v>
      </c>
      <c r="AJ151" s="33">
        <f t="shared" si="34"/>
        <v>0</v>
      </c>
      <c r="AK151" s="33">
        <f t="shared" si="34"/>
        <v>0</v>
      </c>
      <c r="AL151" s="33">
        <f t="shared" si="34"/>
        <v>0</v>
      </c>
      <c r="AM151" s="33">
        <f t="shared" si="34"/>
        <v>0</v>
      </c>
      <c r="AN151" s="33">
        <f t="shared" si="34"/>
        <v>0</v>
      </c>
    </row>
    <row r="153" spans="1:40" x14ac:dyDescent="0.35">
      <c r="A153" s="26" t="s">
        <v>206</v>
      </c>
    </row>
    <row r="154" spans="1:40" x14ac:dyDescent="0.35">
      <c r="B154" s="26" t="s">
        <v>200</v>
      </c>
      <c r="C154" s="145">
        <v>30</v>
      </c>
    </row>
    <row r="155" spans="1:40" x14ac:dyDescent="0.35">
      <c r="B155" s="26" t="s">
        <v>201</v>
      </c>
      <c r="C155" s="146">
        <v>0.06</v>
      </c>
    </row>
    <row r="156" spans="1:40" s="81" customFormat="1" x14ac:dyDescent="0.35"/>
    <row r="159" spans="1:40" x14ac:dyDescent="0.35">
      <c r="F159" s="51">
        <v>2012</v>
      </c>
      <c r="G159" s="51">
        <v>2013</v>
      </c>
      <c r="H159" s="51">
        <v>2014</v>
      </c>
      <c r="I159" s="51">
        <v>2015</v>
      </c>
      <c r="J159" s="51">
        <v>2016</v>
      </c>
      <c r="K159" s="51">
        <v>2017</v>
      </c>
    </row>
    <row r="160" spans="1:40" x14ac:dyDescent="0.35">
      <c r="A160" s="26" t="s">
        <v>431</v>
      </c>
    </row>
    <row r="161" spans="1:40" x14ac:dyDescent="0.35">
      <c r="B161" s="26" t="s">
        <v>188</v>
      </c>
      <c r="F161" s="33">
        <f t="shared" ref="F161:AN161" si="35">F71+F84+F97</f>
        <v>0</v>
      </c>
      <c r="G161" s="33">
        <f t="shared" si="35"/>
        <v>0</v>
      </c>
      <c r="H161" s="33">
        <f t="shared" si="35"/>
        <v>0</v>
      </c>
      <c r="I161" s="33">
        <f t="shared" si="35"/>
        <v>0</v>
      </c>
      <c r="J161" s="33">
        <f t="shared" si="35"/>
        <v>0</v>
      </c>
      <c r="K161" s="33">
        <f t="shared" si="35"/>
        <v>0</v>
      </c>
      <c r="L161" s="33">
        <f t="shared" si="35"/>
        <v>0</v>
      </c>
      <c r="M161" s="33">
        <f t="shared" si="35"/>
        <v>0</v>
      </c>
      <c r="N161" s="33">
        <f t="shared" si="35"/>
        <v>0</v>
      </c>
      <c r="O161" s="33">
        <f t="shared" si="35"/>
        <v>0</v>
      </c>
      <c r="P161" s="33">
        <f t="shared" si="35"/>
        <v>0</v>
      </c>
      <c r="Q161" s="33">
        <f t="shared" si="35"/>
        <v>0</v>
      </c>
      <c r="R161" s="33">
        <f t="shared" si="35"/>
        <v>0</v>
      </c>
      <c r="S161" s="33">
        <f t="shared" si="35"/>
        <v>0</v>
      </c>
      <c r="T161" s="33">
        <f t="shared" si="35"/>
        <v>0</v>
      </c>
      <c r="U161" s="33">
        <f t="shared" si="35"/>
        <v>0</v>
      </c>
      <c r="V161" s="33">
        <f t="shared" si="35"/>
        <v>0</v>
      </c>
      <c r="W161" s="33">
        <f t="shared" si="35"/>
        <v>0</v>
      </c>
      <c r="X161" s="33">
        <f t="shared" si="35"/>
        <v>0</v>
      </c>
      <c r="Y161" s="33">
        <f t="shared" si="35"/>
        <v>0</v>
      </c>
      <c r="Z161" s="33">
        <f t="shared" si="35"/>
        <v>0</v>
      </c>
      <c r="AA161" s="33">
        <f t="shared" si="35"/>
        <v>0</v>
      </c>
      <c r="AB161" s="33">
        <f t="shared" si="35"/>
        <v>0</v>
      </c>
      <c r="AC161" s="33">
        <f t="shared" si="35"/>
        <v>0</v>
      </c>
      <c r="AD161" s="33">
        <f t="shared" si="35"/>
        <v>0</v>
      </c>
      <c r="AE161" s="33">
        <f t="shared" si="35"/>
        <v>0</v>
      </c>
      <c r="AF161" s="33">
        <f t="shared" si="35"/>
        <v>0</v>
      </c>
      <c r="AG161" s="33">
        <f t="shared" si="35"/>
        <v>0</v>
      </c>
      <c r="AH161" s="33">
        <f t="shared" si="35"/>
        <v>0</v>
      </c>
      <c r="AI161" s="33">
        <f t="shared" si="35"/>
        <v>0</v>
      </c>
      <c r="AJ161" s="33">
        <f t="shared" si="35"/>
        <v>0</v>
      </c>
      <c r="AK161" s="33">
        <f t="shared" si="35"/>
        <v>0</v>
      </c>
      <c r="AL161" s="33">
        <f t="shared" si="35"/>
        <v>0</v>
      </c>
      <c r="AM161" s="33">
        <f t="shared" si="35"/>
        <v>0</v>
      </c>
      <c r="AN161" s="33">
        <f t="shared" si="35"/>
        <v>0</v>
      </c>
    </row>
    <row r="162" spans="1:40" x14ac:dyDescent="0.35">
      <c r="B162" s="26" t="s">
        <v>189</v>
      </c>
      <c r="F162" s="35">
        <f t="shared" ref="F162:AN162" si="36">F123+F136+F149</f>
        <v>0</v>
      </c>
      <c r="G162" s="35">
        <f t="shared" si="36"/>
        <v>0</v>
      </c>
      <c r="H162" s="35">
        <f t="shared" si="36"/>
        <v>0</v>
      </c>
      <c r="I162" s="35">
        <f t="shared" si="36"/>
        <v>0</v>
      </c>
      <c r="J162" s="35">
        <f t="shared" si="36"/>
        <v>0</v>
      </c>
      <c r="K162" s="35">
        <f t="shared" si="36"/>
        <v>0</v>
      </c>
      <c r="L162" s="35">
        <f t="shared" si="36"/>
        <v>0</v>
      </c>
      <c r="M162" s="35">
        <f t="shared" si="36"/>
        <v>0</v>
      </c>
      <c r="N162" s="35">
        <f t="shared" si="36"/>
        <v>0</v>
      </c>
      <c r="O162" s="35">
        <f t="shared" si="36"/>
        <v>0</v>
      </c>
      <c r="P162" s="35">
        <f t="shared" si="36"/>
        <v>0</v>
      </c>
      <c r="Q162" s="35">
        <f t="shared" si="36"/>
        <v>0</v>
      </c>
      <c r="R162" s="35">
        <f t="shared" si="36"/>
        <v>0</v>
      </c>
      <c r="S162" s="35">
        <f t="shared" si="36"/>
        <v>0</v>
      </c>
      <c r="T162" s="35">
        <f t="shared" si="36"/>
        <v>0</v>
      </c>
      <c r="U162" s="35">
        <f t="shared" si="36"/>
        <v>0</v>
      </c>
      <c r="V162" s="35">
        <f t="shared" si="36"/>
        <v>0</v>
      </c>
      <c r="W162" s="35">
        <f t="shared" si="36"/>
        <v>0</v>
      </c>
      <c r="X162" s="35">
        <f t="shared" si="36"/>
        <v>0</v>
      </c>
      <c r="Y162" s="35">
        <f t="shared" si="36"/>
        <v>0</v>
      </c>
      <c r="Z162" s="35">
        <f t="shared" si="36"/>
        <v>0</v>
      </c>
      <c r="AA162" s="35">
        <f t="shared" si="36"/>
        <v>0</v>
      </c>
      <c r="AB162" s="35">
        <f t="shared" si="36"/>
        <v>0</v>
      </c>
      <c r="AC162" s="35">
        <f t="shared" si="36"/>
        <v>0</v>
      </c>
      <c r="AD162" s="35">
        <f t="shared" si="36"/>
        <v>0</v>
      </c>
      <c r="AE162" s="35">
        <f t="shared" si="36"/>
        <v>0</v>
      </c>
      <c r="AF162" s="35">
        <f t="shared" si="36"/>
        <v>0</v>
      </c>
      <c r="AG162" s="35">
        <f t="shared" si="36"/>
        <v>0</v>
      </c>
      <c r="AH162" s="35">
        <f t="shared" si="36"/>
        <v>0</v>
      </c>
      <c r="AI162" s="35">
        <f t="shared" si="36"/>
        <v>0</v>
      </c>
      <c r="AJ162" s="35">
        <f t="shared" si="36"/>
        <v>0</v>
      </c>
      <c r="AK162" s="35">
        <f t="shared" si="36"/>
        <v>0</v>
      </c>
      <c r="AL162" s="35">
        <f t="shared" si="36"/>
        <v>0</v>
      </c>
      <c r="AM162" s="35">
        <f t="shared" si="36"/>
        <v>0</v>
      </c>
      <c r="AN162" s="35">
        <f t="shared" si="36"/>
        <v>0</v>
      </c>
    </row>
    <row r="163" spans="1:40" x14ac:dyDescent="0.35">
      <c r="A163" s="26" t="s">
        <v>432</v>
      </c>
      <c r="F163" s="33">
        <f t="shared" ref="F163:AN163" si="37">SUM(F161:F162)</f>
        <v>0</v>
      </c>
      <c r="G163" s="33">
        <f t="shared" si="37"/>
        <v>0</v>
      </c>
      <c r="H163" s="33">
        <f t="shared" si="37"/>
        <v>0</v>
      </c>
      <c r="I163" s="33">
        <f t="shared" si="37"/>
        <v>0</v>
      </c>
      <c r="J163" s="33">
        <f t="shared" si="37"/>
        <v>0</v>
      </c>
      <c r="K163" s="33">
        <f t="shared" si="37"/>
        <v>0</v>
      </c>
      <c r="L163" s="33">
        <f t="shared" si="37"/>
        <v>0</v>
      </c>
      <c r="M163" s="33">
        <f t="shared" si="37"/>
        <v>0</v>
      </c>
      <c r="N163" s="33">
        <f t="shared" si="37"/>
        <v>0</v>
      </c>
      <c r="O163" s="33">
        <f t="shared" si="37"/>
        <v>0</v>
      </c>
      <c r="P163" s="33">
        <f t="shared" si="37"/>
        <v>0</v>
      </c>
      <c r="Q163" s="33">
        <f t="shared" si="37"/>
        <v>0</v>
      </c>
      <c r="R163" s="33">
        <f t="shared" si="37"/>
        <v>0</v>
      </c>
      <c r="S163" s="33">
        <f t="shared" si="37"/>
        <v>0</v>
      </c>
      <c r="T163" s="33">
        <f t="shared" si="37"/>
        <v>0</v>
      </c>
      <c r="U163" s="33">
        <f t="shared" si="37"/>
        <v>0</v>
      </c>
      <c r="V163" s="33">
        <f t="shared" si="37"/>
        <v>0</v>
      </c>
      <c r="W163" s="33">
        <f t="shared" si="37"/>
        <v>0</v>
      </c>
      <c r="X163" s="33">
        <f t="shared" si="37"/>
        <v>0</v>
      </c>
      <c r="Y163" s="33">
        <f t="shared" si="37"/>
        <v>0</v>
      </c>
      <c r="Z163" s="33">
        <f t="shared" si="37"/>
        <v>0</v>
      </c>
      <c r="AA163" s="33">
        <f t="shared" si="37"/>
        <v>0</v>
      </c>
      <c r="AB163" s="33">
        <f t="shared" si="37"/>
        <v>0</v>
      </c>
      <c r="AC163" s="33">
        <f t="shared" si="37"/>
        <v>0</v>
      </c>
      <c r="AD163" s="33">
        <f t="shared" si="37"/>
        <v>0</v>
      </c>
      <c r="AE163" s="33">
        <f t="shared" si="37"/>
        <v>0</v>
      </c>
      <c r="AF163" s="33">
        <f t="shared" si="37"/>
        <v>0</v>
      </c>
      <c r="AG163" s="33">
        <f t="shared" si="37"/>
        <v>0</v>
      </c>
      <c r="AH163" s="33">
        <f t="shared" si="37"/>
        <v>0</v>
      </c>
      <c r="AI163" s="33">
        <f t="shared" si="37"/>
        <v>0</v>
      </c>
      <c r="AJ163" s="33">
        <f t="shared" si="37"/>
        <v>0</v>
      </c>
      <c r="AK163" s="33">
        <f t="shared" si="37"/>
        <v>0</v>
      </c>
      <c r="AL163" s="33">
        <f t="shared" si="37"/>
        <v>0</v>
      </c>
      <c r="AM163" s="33">
        <f t="shared" si="37"/>
        <v>0</v>
      </c>
      <c r="AN163" s="33">
        <f t="shared" si="37"/>
        <v>0</v>
      </c>
    </row>
  </sheetData>
  <phoneticPr fontId="7" type="noConversion"/>
  <pageMargins left="0.75" right="0.75" top="1" bottom="1" header="0.5" footer="0.5"/>
  <pageSetup scale="48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44"/>
  </sheetPr>
  <dimension ref="A1:U41"/>
  <sheetViews>
    <sheetView zoomScaleNormal="100" workbookViewId="0">
      <selection activeCell="G31" sqref="G31"/>
    </sheetView>
  </sheetViews>
  <sheetFormatPr defaultColWidth="8.7265625" defaultRowHeight="15.5" x14ac:dyDescent="0.35"/>
  <cols>
    <col min="1" max="5" width="8.7265625" style="26"/>
    <col min="6" max="6" width="13.453125" style="26" customWidth="1"/>
    <col min="7" max="7" width="14.26953125" style="26" customWidth="1"/>
    <col min="8" max="8" width="13.7265625" style="26" customWidth="1"/>
    <col min="9" max="9" width="13.7265625" style="26" bestFit="1" customWidth="1"/>
    <col min="10" max="12" width="13.26953125" style="26" bestFit="1" customWidth="1"/>
    <col min="13" max="13" width="13.7265625" style="26" bestFit="1" customWidth="1"/>
    <col min="14" max="14" width="13.26953125" style="26" bestFit="1" customWidth="1"/>
    <col min="15" max="18" width="13.7265625" style="26" bestFit="1" customWidth="1"/>
    <col min="19" max="16384" width="8.7265625" style="26"/>
  </cols>
  <sheetData>
    <row r="1" spans="1:18" x14ac:dyDescent="0.35">
      <c r="A1" s="25" t="s">
        <v>4</v>
      </c>
      <c r="B1" s="25"/>
      <c r="C1" s="25"/>
    </row>
    <row r="2" spans="1:18" x14ac:dyDescent="0.35">
      <c r="A2" s="25" t="s">
        <v>109</v>
      </c>
      <c r="B2" s="25"/>
      <c r="C2" s="25"/>
    </row>
    <row r="3" spans="1:18" x14ac:dyDescent="0.35">
      <c r="A3" s="25" t="s">
        <v>120</v>
      </c>
      <c r="B3" s="25"/>
      <c r="C3" s="25"/>
      <c r="H3" s="50" t="s">
        <v>1595</v>
      </c>
    </row>
    <row r="4" spans="1:18" x14ac:dyDescent="0.35">
      <c r="A4" s="25"/>
      <c r="B4" s="25"/>
      <c r="C4" s="25"/>
    </row>
    <row r="5" spans="1:18" ht="18.649999999999999" customHeight="1" x14ac:dyDescent="0.35">
      <c r="E5" s="27"/>
      <c r="F5" s="46">
        <v>2012</v>
      </c>
      <c r="G5" s="27"/>
      <c r="H5" s="27"/>
    </row>
    <row r="6" spans="1:18" x14ac:dyDescent="0.35">
      <c r="A6" s="81"/>
      <c r="B6" s="81"/>
      <c r="C6" s="81"/>
      <c r="D6" s="81"/>
      <c r="E6" s="104"/>
      <c r="F6" s="30" t="s">
        <v>139</v>
      </c>
      <c r="G6" s="30" t="s">
        <v>36</v>
      </c>
      <c r="H6" s="30" t="s">
        <v>37</v>
      </c>
      <c r="I6" s="51">
        <v>2014</v>
      </c>
      <c r="J6" s="51">
        <v>2015</v>
      </c>
      <c r="K6" s="51">
        <v>2016</v>
      </c>
      <c r="L6" s="51">
        <v>2017</v>
      </c>
      <c r="M6" s="51">
        <v>2018</v>
      </c>
      <c r="N6" s="51">
        <v>2019</v>
      </c>
      <c r="O6" s="51">
        <v>2020</v>
      </c>
      <c r="P6" s="51">
        <v>2021</v>
      </c>
      <c r="Q6" s="51">
        <v>2022</v>
      </c>
      <c r="R6" s="51">
        <v>2023</v>
      </c>
    </row>
    <row r="8" spans="1:18" x14ac:dyDescent="0.35">
      <c r="A8" s="66" t="s">
        <v>120</v>
      </c>
    </row>
    <row r="9" spans="1:18" x14ac:dyDescent="0.35">
      <c r="A9" s="26" t="s">
        <v>121</v>
      </c>
      <c r="F9" s="33">
        <f>'Test Year Detail'!F51</f>
        <v>184254.91</v>
      </c>
      <c r="G9" s="37">
        <v>0</v>
      </c>
      <c r="H9" s="37">
        <f t="shared" ref="H9:H16" si="0">F9+G9</f>
        <v>184254.91</v>
      </c>
      <c r="I9" s="287">
        <f t="shared" ref="I9:R9" si="1">H9*(1+I27)</f>
        <v>184254.91</v>
      </c>
      <c r="J9" s="33">
        <f t="shared" si="1"/>
        <v>184254.91</v>
      </c>
      <c r="K9" s="33">
        <f t="shared" si="1"/>
        <v>184254.91</v>
      </c>
      <c r="L9" s="33">
        <f t="shared" si="1"/>
        <v>184254.91</v>
      </c>
      <c r="M9" s="33">
        <f t="shared" si="1"/>
        <v>184254.91</v>
      </c>
      <c r="N9" s="33">
        <f t="shared" si="1"/>
        <v>184254.91</v>
      </c>
      <c r="O9" s="33">
        <f t="shared" si="1"/>
        <v>184254.91</v>
      </c>
      <c r="P9" s="33">
        <f t="shared" si="1"/>
        <v>184254.91</v>
      </c>
      <c r="Q9" s="33">
        <f t="shared" si="1"/>
        <v>184254.91</v>
      </c>
      <c r="R9" s="33">
        <f t="shared" si="1"/>
        <v>184254.91</v>
      </c>
    </row>
    <row r="10" spans="1:18" x14ac:dyDescent="0.35">
      <c r="A10" s="26" t="s">
        <v>132</v>
      </c>
      <c r="F10" s="34">
        <f>'Test Year Detail'!F53</f>
        <v>-99902.69</v>
      </c>
      <c r="G10" s="527">
        <f>ABS(F10)</f>
        <v>99902.69</v>
      </c>
      <c r="H10" s="38">
        <f t="shared" si="0"/>
        <v>0</v>
      </c>
      <c r="I10" s="95">
        <f t="shared" ref="I10:R10" si="2">H10*(1+I28)</f>
        <v>0</v>
      </c>
      <c r="J10" s="34">
        <f t="shared" si="2"/>
        <v>0</v>
      </c>
      <c r="K10" s="34">
        <f t="shared" si="2"/>
        <v>0</v>
      </c>
      <c r="L10" s="34">
        <f t="shared" si="2"/>
        <v>0</v>
      </c>
      <c r="M10" s="34">
        <f t="shared" si="2"/>
        <v>0</v>
      </c>
      <c r="N10" s="34">
        <f t="shared" si="2"/>
        <v>0</v>
      </c>
      <c r="O10" s="34">
        <f t="shared" si="2"/>
        <v>0</v>
      </c>
      <c r="P10" s="34">
        <f t="shared" si="2"/>
        <v>0</v>
      </c>
      <c r="Q10" s="34">
        <f t="shared" si="2"/>
        <v>0</v>
      </c>
      <c r="R10" s="34">
        <f t="shared" si="2"/>
        <v>0</v>
      </c>
    </row>
    <row r="11" spans="1:18" x14ac:dyDescent="0.35">
      <c r="A11" s="26" t="s">
        <v>127</v>
      </c>
      <c r="F11" s="34">
        <f>'Test Year Detail'!F52</f>
        <v>24123.38</v>
      </c>
      <c r="G11" s="527">
        <v>0</v>
      </c>
      <c r="H11" s="38">
        <f t="shared" si="0"/>
        <v>24123.38</v>
      </c>
      <c r="I11" s="95">
        <f>Reserves!G60</f>
        <v>15409.417280793534</v>
      </c>
      <c r="J11" s="34">
        <f>Reserves!H60</f>
        <v>14108.089251160342</v>
      </c>
      <c r="K11" s="34">
        <f>Reserves!I60</f>
        <v>20934.655821477449</v>
      </c>
      <c r="L11" s="34">
        <f>Reserves!J60</f>
        <v>26255.20431915416</v>
      </c>
      <c r="M11" s="34">
        <f>Reserves!K60</f>
        <v>34945.951088414738</v>
      </c>
      <c r="N11" s="34">
        <f>Reserves!L60</f>
        <v>40670.986877319228</v>
      </c>
      <c r="O11" s="34">
        <f>Reserves!M60</f>
        <v>32934.833019026089</v>
      </c>
      <c r="P11" s="34">
        <f>Reserves!N60</f>
        <v>30521.650396651014</v>
      </c>
      <c r="Q11" s="34">
        <f>Reserves!O60</f>
        <v>32676.714224289037</v>
      </c>
      <c r="R11" s="34">
        <f>Reserves!P60</f>
        <v>32672.316935023875</v>
      </c>
    </row>
    <row r="12" spans="1:18" x14ac:dyDescent="0.35">
      <c r="A12" s="26" t="s">
        <v>123</v>
      </c>
      <c r="F12" s="34">
        <f>'Test Year Detail'!F58</f>
        <v>3000</v>
      </c>
      <c r="G12" s="527">
        <f>'NR Charges'!G8</f>
        <v>0</v>
      </c>
      <c r="H12" s="38">
        <f t="shared" si="0"/>
        <v>3000</v>
      </c>
      <c r="I12" s="95">
        <f t="shared" ref="I12:R12" si="3">H12*(1+I30)</f>
        <v>3000</v>
      </c>
      <c r="J12" s="34">
        <f t="shared" si="3"/>
        <v>3000</v>
      </c>
      <c r="K12" s="34">
        <f t="shared" si="3"/>
        <v>3000</v>
      </c>
      <c r="L12" s="34">
        <f t="shared" si="3"/>
        <v>3000</v>
      </c>
      <c r="M12" s="34">
        <f t="shared" si="3"/>
        <v>3000</v>
      </c>
      <c r="N12" s="34">
        <f t="shared" si="3"/>
        <v>3000</v>
      </c>
      <c r="O12" s="34">
        <f t="shared" si="3"/>
        <v>3000</v>
      </c>
      <c r="P12" s="34">
        <f t="shared" si="3"/>
        <v>3000</v>
      </c>
      <c r="Q12" s="34">
        <f t="shared" si="3"/>
        <v>3000</v>
      </c>
      <c r="R12" s="34">
        <f t="shared" si="3"/>
        <v>3000</v>
      </c>
    </row>
    <row r="13" spans="1:18" x14ac:dyDescent="0.35">
      <c r="A13" s="26" t="s">
        <v>891</v>
      </c>
      <c r="F13" s="34">
        <v>0</v>
      </c>
      <c r="G13" s="38">
        <f>'NR Charges'!G9</f>
        <v>0</v>
      </c>
      <c r="H13" s="38">
        <f t="shared" si="0"/>
        <v>0</v>
      </c>
      <c r="I13" s="95">
        <f t="shared" ref="I13:I16" si="4">H13*(1+I33)</f>
        <v>0</v>
      </c>
      <c r="J13" s="34">
        <f t="shared" ref="J13:J16" si="5">I13*(1+J33)</f>
        <v>0</v>
      </c>
      <c r="K13" s="34">
        <f t="shared" ref="K13:K16" si="6">J13*(1+K33)</f>
        <v>0</v>
      </c>
      <c r="L13" s="34">
        <f t="shared" ref="L13:L16" si="7">K13*(1+L33)</f>
        <v>0</v>
      </c>
      <c r="M13" s="34">
        <f t="shared" ref="M13:M16" si="8">L13*(1+M33)</f>
        <v>0</v>
      </c>
      <c r="N13" s="34">
        <f t="shared" ref="N13:N16" si="9">M13*(1+N33)</f>
        <v>0</v>
      </c>
      <c r="O13" s="34">
        <f t="shared" ref="O13:O16" si="10">N13*(1+O33)</f>
        <v>0</v>
      </c>
      <c r="P13" s="34">
        <f t="shared" ref="P13:P16" si="11">O13*(1+P33)</f>
        <v>0</v>
      </c>
      <c r="Q13" s="34">
        <f t="shared" ref="Q13:Q16" si="12">P13*(1+Q33)</f>
        <v>0</v>
      </c>
      <c r="R13" s="34">
        <f t="shared" ref="R13:R16" si="13">Q13*(1+R33)</f>
        <v>0</v>
      </c>
    </row>
    <row r="14" spans="1:18" x14ac:dyDescent="0.35">
      <c r="A14" s="26" t="s">
        <v>892</v>
      </c>
      <c r="F14" s="34">
        <v>0</v>
      </c>
      <c r="G14" s="38">
        <f>'NR Charges'!G10</f>
        <v>0</v>
      </c>
      <c r="H14" s="38">
        <f t="shared" si="0"/>
        <v>0</v>
      </c>
      <c r="I14" s="95">
        <f t="shared" si="4"/>
        <v>0</v>
      </c>
      <c r="J14" s="34">
        <f t="shared" si="5"/>
        <v>0</v>
      </c>
      <c r="K14" s="34">
        <f t="shared" si="6"/>
        <v>0</v>
      </c>
      <c r="L14" s="34">
        <f t="shared" si="7"/>
        <v>0</v>
      </c>
      <c r="M14" s="34">
        <f t="shared" si="8"/>
        <v>0</v>
      </c>
      <c r="N14" s="34">
        <f t="shared" si="9"/>
        <v>0</v>
      </c>
      <c r="O14" s="34">
        <f t="shared" si="10"/>
        <v>0</v>
      </c>
      <c r="P14" s="34">
        <f t="shared" si="11"/>
        <v>0</v>
      </c>
      <c r="Q14" s="34">
        <f t="shared" si="12"/>
        <v>0</v>
      </c>
      <c r="R14" s="34">
        <f t="shared" si="13"/>
        <v>0</v>
      </c>
    </row>
    <row r="15" spans="1:18" x14ac:dyDescent="0.35">
      <c r="A15" s="26" t="s">
        <v>893</v>
      </c>
      <c r="F15" s="34"/>
      <c r="G15" s="38">
        <f>'NR Charges'!G11</f>
        <v>0</v>
      </c>
      <c r="H15" s="38">
        <f t="shared" si="0"/>
        <v>0</v>
      </c>
      <c r="I15" s="95">
        <f t="shared" si="4"/>
        <v>0</v>
      </c>
      <c r="J15" s="34">
        <f t="shared" si="5"/>
        <v>0</v>
      </c>
      <c r="K15" s="34">
        <f t="shared" si="6"/>
        <v>0</v>
      </c>
      <c r="L15" s="34">
        <f t="shared" si="7"/>
        <v>0</v>
      </c>
      <c r="M15" s="34">
        <f t="shared" si="8"/>
        <v>0</v>
      </c>
      <c r="N15" s="34">
        <f t="shared" si="9"/>
        <v>0</v>
      </c>
      <c r="O15" s="34">
        <f t="shared" si="10"/>
        <v>0</v>
      </c>
      <c r="P15" s="34">
        <f t="shared" si="11"/>
        <v>0</v>
      </c>
      <c r="Q15" s="34">
        <f t="shared" si="12"/>
        <v>0</v>
      </c>
      <c r="R15" s="34">
        <f t="shared" si="13"/>
        <v>0</v>
      </c>
    </row>
    <row r="16" spans="1:18" x14ac:dyDescent="0.35">
      <c r="A16" s="26" t="s">
        <v>894</v>
      </c>
      <c r="F16" s="35">
        <v>0</v>
      </c>
      <c r="G16" s="39">
        <f>'NR Charges'!G12</f>
        <v>0</v>
      </c>
      <c r="H16" s="39">
        <f t="shared" si="0"/>
        <v>0</v>
      </c>
      <c r="I16" s="96">
        <f t="shared" si="4"/>
        <v>0</v>
      </c>
      <c r="J16" s="35">
        <f t="shared" si="5"/>
        <v>0</v>
      </c>
      <c r="K16" s="35">
        <f t="shared" si="6"/>
        <v>0</v>
      </c>
      <c r="L16" s="35">
        <f t="shared" si="7"/>
        <v>0</v>
      </c>
      <c r="M16" s="35">
        <f t="shared" si="8"/>
        <v>0</v>
      </c>
      <c r="N16" s="35">
        <f t="shared" si="9"/>
        <v>0</v>
      </c>
      <c r="O16" s="35">
        <f t="shared" si="10"/>
        <v>0</v>
      </c>
      <c r="P16" s="35">
        <f t="shared" si="11"/>
        <v>0</v>
      </c>
      <c r="Q16" s="35">
        <f t="shared" si="12"/>
        <v>0</v>
      </c>
      <c r="R16" s="35">
        <f t="shared" si="13"/>
        <v>0</v>
      </c>
    </row>
    <row r="18" spans="1:21" x14ac:dyDescent="0.35">
      <c r="A18" s="26" t="s">
        <v>124</v>
      </c>
      <c r="F18" s="33">
        <f t="shared" ref="F18:R18" si="14">SUM(F9:F17)</f>
        <v>111475.6</v>
      </c>
      <c r="G18" s="33">
        <f t="shared" si="14"/>
        <v>99902.69</v>
      </c>
      <c r="H18" s="33">
        <f t="shared" si="14"/>
        <v>211378.29</v>
      </c>
      <c r="I18" s="33">
        <f t="shared" si="14"/>
        <v>202664.32728079354</v>
      </c>
      <c r="J18" s="33">
        <f t="shared" si="14"/>
        <v>201362.99925116033</v>
      </c>
      <c r="K18" s="33">
        <f t="shared" si="14"/>
        <v>208189.56582147744</v>
      </c>
      <c r="L18" s="33">
        <f t="shared" si="14"/>
        <v>213510.11431915418</v>
      </c>
      <c r="M18" s="33">
        <f t="shared" si="14"/>
        <v>222200.86108841473</v>
      </c>
      <c r="N18" s="33">
        <f t="shared" si="14"/>
        <v>227925.89687731923</v>
      </c>
      <c r="O18" s="33">
        <f t="shared" si="14"/>
        <v>220189.74301902609</v>
      </c>
      <c r="P18" s="33">
        <f t="shared" si="14"/>
        <v>217776.56039665101</v>
      </c>
      <c r="Q18" s="33">
        <f t="shared" si="14"/>
        <v>219931.62422428903</v>
      </c>
      <c r="R18" s="33">
        <f t="shared" si="14"/>
        <v>219927.22693502388</v>
      </c>
    </row>
    <row r="23" spans="1:21" s="122" customFormat="1" ht="6" customHeight="1" x14ac:dyDescent="0.35"/>
    <row r="24" spans="1:21" x14ac:dyDescent="0.35">
      <c r="A24" s="25" t="s">
        <v>1108</v>
      </c>
    </row>
    <row r="25" spans="1:21" x14ac:dyDescent="0.35">
      <c r="I25" s="51">
        <v>2014</v>
      </c>
      <c r="J25" s="51">
        <v>2015</v>
      </c>
      <c r="K25" s="51">
        <v>2016</v>
      </c>
      <c r="L25" s="51">
        <v>2017</v>
      </c>
      <c r="M25" s="51">
        <v>2018</v>
      </c>
      <c r="N25" s="51">
        <v>2019</v>
      </c>
      <c r="O25" s="51">
        <v>2020</v>
      </c>
      <c r="P25" s="51">
        <v>2021</v>
      </c>
      <c r="Q25" s="51">
        <v>2022</v>
      </c>
      <c r="R25" s="51">
        <v>2023</v>
      </c>
      <c r="S25" s="52"/>
      <c r="T25" s="52"/>
      <c r="U25" s="52"/>
    </row>
    <row r="27" spans="1:21" x14ac:dyDescent="0.35">
      <c r="A27" s="26" t="s">
        <v>121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</row>
    <row r="28" spans="1:21" x14ac:dyDescent="0.35">
      <c r="A28" s="26" t="s">
        <v>132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</row>
    <row r="29" spans="1:21" x14ac:dyDescent="0.35">
      <c r="A29" s="26" t="s">
        <v>127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</row>
    <row r="30" spans="1:21" x14ac:dyDescent="0.35">
      <c r="A30" s="26" t="s">
        <v>123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</row>
    <row r="31" spans="1:21" x14ac:dyDescent="0.35">
      <c r="A31" s="26" t="s">
        <v>890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</row>
    <row r="32" spans="1:21" x14ac:dyDescent="0.35">
      <c r="A32" s="26" t="s">
        <v>895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</row>
    <row r="33" spans="1:18" x14ac:dyDescent="0.35">
      <c r="A33" s="26" t="s">
        <v>891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</row>
    <row r="34" spans="1:18" x14ac:dyDescent="0.35">
      <c r="A34" s="26" t="s">
        <v>892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</row>
    <row r="35" spans="1:18" x14ac:dyDescent="0.35">
      <c r="A35" s="26" t="s">
        <v>893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</row>
    <row r="36" spans="1:18" x14ac:dyDescent="0.35">
      <c r="A36" s="26" t="s">
        <v>894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</row>
    <row r="41" spans="1:18" x14ac:dyDescent="0.35">
      <c r="A41" s="26" t="s">
        <v>1316</v>
      </c>
      <c r="G41" s="352">
        <v>-3200</v>
      </c>
    </row>
  </sheetData>
  <phoneticPr fontId="7" type="noConversion"/>
  <pageMargins left="0.75" right="0.75" top="1" bottom="1" header="0.5" footer="0.5"/>
  <pageSetup orientation="portrait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</sheetPr>
  <dimension ref="A1:P77"/>
  <sheetViews>
    <sheetView topLeftCell="A13" zoomScale="75" zoomScaleNormal="75" workbookViewId="0">
      <selection activeCell="S47" sqref="S47"/>
    </sheetView>
  </sheetViews>
  <sheetFormatPr defaultColWidth="8.7265625" defaultRowHeight="15.5" x14ac:dyDescent="0.35"/>
  <cols>
    <col min="1" max="1" width="3.7265625" style="26" customWidth="1"/>
    <col min="2" max="2" width="3.453125" style="26" customWidth="1"/>
    <col min="3" max="3" width="8.7265625" style="26"/>
    <col min="4" max="4" width="34.26953125" style="26" customWidth="1"/>
    <col min="5" max="5" width="13.54296875" style="26" customWidth="1"/>
    <col min="6" max="6" width="13.7265625" style="26" customWidth="1"/>
    <col min="7" max="7" width="15.453125" style="26" bestFit="1" customWidth="1"/>
    <col min="8" max="10" width="15.26953125" style="26" bestFit="1" customWidth="1"/>
    <col min="11" max="11" width="14.7265625" style="26" bestFit="1" customWidth="1"/>
    <col min="12" max="14" width="15.453125" style="26" bestFit="1" customWidth="1"/>
    <col min="15" max="16" width="14.7265625" style="26" bestFit="1" customWidth="1"/>
    <col min="17" max="16384" width="8.7265625" style="26"/>
  </cols>
  <sheetData>
    <row r="1" spans="1:16" x14ac:dyDescent="0.35">
      <c r="A1" s="25" t="s">
        <v>4</v>
      </c>
    </row>
    <row r="2" spans="1:16" x14ac:dyDescent="0.35">
      <c r="A2" s="25" t="s">
        <v>109</v>
      </c>
    </row>
    <row r="3" spans="1:16" x14ac:dyDescent="0.35">
      <c r="A3" s="25" t="s">
        <v>974</v>
      </c>
    </row>
    <row r="5" spans="1:16" x14ac:dyDescent="0.35">
      <c r="E5" s="51" t="s">
        <v>5</v>
      </c>
      <c r="F5" s="51" t="s">
        <v>37</v>
      </c>
      <c r="G5" s="51">
        <v>2014</v>
      </c>
      <c r="H5" s="51">
        <v>2015</v>
      </c>
      <c r="I5" s="51">
        <v>2016</v>
      </c>
      <c r="J5" s="51">
        <v>2017</v>
      </c>
      <c r="K5" s="51">
        <v>2018</v>
      </c>
      <c r="L5" s="51">
        <v>2019</v>
      </c>
      <c r="M5" s="51">
        <v>2020</v>
      </c>
      <c r="N5" s="51">
        <v>2021</v>
      </c>
      <c r="O5" s="51">
        <v>2022</v>
      </c>
      <c r="P5" s="51">
        <v>2023</v>
      </c>
    </row>
    <row r="7" spans="1:16" x14ac:dyDescent="0.35">
      <c r="A7" s="25" t="s">
        <v>423</v>
      </c>
    </row>
    <row r="8" spans="1:16" ht="6.65" customHeight="1" x14ac:dyDescent="0.35"/>
    <row r="9" spans="1:16" x14ac:dyDescent="0.35">
      <c r="A9" s="26" t="s">
        <v>424</v>
      </c>
    </row>
    <row r="10" spans="1:16" x14ac:dyDescent="0.35">
      <c r="B10" s="26" t="s">
        <v>425</v>
      </c>
      <c r="E10" s="119">
        <f>Summary!F28</f>
        <v>3371082.18</v>
      </c>
      <c r="F10" s="483">
        <f>E10</f>
        <v>3371082.18</v>
      </c>
      <c r="G10" s="119">
        <f>'Rate Calculations'!J75</f>
        <v>3942545.9999999925</v>
      </c>
      <c r="H10" s="119">
        <f>'Rate Calculations'!K75</f>
        <v>3942545.9999999925</v>
      </c>
      <c r="I10" s="119">
        <f>'Rate Calculations'!L75</f>
        <v>3962258.7299999921</v>
      </c>
      <c r="J10" s="483">
        <f>'Rate Calculations'!M75</f>
        <v>4296895.8657216681</v>
      </c>
      <c r="K10" s="119">
        <f>'Rate Calculations'!N75</f>
        <v>4334699.8248752421</v>
      </c>
      <c r="L10" s="119">
        <f>'Rate Calculations'!O75</f>
        <v>4372843.0861240756</v>
      </c>
      <c r="M10" s="483">
        <f>'Rate Calculations'!P75</f>
        <v>4742178.4083547387</v>
      </c>
      <c r="N10" s="119">
        <f>'Rate Calculations'!Q75</f>
        <v>4783921.9502407778</v>
      </c>
      <c r="O10" s="119">
        <f>'Rate Calculations'!R75</f>
        <v>4826040.3407291956</v>
      </c>
      <c r="P10" s="483">
        <f>'Rate Calculations'!S75</f>
        <v>5233677.2845727578</v>
      </c>
    </row>
    <row r="11" spans="1:16" x14ac:dyDescent="0.35">
      <c r="B11" s="40" t="s">
        <v>234</v>
      </c>
      <c r="E11" s="33">
        <f>SUM(E10)</f>
        <v>3371082.18</v>
      </c>
      <c r="F11" s="33">
        <f>SUM(F10)</f>
        <v>3371082.18</v>
      </c>
      <c r="G11" s="33">
        <f t="shared" ref="G11:P11" si="0">SUM(G10)</f>
        <v>3942545.9999999925</v>
      </c>
      <c r="H11" s="33">
        <f t="shared" si="0"/>
        <v>3942545.9999999925</v>
      </c>
      <c r="I11" s="33">
        <f t="shared" si="0"/>
        <v>3962258.7299999921</v>
      </c>
      <c r="J11" s="33">
        <f t="shared" si="0"/>
        <v>4296895.8657216681</v>
      </c>
      <c r="K11" s="33">
        <f t="shared" si="0"/>
        <v>4334699.8248752421</v>
      </c>
      <c r="L11" s="33">
        <f t="shared" si="0"/>
        <v>4372843.0861240756</v>
      </c>
      <c r="M11" s="33">
        <f t="shared" si="0"/>
        <v>4742178.4083547387</v>
      </c>
      <c r="N11" s="33">
        <f t="shared" si="0"/>
        <v>4783921.9502407778</v>
      </c>
      <c r="O11" s="33">
        <f t="shared" si="0"/>
        <v>4826040.3407291956</v>
      </c>
      <c r="P11" s="33">
        <f t="shared" si="0"/>
        <v>5233677.2845727578</v>
      </c>
    </row>
    <row r="12" spans="1:16" x14ac:dyDescent="0.35">
      <c r="H12" s="168"/>
      <c r="J12" s="581"/>
      <c r="M12" s="582"/>
      <c r="P12" s="582"/>
    </row>
    <row r="13" spans="1:16" x14ac:dyDescent="0.35">
      <c r="A13" s="26" t="s">
        <v>426</v>
      </c>
    </row>
    <row r="14" spans="1:16" x14ac:dyDescent="0.35">
      <c r="B14" s="26" t="s">
        <v>427</v>
      </c>
      <c r="E14" s="119">
        <f>'Revenue Offsets'!F18</f>
        <v>111475.6</v>
      </c>
      <c r="F14" s="119">
        <f>'Revenue Offsets'!H18</f>
        <v>211378.29</v>
      </c>
      <c r="G14" s="119">
        <f>'Revenue Offsets'!I18</f>
        <v>202664.32728079354</v>
      </c>
      <c r="H14" s="119">
        <f>'Revenue Offsets'!J18</f>
        <v>201362.99925116033</v>
      </c>
      <c r="I14" s="119">
        <f>'Revenue Offsets'!K18</f>
        <v>208189.56582147744</v>
      </c>
      <c r="J14" s="119">
        <f>'Revenue Offsets'!L18</f>
        <v>213510.11431915418</v>
      </c>
      <c r="K14" s="119">
        <f>'Revenue Offsets'!M18</f>
        <v>222200.86108841473</v>
      </c>
      <c r="L14" s="119">
        <f>'Revenue Offsets'!N18</f>
        <v>227925.89687731923</v>
      </c>
      <c r="M14" s="119">
        <f>'Revenue Offsets'!O18</f>
        <v>220189.74301902609</v>
      </c>
      <c r="N14" s="119">
        <f>'Revenue Offsets'!P18</f>
        <v>217776.56039665101</v>
      </c>
      <c r="O14" s="119">
        <f>'Revenue Offsets'!Q18</f>
        <v>219931.62422428903</v>
      </c>
      <c r="P14" s="119">
        <f>'Revenue Offsets'!R18</f>
        <v>219927.22693502388</v>
      </c>
    </row>
    <row r="15" spans="1:16" x14ac:dyDescent="0.35">
      <c r="B15" s="40" t="s">
        <v>234</v>
      </c>
      <c r="E15" s="33">
        <f>SUM(E14)</f>
        <v>111475.6</v>
      </c>
      <c r="F15" s="33">
        <f>SUM(F14)</f>
        <v>211378.29</v>
      </c>
      <c r="G15" s="33">
        <f t="shared" ref="G15:P15" si="1">SUM(G14)</f>
        <v>202664.32728079354</v>
      </c>
      <c r="H15" s="33">
        <f t="shared" si="1"/>
        <v>201362.99925116033</v>
      </c>
      <c r="I15" s="33">
        <f t="shared" si="1"/>
        <v>208189.56582147744</v>
      </c>
      <c r="J15" s="33">
        <f t="shared" si="1"/>
        <v>213510.11431915418</v>
      </c>
      <c r="K15" s="33">
        <f t="shared" si="1"/>
        <v>222200.86108841473</v>
      </c>
      <c r="L15" s="33">
        <f t="shared" si="1"/>
        <v>227925.89687731923</v>
      </c>
      <c r="M15" s="33">
        <f t="shared" si="1"/>
        <v>220189.74301902609</v>
      </c>
      <c r="N15" s="33">
        <f t="shared" si="1"/>
        <v>217776.56039665101</v>
      </c>
      <c r="O15" s="33">
        <f t="shared" si="1"/>
        <v>219931.62422428903</v>
      </c>
      <c r="P15" s="33">
        <f t="shared" si="1"/>
        <v>219927.22693502388</v>
      </c>
    </row>
    <row r="17" spans="1:16" x14ac:dyDescent="0.35">
      <c r="A17" s="26" t="s">
        <v>659</v>
      </c>
      <c r="E17" s="33">
        <f>Reserves!F20</f>
        <v>0</v>
      </c>
      <c r="F17" s="33">
        <f>Reserves!G20</f>
        <v>0</v>
      </c>
      <c r="G17" s="33">
        <f>Reserves!H20</f>
        <v>0</v>
      </c>
      <c r="H17" s="33">
        <f>Reserves!I20</f>
        <v>0</v>
      </c>
      <c r="I17" s="33">
        <f>Reserves!J20</f>
        <v>0</v>
      </c>
      <c r="J17" s="33">
        <f>Reserves!K20</f>
        <v>0</v>
      </c>
      <c r="K17" s="33">
        <f>Reserves!L20</f>
        <v>0</v>
      </c>
      <c r="L17" s="33">
        <f>Reserves!M20</f>
        <v>0</v>
      </c>
      <c r="M17" s="33">
        <f>Reserves!N20</f>
        <v>0</v>
      </c>
      <c r="N17" s="33">
        <f>Reserves!O20</f>
        <v>0</v>
      </c>
      <c r="O17" s="33">
        <f>Reserves!P20</f>
        <v>0</v>
      </c>
      <c r="P17" s="33">
        <f>Reserves!Q20</f>
        <v>0</v>
      </c>
    </row>
    <row r="19" spans="1:16" x14ac:dyDescent="0.35">
      <c r="A19" s="25" t="s">
        <v>428</v>
      </c>
      <c r="B19" s="25"/>
      <c r="C19" s="25"/>
      <c r="D19" s="25"/>
      <c r="E19" s="36">
        <f>E11+E15+E17</f>
        <v>3482557.7800000003</v>
      </c>
      <c r="F19" s="36">
        <f t="shared" ref="F19:P19" si="2">F11+F15+F17</f>
        <v>3582460.47</v>
      </c>
      <c r="G19" s="36">
        <f t="shared" si="2"/>
        <v>4145210.3272807859</v>
      </c>
      <c r="H19" s="36">
        <f t="shared" si="2"/>
        <v>4143908.9992511529</v>
      </c>
      <c r="I19" s="36">
        <f t="shared" si="2"/>
        <v>4170448.2958214693</v>
      </c>
      <c r="J19" s="36">
        <f t="shared" si="2"/>
        <v>4510405.9800408222</v>
      </c>
      <c r="K19" s="36">
        <f t="shared" si="2"/>
        <v>4556900.6859636568</v>
      </c>
      <c r="L19" s="36">
        <f t="shared" si="2"/>
        <v>4600768.9830013951</v>
      </c>
      <c r="M19" s="36">
        <f t="shared" si="2"/>
        <v>4962368.1513737645</v>
      </c>
      <c r="N19" s="36">
        <f t="shared" si="2"/>
        <v>5001698.5106374286</v>
      </c>
      <c r="O19" s="36">
        <f t="shared" si="2"/>
        <v>5045971.9649534849</v>
      </c>
      <c r="P19" s="36">
        <f t="shared" si="2"/>
        <v>5453604.5115077812</v>
      </c>
    </row>
    <row r="20" spans="1:16" x14ac:dyDescent="0.35">
      <c r="A20" s="40" t="s">
        <v>33</v>
      </c>
      <c r="F20" s="41">
        <f>(F19-E19)/E19</f>
        <v>2.8686585065072469E-2</v>
      </c>
      <c r="G20" s="41">
        <f t="shared" ref="G20:P20" si="3">(G19-F19)/F19</f>
        <v>0.15708473603360812</v>
      </c>
      <c r="H20" s="41">
        <f t="shared" si="3"/>
        <v>-3.1393534390007454E-4</v>
      </c>
      <c r="I20" s="41">
        <f t="shared" si="3"/>
        <v>6.4044110464569438E-3</v>
      </c>
      <c r="J20" s="41">
        <f t="shared" si="3"/>
        <v>8.1515861150938965E-2</v>
      </c>
      <c r="K20" s="41">
        <f t="shared" si="3"/>
        <v>1.0308319501299918E-2</v>
      </c>
      <c r="L20" s="41">
        <f t="shared" si="3"/>
        <v>9.6267836542637888E-3</v>
      </c>
      <c r="M20" s="41">
        <f t="shared" si="3"/>
        <v>7.8595376057433247E-2</v>
      </c>
      <c r="N20" s="41">
        <f t="shared" si="3"/>
        <v>7.9257237802431157E-3</v>
      </c>
      <c r="O20" s="41">
        <f t="shared" si="3"/>
        <v>8.8516839273493145E-3</v>
      </c>
      <c r="P20" s="41">
        <f t="shared" si="3"/>
        <v>8.0783751750006794E-2</v>
      </c>
    </row>
    <row r="22" spans="1:16" x14ac:dyDescent="0.35">
      <c r="A22" s="25" t="s">
        <v>336</v>
      </c>
    </row>
    <row r="23" spans="1:16" ht="4.1500000000000004" customHeight="1" x14ac:dyDescent="0.35"/>
    <row r="24" spans="1:16" x14ac:dyDescent="0.35">
      <c r="A24" s="26" t="s">
        <v>6</v>
      </c>
      <c r="E24" s="33">
        <f>'Test Year Detail'!F40</f>
        <v>2601031.5100000007</v>
      </c>
      <c r="F24" s="33">
        <f>'Test Year Detail'!H40</f>
        <v>2729854.8076825864</v>
      </c>
      <c r="G24" s="33">
        <f>'Test Year Detail'!I40</f>
        <v>2814490.0714514763</v>
      </c>
      <c r="H24" s="33">
        <f>'Test Year Detail'!J40</f>
        <v>2901760.2798172785</v>
      </c>
      <c r="I24" s="33">
        <f>'Test Year Detail'!K40</f>
        <v>2991747.8371518324</v>
      </c>
      <c r="J24" s="33">
        <f>'Test Year Detail'!L40</f>
        <v>3084537.7374193254</v>
      </c>
      <c r="K24" s="33">
        <f>'Test Year Detail'!M40</f>
        <v>3180217.6459751958</v>
      </c>
      <c r="L24" s="33">
        <f>'Test Year Detail'!N40</f>
        <v>3278877.9839629084</v>
      </c>
      <c r="M24" s="33">
        <f>'Test Year Detail'!O40</f>
        <v>3380612.0153915463</v>
      </c>
      <c r="N24" s="33">
        <f>'Test Year Detail'!P40</f>
        <v>3485515.9369798871</v>
      </c>
      <c r="O24" s="33">
        <f>'Test Year Detail'!Q40</f>
        <v>3593688.9708553059</v>
      </c>
      <c r="P24" s="33">
        <f>'Test Year Detail'!R40</f>
        <v>3705233.4601988001</v>
      </c>
    </row>
    <row r="25" spans="1:16" s="40" customFormat="1" x14ac:dyDescent="0.35">
      <c r="A25" s="40" t="s">
        <v>33</v>
      </c>
      <c r="F25" s="41">
        <f>(F24-E24)/E24</f>
        <v>4.9527772803715717E-2</v>
      </c>
      <c r="G25" s="41">
        <f t="shared" ref="G25:P25" si="4">(G24-F24)/F24</f>
        <v>3.1003577014683082E-2</v>
      </c>
      <c r="H25" s="41">
        <f t="shared" si="4"/>
        <v>3.1007467125579728E-2</v>
      </c>
      <c r="I25" s="41">
        <f t="shared" si="4"/>
        <v>3.1011368499475209E-2</v>
      </c>
      <c r="J25" s="41">
        <f t="shared" si="4"/>
        <v>3.1015281139412369E-2</v>
      </c>
      <c r="K25" s="41">
        <f t="shared" si="4"/>
        <v>3.1019205048183618E-2</v>
      </c>
      <c r="L25" s="41">
        <f t="shared" si="4"/>
        <v>3.1023140228334575E-2</v>
      </c>
      <c r="M25" s="41">
        <f t="shared" si="4"/>
        <v>3.1027086682158391E-2</v>
      </c>
      <c r="N25" s="41">
        <f t="shared" si="4"/>
        <v>3.103104441169972E-2</v>
      </c>
      <c r="O25" s="41">
        <f t="shared" si="4"/>
        <v>3.1035013418744564E-2</v>
      </c>
      <c r="P25" s="41">
        <f t="shared" si="4"/>
        <v>3.1038993704829813E-2</v>
      </c>
    </row>
    <row r="27" spans="1:16" x14ac:dyDescent="0.35">
      <c r="A27" s="26" t="s">
        <v>107</v>
      </c>
    </row>
    <row r="28" spans="1:16" x14ac:dyDescent="0.35">
      <c r="B28" s="26" t="s">
        <v>40</v>
      </c>
    </row>
    <row r="29" spans="1:16" x14ac:dyDescent="0.35">
      <c r="C29" s="26" t="s">
        <v>429</v>
      </c>
      <c r="E29" s="33">
        <f>'Debt Service'!H81</f>
        <v>345981.27999999997</v>
      </c>
      <c r="F29" s="33">
        <f>'Debt Service'!I81</f>
        <v>350066.52</v>
      </c>
      <c r="G29" s="33">
        <f>'Debt Service'!J81</f>
        <v>349524.7</v>
      </c>
      <c r="H29" s="33">
        <f>'Debt Service'!K81</f>
        <v>348962.08999999997</v>
      </c>
      <c r="I29" s="33">
        <f>'Debt Service'!L81</f>
        <v>348378.11000000004</v>
      </c>
      <c r="J29" s="33">
        <f>'Debt Service'!M81</f>
        <v>347771.31</v>
      </c>
      <c r="K29" s="33">
        <f>'Debt Service'!N81</f>
        <v>347141.42999999993</v>
      </c>
      <c r="L29" s="33">
        <f>'Debt Service'!O81</f>
        <v>346487.41000000003</v>
      </c>
      <c r="M29" s="33">
        <f>'Debt Service'!P81</f>
        <v>0</v>
      </c>
      <c r="N29" s="33">
        <f>'Debt Service'!Q81</f>
        <v>0</v>
      </c>
      <c r="O29" s="33">
        <f>'Debt Service'!R81</f>
        <v>0</v>
      </c>
      <c r="P29" s="33">
        <f>'Debt Service'!S81</f>
        <v>0</v>
      </c>
    </row>
    <row r="30" spans="1:16" x14ac:dyDescent="0.35">
      <c r="C30" s="26" t="s">
        <v>430</v>
      </c>
      <c r="E30" s="35">
        <v>0</v>
      </c>
      <c r="F30" s="35">
        <f>CIP!F163</f>
        <v>0</v>
      </c>
      <c r="G30" s="35">
        <f>CIP!G163</f>
        <v>0</v>
      </c>
      <c r="H30" s="35">
        <f>CIP!H163</f>
        <v>0</v>
      </c>
      <c r="I30" s="35">
        <f>CIP!I163</f>
        <v>0</v>
      </c>
      <c r="J30" s="35">
        <f>CIP!J163</f>
        <v>0</v>
      </c>
      <c r="K30" s="35">
        <f>CIP!K163</f>
        <v>0</v>
      </c>
      <c r="L30" s="35">
        <f>CIP!L163</f>
        <v>0</v>
      </c>
      <c r="M30" s="35">
        <f>CIP!M163</f>
        <v>0</v>
      </c>
      <c r="N30" s="35">
        <f>CIP!N163</f>
        <v>0</v>
      </c>
      <c r="O30" s="35">
        <f>CIP!O163</f>
        <v>0</v>
      </c>
      <c r="P30" s="35">
        <f>CIP!P163</f>
        <v>0</v>
      </c>
    </row>
    <row r="31" spans="1:16" x14ac:dyDescent="0.35">
      <c r="C31" s="40" t="s">
        <v>234</v>
      </c>
      <c r="E31" s="33">
        <f>SUM(E29:E30)</f>
        <v>345981.27999999997</v>
      </c>
      <c r="F31" s="33">
        <f>SUM(F29:F30)</f>
        <v>350066.52</v>
      </c>
      <c r="G31" s="33">
        <f t="shared" ref="G31:P31" si="5">SUM(G29:G30)</f>
        <v>349524.7</v>
      </c>
      <c r="H31" s="33">
        <f t="shared" si="5"/>
        <v>348962.08999999997</v>
      </c>
      <c r="I31" s="33">
        <f t="shared" si="5"/>
        <v>348378.11000000004</v>
      </c>
      <c r="J31" s="33">
        <f t="shared" si="5"/>
        <v>347771.31</v>
      </c>
      <c r="K31" s="33">
        <f t="shared" si="5"/>
        <v>347141.42999999993</v>
      </c>
      <c r="L31" s="33">
        <f t="shared" si="5"/>
        <v>346487.41000000003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33">
        <f t="shared" si="5"/>
        <v>0</v>
      </c>
    </row>
    <row r="33" spans="1:16" x14ac:dyDescent="0.35">
      <c r="B33" s="26" t="s">
        <v>433</v>
      </c>
      <c r="E33" s="119">
        <f>CIP!E39</f>
        <v>709043.59999999963</v>
      </c>
      <c r="F33" s="119">
        <f>CIP!F39</f>
        <v>502539.14231741382</v>
      </c>
      <c r="G33" s="119">
        <f>CIP!G39</f>
        <v>1031736.0416571419</v>
      </c>
      <c r="H33" s="119">
        <f>CIP!H39</f>
        <v>855043</v>
      </c>
      <c r="I33" s="119">
        <f>CIP!I39</f>
        <v>1200000</v>
      </c>
      <c r="J33" s="119">
        <f>CIP!J39</f>
        <v>1293141.668145238</v>
      </c>
      <c r="K33" s="119">
        <f>CIP!K39</f>
        <v>1338408.3348119047</v>
      </c>
      <c r="L33" s="119">
        <f>'Test Year Detail'!N44</f>
        <v>1378560.584856262</v>
      </c>
      <c r="M33" s="119">
        <f>'Test Year Detail'!O44</f>
        <v>1419917.4024019497</v>
      </c>
      <c r="N33" s="119">
        <f>'Test Year Detail'!P44</f>
        <v>1462514.9244740084</v>
      </c>
      <c r="O33" s="119">
        <f>'Test Year Detail'!Q44</f>
        <v>1506390.3722082286</v>
      </c>
      <c r="P33" s="119">
        <f>'Test Year Detail'!R44</f>
        <v>1551582.0833744754</v>
      </c>
    </row>
    <row r="34" spans="1:16" ht="6" customHeight="1" x14ac:dyDescent="0.35"/>
    <row r="35" spans="1:16" x14ac:dyDescent="0.35">
      <c r="B35" s="40" t="s">
        <v>234</v>
      </c>
      <c r="E35" s="33">
        <f>E31+E33</f>
        <v>1055024.8799999997</v>
      </c>
      <c r="F35" s="33">
        <f>F31+F33</f>
        <v>852605.66231741384</v>
      </c>
      <c r="G35" s="33">
        <f t="shared" ref="G35:P35" si="6">G31+G33</f>
        <v>1381260.7416571418</v>
      </c>
      <c r="H35" s="33">
        <f t="shared" si="6"/>
        <v>1204005.0899999999</v>
      </c>
      <c r="I35" s="33">
        <f t="shared" si="6"/>
        <v>1548378.11</v>
      </c>
      <c r="J35" s="33">
        <f t="shared" si="6"/>
        <v>1640912.978145238</v>
      </c>
      <c r="K35" s="33">
        <f t="shared" si="6"/>
        <v>1685549.7648119046</v>
      </c>
      <c r="L35" s="33">
        <f t="shared" si="6"/>
        <v>1725047.9948562621</v>
      </c>
      <c r="M35" s="33">
        <f t="shared" si="6"/>
        <v>1419917.4024019497</v>
      </c>
      <c r="N35" s="33">
        <f t="shared" si="6"/>
        <v>1462514.9244740084</v>
      </c>
      <c r="O35" s="33">
        <f t="shared" si="6"/>
        <v>1506390.3722082286</v>
      </c>
      <c r="P35" s="33">
        <f t="shared" si="6"/>
        <v>1551582.0833744754</v>
      </c>
    </row>
    <row r="36" spans="1:16" ht="7.9" customHeight="1" x14ac:dyDescent="0.35"/>
    <row r="37" spans="1:16" x14ac:dyDescent="0.35">
      <c r="A37" s="25" t="s">
        <v>344</v>
      </c>
      <c r="E37" s="36">
        <f>E24+E35</f>
        <v>3656056.3900000006</v>
      </c>
      <c r="F37" s="36">
        <f>F24+F35</f>
        <v>3582460.47</v>
      </c>
      <c r="G37" s="36">
        <f t="shared" ref="G37:P37" si="7">G24+G35</f>
        <v>4195750.8131086184</v>
      </c>
      <c r="H37" s="36">
        <f t="shared" si="7"/>
        <v>4105765.3698172783</v>
      </c>
      <c r="I37" s="36">
        <f t="shared" si="7"/>
        <v>4540125.9471518323</v>
      </c>
      <c r="J37" s="36">
        <f t="shared" si="7"/>
        <v>4725450.7155645639</v>
      </c>
      <c r="K37" s="36">
        <f t="shared" si="7"/>
        <v>4865767.4107871</v>
      </c>
      <c r="L37" s="36">
        <f t="shared" si="7"/>
        <v>5003925.978819171</v>
      </c>
      <c r="M37" s="36">
        <f t="shared" si="7"/>
        <v>4800529.4177934956</v>
      </c>
      <c r="N37" s="36">
        <f t="shared" si="7"/>
        <v>4948030.8614538955</v>
      </c>
      <c r="O37" s="36">
        <f t="shared" si="7"/>
        <v>5100079.3430635342</v>
      </c>
      <c r="P37" s="36">
        <f t="shared" si="7"/>
        <v>5256815.5435732752</v>
      </c>
    </row>
    <row r="38" spans="1:16" x14ac:dyDescent="0.35">
      <c r="A38" s="40" t="s">
        <v>33</v>
      </c>
      <c r="F38" s="41">
        <f t="shared" ref="F38:P38" si="8">(F37-E37)/E37</f>
        <v>-2.0129864572466395E-2</v>
      </c>
      <c r="G38" s="41">
        <f t="shared" si="8"/>
        <v>0.17119249416550245</v>
      </c>
      <c r="H38" s="41">
        <f t="shared" si="8"/>
        <v>-2.1446803516119703E-2</v>
      </c>
      <c r="I38" s="41">
        <f t="shared" si="8"/>
        <v>0.10579283963172123</v>
      </c>
      <c r="J38" s="41">
        <f t="shared" si="8"/>
        <v>4.0819301175772843E-2</v>
      </c>
      <c r="K38" s="41">
        <f t="shared" si="8"/>
        <v>2.9693822593549586E-2</v>
      </c>
      <c r="L38" s="41">
        <f t="shared" si="8"/>
        <v>2.8393993458417709E-2</v>
      </c>
      <c r="M38" s="41">
        <f t="shared" si="8"/>
        <v>-4.0647396041952048E-2</v>
      </c>
      <c r="N38" s="41">
        <f t="shared" si="8"/>
        <v>3.0726078484942836E-2</v>
      </c>
      <c r="O38" s="41">
        <f t="shared" si="8"/>
        <v>3.0729089180531483E-2</v>
      </c>
      <c r="P38" s="41">
        <f t="shared" si="8"/>
        <v>3.0732110221562182E-2</v>
      </c>
    </row>
    <row r="39" spans="1:16" ht="9" customHeight="1" x14ac:dyDescent="0.35"/>
    <row r="40" spans="1:16" x14ac:dyDescent="0.35">
      <c r="A40" s="40" t="s">
        <v>232</v>
      </c>
      <c r="E40" s="144">
        <f t="shared" ref="E40:P40" si="9">E19-E37</f>
        <v>-173498.61000000034</v>
      </c>
      <c r="F40" s="144">
        <f t="shared" si="9"/>
        <v>0</v>
      </c>
      <c r="G40" s="144">
        <f t="shared" si="9"/>
        <v>-50540.485827832483</v>
      </c>
      <c r="H40" s="144">
        <f t="shared" si="9"/>
        <v>38143.629433874507</v>
      </c>
      <c r="I40" s="144">
        <f t="shared" si="9"/>
        <v>-369677.65133036301</v>
      </c>
      <c r="J40" s="144">
        <f t="shared" si="9"/>
        <v>-215044.73552374169</v>
      </c>
      <c r="K40" s="144">
        <f t="shared" si="9"/>
        <v>-308866.72482344322</v>
      </c>
      <c r="L40" s="144">
        <f t="shared" si="9"/>
        <v>-403156.99581777584</v>
      </c>
      <c r="M40" s="144">
        <f t="shared" si="9"/>
        <v>161838.73358026892</v>
      </c>
      <c r="N40" s="144">
        <f t="shared" si="9"/>
        <v>53667.649183533154</v>
      </c>
      <c r="O40" s="144">
        <f t="shared" si="9"/>
        <v>-54107.378110049292</v>
      </c>
      <c r="P40" s="144">
        <f t="shared" si="9"/>
        <v>196788.96793450601</v>
      </c>
    </row>
    <row r="42" spans="1:16" x14ac:dyDescent="0.35">
      <c r="A42" s="25" t="s">
        <v>491</v>
      </c>
    </row>
    <row r="44" spans="1:16" x14ac:dyDescent="0.35">
      <c r="A44" s="26" t="s">
        <v>492</v>
      </c>
    </row>
    <row r="45" spans="1:16" x14ac:dyDescent="0.35">
      <c r="B45" s="26" t="s">
        <v>425</v>
      </c>
      <c r="E45" s="33">
        <f>E11</f>
        <v>3371082.18</v>
      </c>
      <c r="F45" s="33">
        <f t="shared" ref="F45:P45" si="10">F11</f>
        <v>3371082.18</v>
      </c>
      <c r="G45" s="33">
        <f t="shared" si="10"/>
        <v>3942545.9999999925</v>
      </c>
      <c r="H45" s="33">
        <f t="shared" si="10"/>
        <v>3942545.9999999925</v>
      </c>
      <c r="I45" s="33">
        <f t="shared" si="10"/>
        <v>3962258.7299999921</v>
      </c>
      <c r="J45" s="33">
        <f t="shared" si="10"/>
        <v>4296895.8657216681</v>
      </c>
      <c r="K45" s="33">
        <f t="shared" si="10"/>
        <v>4334699.8248752421</v>
      </c>
      <c r="L45" s="33">
        <f t="shared" si="10"/>
        <v>4372843.0861240756</v>
      </c>
      <c r="M45" s="33">
        <f t="shared" si="10"/>
        <v>4742178.4083547387</v>
      </c>
      <c r="N45" s="33">
        <f t="shared" si="10"/>
        <v>4783921.9502407778</v>
      </c>
      <c r="O45" s="33">
        <f t="shared" si="10"/>
        <v>4826040.3407291956</v>
      </c>
      <c r="P45" s="33">
        <f t="shared" si="10"/>
        <v>5233677.2845727578</v>
      </c>
    </row>
    <row r="46" spans="1:16" x14ac:dyDescent="0.35">
      <c r="B46" s="26" t="s">
        <v>493</v>
      </c>
      <c r="E46" s="34">
        <f>'Revenue Offsets'!F9+'Revenue Offsets'!F12+'Revenue Offsets'!F13+'Revenue Offsets'!F14+'Revenue Offsets'!F15+'Revenue Offsets'!F16</f>
        <v>187254.91</v>
      </c>
      <c r="F46" s="34">
        <f>'Revenue Offsets'!H9+'Revenue Offsets'!H12+'Revenue Offsets'!H13+'Revenue Offsets'!H14+'Revenue Offsets'!H15+'Revenue Offsets'!H16</f>
        <v>187254.91</v>
      </c>
      <c r="G46" s="34">
        <f>'Revenue Offsets'!I9+'Revenue Offsets'!I12+'Revenue Offsets'!I13+'Revenue Offsets'!I14+'Revenue Offsets'!I15+'Revenue Offsets'!I16</f>
        <v>187254.91</v>
      </c>
      <c r="H46" s="34">
        <f>'Revenue Offsets'!J9+'Revenue Offsets'!J12+'Revenue Offsets'!J13+'Revenue Offsets'!J14+'Revenue Offsets'!J15+'Revenue Offsets'!J16</f>
        <v>187254.91</v>
      </c>
      <c r="I46" s="34">
        <f>'Revenue Offsets'!K9+'Revenue Offsets'!K12+'Revenue Offsets'!K13+'Revenue Offsets'!K14+'Revenue Offsets'!K15+'Revenue Offsets'!K16</f>
        <v>187254.91</v>
      </c>
      <c r="J46" s="34">
        <f>'Revenue Offsets'!L9+'Revenue Offsets'!L12+'Revenue Offsets'!L13+'Revenue Offsets'!L14+'Revenue Offsets'!L15+'Revenue Offsets'!L16</f>
        <v>187254.91</v>
      </c>
      <c r="K46" s="34">
        <f>'Revenue Offsets'!M9+'Revenue Offsets'!M12+'Revenue Offsets'!M13+'Revenue Offsets'!M14+'Revenue Offsets'!M15+'Revenue Offsets'!M16</f>
        <v>187254.91</v>
      </c>
      <c r="L46" s="34">
        <f>'Revenue Offsets'!N9+'Revenue Offsets'!N12+'Revenue Offsets'!N13+'Revenue Offsets'!N14+'Revenue Offsets'!N15+'Revenue Offsets'!N16</f>
        <v>187254.91</v>
      </c>
      <c r="M46" s="34">
        <f>'Revenue Offsets'!O9+'Revenue Offsets'!O12+'Revenue Offsets'!O13+'Revenue Offsets'!O14+'Revenue Offsets'!O15+'Revenue Offsets'!O16</f>
        <v>187254.91</v>
      </c>
      <c r="N46" s="34">
        <f>'Revenue Offsets'!P9+'Revenue Offsets'!P12+'Revenue Offsets'!P13+'Revenue Offsets'!P14+'Revenue Offsets'!P15+'Revenue Offsets'!P16</f>
        <v>187254.91</v>
      </c>
      <c r="O46" s="34">
        <f>'Revenue Offsets'!Q9+'Revenue Offsets'!Q12+'Revenue Offsets'!Q13+'Revenue Offsets'!Q14+'Revenue Offsets'!Q15+'Revenue Offsets'!Q16</f>
        <v>187254.91</v>
      </c>
      <c r="P46" s="34">
        <f>'Revenue Offsets'!R9+'Revenue Offsets'!R12+'Revenue Offsets'!R13+'Revenue Offsets'!R14+'Revenue Offsets'!R15+'Revenue Offsets'!R16</f>
        <v>187254.91</v>
      </c>
    </row>
    <row r="47" spans="1:16" ht="6.65" customHeight="1" x14ac:dyDescent="0.3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35">
      <c r="A48" s="26" t="s">
        <v>345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35">
      <c r="B49" s="26" t="s">
        <v>6</v>
      </c>
      <c r="E49" s="35">
        <f>E24</f>
        <v>2601031.5100000007</v>
      </c>
      <c r="F49" s="35">
        <f t="shared" ref="F49:P49" si="11">F24</f>
        <v>2729854.8076825864</v>
      </c>
      <c r="G49" s="35">
        <f t="shared" si="11"/>
        <v>2814490.0714514763</v>
      </c>
      <c r="H49" s="35">
        <f t="shared" si="11"/>
        <v>2901760.2798172785</v>
      </c>
      <c r="I49" s="35">
        <f t="shared" si="11"/>
        <v>2991747.8371518324</v>
      </c>
      <c r="J49" s="35">
        <f t="shared" si="11"/>
        <v>3084537.7374193254</v>
      </c>
      <c r="K49" s="35">
        <f t="shared" si="11"/>
        <v>3180217.6459751958</v>
      </c>
      <c r="L49" s="35">
        <f t="shared" si="11"/>
        <v>3278877.9839629084</v>
      </c>
      <c r="M49" s="35">
        <f t="shared" si="11"/>
        <v>3380612.0153915463</v>
      </c>
      <c r="N49" s="35">
        <f t="shared" si="11"/>
        <v>3485515.9369798871</v>
      </c>
      <c r="O49" s="35">
        <f t="shared" si="11"/>
        <v>3593688.9708553059</v>
      </c>
      <c r="P49" s="35">
        <f t="shared" si="11"/>
        <v>3705233.4601988001</v>
      </c>
    </row>
    <row r="50" spans="1:16" ht="9" customHeight="1" x14ac:dyDescent="0.35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35">
      <c r="A51" s="26" t="s">
        <v>366</v>
      </c>
      <c r="E51" s="33">
        <f>E45+E46-E49</f>
        <v>957305.57999999961</v>
      </c>
      <c r="F51" s="33">
        <f t="shared" ref="F51:P51" si="12">F45+F46-F49</f>
        <v>828482.28231741395</v>
      </c>
      <c r="G51" s="33">
        <f t="shared" si="12"/>
        <v>1315310.8385485164</v>
      </c>
      <c r="H51" s="33">
        <f t="shared" si="12"/>
        <v>1228040.6301827142</v>
      </c>
      <c r="I51" s="33">
        <f t="shared" si="12"/>
        <v>1157765.8028481598</v>
      </c>
      <c r="J51" s="33">
        <f t="shared" si="12"/>
        <v>1399613.0383023429</v>
      </c>
      <c r="K51" s="33">
        <f t="shared" si="12"/>
        <v>1341737.0889000464</v>
      </c>
      <c r="L51" s="33">
        <f t="shared" si="12"/>
        <v>1281220.0121611673</v>
      </c>
      <c r="M51" s="33">
        <f t="shared" si="12"/>
        <v>1548821.3029631926</v>
      </c>
      <c r="N51" s="33">
        <f t="shared" si="12"/>
        <v>1485660.9232608909</v>
      </c>
      <c r="O51" s="33">
        <f t="shared" si="12"/>
        <v>1419606.2798738899</v>
      </c>
      <c r="P51" s="33">
        <f t="shared" si="12"/>
        <v>1715698.7343739579</v>
      </c>
    </row>
    <row r="52" spans="1:16" ht="10.15" customHeight="1" x14ac:dyDescent="0.35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35">
      <c r="A53" s="26" t="s">
        <v>494</v>
      </c>
      <c r="E53" s="33">
        <f>'Debt Service'!H78+CIP!E162</f>
        <v>0</v>
      </c>
      <c r="F53" s="33">
        <f>'Debt Service'!I78+CIP!F162</f>
        <v>0</v>
      </c>
      <c r="G53" s="33">
        <f>'Debt Service'!J78+CIP!G162</f>
        <v>0</v>
      </c>
      <c r="H53" s="33">
        <f>'Debt Service'!K78+CIP!H162</f>
        <v>0</v>
      </c>
      <c r="I53" s="33">
        <f>'Debt Service'!L78+CIP!I162</f>
        <v>0</v>
      </c>
      <c r="J53" s="33">
        <f>'Debt Service'!M78+CIP!J162</f>
        <v>0</v>
      </c>
      <c r="K53" s="33">
        <f>'Debt Service'!N78+CIP!K162</f>
        <v>0</v>
      </c>
      <c r="L53" s="33">
        <f>'Debt Service'!O78+CIP!L162</f>
        <v>0</v>
      </c>
      <c r="M53" s="33">
        <f>'Debt Service'!P78+CIP!M162</f>
        <v>0</v>
      </c>
      <c r="N53" s="33">
        <f>'Debt Service'!Q78+CIP!N162</f>
        <v>0</v>
      </c>
      <c r="O53" s="33">
        <f>'Debt Service'!R78+CIP!O162</f>
        <v>0</v>
      </c>
      <c r="P53" s="33">
        <f>'Debt Service'!S78+CIP!P162</f>
        <v>0</v>
      </c>
    </row>
    <row r="54" spans="1:16" ht="10.9" customHeight="1" x14ac:dyDescent="0.3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x14ac:dyDescent="0.35">
      <c r="A55" s="26" t="s">
        <v>495</v>
      </c>
      <c r="E55" s="290" t="str">
        <f>IF(E53&gt;0,E51/E53,"NA")</f>
        <v>NA</v>
      </c>
      <c r="F55" s="290" t="str">
        <f t="shared" ref="F55:P55" si="13">IF(F53&gt;0,F51/F53,"NA")</f>
        <v>NA</v>
      </c>
      <c r="G55" s="290" t="str">
        <f t="shared" si="13"/>
        <v>NA</v>
      </c>
      <c r="H55" s="290" t="str">
        <f t="shared" si="13"/>
        <v>NA</v>
      </c>
      <c r="I55" s="290" t="str">
        <f t="shared" si="13"/>
        <v>NA</v>
      </c>
      <c r="J55" s="290" t="str">
        <f t="shared" si="13"/>
        <v>NA</v>
      </c>
      <c r="K55" s="290" t="str">
        <f t="shared" si="13"/>
        <v>NA</v>
      </c>
      <c r="L55" s="290" t="str">
        <f t="shared" si="13"/>
        <v>NA</v>
      </c>
      <c r="M55" s="290" t="str">
        <f t="shared" si="13"/>
        <v>NA</v>
      </c>
      <c r="N55" s="290" t="str">
        <f t="shared" si="13"/>
        <v>NA</v>
      </c>
      <c r="O55" s="290" t="str">
        <f t="shared" si="13"/>
        <v>NA</v>
      </c>
      <c r="P55" s="290" t="str">
        <f t="shared" si="13"/>
        <v>NA</v>
      </c>
    </row>
    <row r="56" spans="1:16" ht="10.15" customHeight="1" x14ac:dyDescent="0.35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x14ac:dyDescent="0.35">
      <c r="A57" s="26" t="s">
        <v>496</v>
      </c>
      <c r="E57" s="33">
        <f>'Debt Service'!H71+CIP!E161</f>
        <v>345981.27999999997</v>
      </c>
      <c r="F57" s="33">
        <f>'Debt Service'!I71+CIP!F161</f>
        <v>350066.52</v>
      </c>
      <c r="G57" s="33">
        <f>'Debt Service'!J71+CIP!G161</f>
        <v>349524.7</v>
      </c>
      <c r="H57" s="33">
        <f>'Debt Service'!K71+CIP!H161</f>
        <v>348962.08999999997</v>
      </c>
      <c r="I57" s="33">
        <f>'Debt Service'!L71+CIP!I161</f>
        <v>348378.11000000004</v>
      </c>
      <c r="J57" s="33">
        <f>'Debt Service'!M71+CIP!J161</f>
        <v>347771.31</v>
      </c>
      <c r="K57" s="33">
        <f>'Debt Service'!N71+CIP!K161</f>
        <v>347141.42999999993</v>
      </c>
      <c r="L57" s="33">
        <f>'Debt Service'!O71+CIP!L161</f>
        <v>346487.41000000003</v>
      </c>
      <c r="M57" s="33">
        <f>'Debt Service'!P71+CIP!M161</f>
        <v>0</v>
      </c>
      <c r="N57" s="33">
        <f>'Debt Service'!Q71+CIP!N161</f>
        <v>0</v>
      </c>
      <c r="O57" s="33">
        <f>'Debt Service'!R71+CIP!O161</f>
        <v>0</v>
      </c>
      <c r="P57" s="33">
        <f>'Debt Service'!S71+CIP!P161</f>
        <v>0</v>
      </c>
    </row>
    <row r="58" spans="1:16" ht="6.65" customHeight="1" x14ac:dyDescent="0.35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x14ac:dyDescent="0.35">
      <c r="A59" s="26" t="s">
        <v>497</v>
      </c>
      <c r="E59" s="33">
        <f>E53+E57</f>
        <v>345981.27999999997</v>
      </c>
      <c r="F59" s="33">
        <f t="shared" ref="F59:P59" si="14">F53+F57</f>
        <v>350066.52</v>
      </c>
      <c r="G59" s="33">
        <f t="shared" si="14"/>
        <v>349524.7</v>
      </c>
      <c r="H59" s="33">
        <f t="shared" si="14"/>
        <v>348962.08999999997</v>
      </c>
      <c r="I59" s="33">
        <f t="shared" si="14"/>
        <v>348378.11000000004</v>
      </c>
      <c r="J59" s="33">
        <f t="shared" si="14"/>
        <v>347771.31</v>
      </c>
      <c r="K59" s="33">
        <f t="shared" si="14"/>
        <v>347141.42999999993</v>
      </c>
      <c r="L59" s="33">
        <f t="shared" si="14"/>
        <v>346487.41000000003</v>
      </c>
      <c r="M59" s="33">
        <f t="shared" si="14"/>
        <v>0</v>
      </c>
      <c r="N59" s="33">
        <f t="shared" si="14"/>
        <v>0</v>
      </c>
      <c r="O59" s="33">
        <f t="shared" si="14"/>
        <v>0</v>
      </c>
      <c r="P59" s="33">
        <f t="shared" si="14"/>
        <v>0</v>
      </c>
    </row>
    <row r="60" spans="1:16" ht="7.9" customHeight="1" x14ac:dyDescent="0.35"/>
    <row r="61" spans="1:16" x14ac:dyDescent="0.35">
      <c r="A61" s="26" t="s">
        <v>498</v>
      </c>
      <c r="E61" s="290">
        <f>IF(E59&gt;0,E51/E59,"NA")</f>
        <v>2.7669288349936147</v>
      </c>
      <c r="F61" s="290">
        <f t="shared" ref="F61:P61" si="15">IF(F59&gt;0,F51/F59,"NA")</f>
        <v>2.3666424378927009</v>
      </c>
      <c r="G61" s="290">
        <f t="shared" si="15"/>
        <v>3.7631413131847804</v>
      </c>
      <c r="H61" s="290">
        <f t="shared" si="15"/>
        <v>3.5191233242061175</v>
      </c>
      <c r="I61" s="290">
        <f t="shared" si="15"/>
        <v>3.3233023821392211</v>
      </c>
      <c r="J61" s="290">
        <f t="shared" si="15"/>
        <v>4.0245212818226523</v>
      </c>
      <c r="K61" s="290">
        <f t="shared" si="15"/>
        <v>3.8651021541855339</v>
      </c>
      <c r="L61" s="290">
        <f t="shared" si="15"/>
        <v>3.6977390092216256</v>
      </c>
      <c r="M61" s="290" t="str">
        <f t="shared" si="15"/>
        <v>NA</v>
      </c>
      <c r="N61" s="290" t="str">
        <f t="shared" si="15"/>
        <v>NA</v>
      </c>
      <c r="O61" s="290" t="str">
        <f t="shared" si="15"/>
        <v>NA</v>
      </c>
      <c r="P61" s="290" t="str">
        <f t="shared" si="15"/>
        <v>NA</v>
      </c>
    </row>
    <row r="64" spans="1:16" x14ac:dyDescent="0.35">
      <c r="A64" s="84">
        <v>-1</v>
      </c>
      <c r="B64" s="26" t="s">
        <v>499</v>
      </c>
    </row>
    <row r="65" spans="2:16" x14ac:dyDescent="0.35">
      <c r="B65" s="26" t="s">
        <v>500</v>
      </c>
    </row>
    <row r="69" spans="2:16" x14ac:dyDescent="0.35"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x14ac:dyDescent="0.35">
      <c r="E70" s="33"/>
    </row>
    <row r="71" spans="2:16" x14ac:dyDescent="0.35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x14ac:dyDescent="0.35"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5" spans="2:16" x14ac:dyDescent="0.3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7" spans="2:16" x14ac:dyDescent="0.35"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</sheetData>
  <phoneticPr fontId="7" type="noConversion"/>
  <pageMargins left="0.75" right="0.75" top="1" bottom="1" header="0.5" footer="0.5"/>
  <pageSetup scale="53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0121CD1922DD469E6AB39DE07732D1" ma:contentTypeVersion="18" ma:contentTypeDescription="Create a new document." ma:contentTypeScope="" ma:versionID="b26b2f9cdb4a7c52a9cf0d97b545e433">
  <xsd:schema xmlns:xsd="http://www.w3.org/2001/XMLSchema" xmlns:xs="http://www.w3.org/2001/XMLSchema" xmlns:p="http://schemas.microsoft.com/office/2006/metadata/properties" xmlns:ns2="39c1c791-e66b-4ea0-8845-c40d3db45fe8" xmlns:ns3="7ad5aa3c-e996-4f6e-8b76-567088a87aa1" targetNamespace="http://schemas.microsoft.com/office/2006/metadata/properties" ma:root="true" ma:fieldsID="d3cad46c265e68b6befd90754d1c0342" ns2:_="" ns3:_="">
    <xsd:import namespace="39c1c791-e66b-4ea0-8845-c40d3db45fe8"/>
    <xsd:import namespace="7ad5aa3c-e996-4f6e-8b76-567088a87a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Description2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1c791-e66b-4ea0-8845-c40d3db45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00d192-4cb7-43e2-821b-9ecdc30ca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escription2" ma:index="24" nillable="true" ma:displayName="Description 2" ma:format="Dropdown" ma:internalName="Description2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5aa3c-e996-4f6e-8b76-567088a87aa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06389b-72d0-4c04-bbd7-a4d197eee8a9}" ma:internalName="TaxCatchAll" ma:showField="CatchAllData" ma:web="7ad5aa3c-e996-4f6e-8b76-567088a87a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2 xmlns="39c1c791-e66b-4ea0-8845-c40d3db45fe8" xsi:nil="true"/>
    <lcf76f155ced4ddcb4097134ff3c332f xmlns="39c1c791-e66b-4ea0-8845-c40d3db45fe8">
      <Terms xmlns="http://schemas.microsoft.com/office/infopath/2007/PartnerControls"/>
    </lcf76f155ced4ddcb4097134ff3c332f>
    <TaxCatchAll xmlns="7ad5aa3c-e996-4f6e-8b76-567088a87aa1" xsi:nil="true"/>
  </documentManagement>
</p:properties>
</file>

<file path=customXml/itemProps1.xml><?xml version="1.0" encoding="utf-8"?>
<ds:datastoreItem xmlns:ds="http://schemas.openxmlformats.org/officeDocument/2006/customXml" ds:itemID="{9AB2A05D-01B0-4C81-8F78-B57B23B93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596E9-9702-4AFC-9408-5EDD51005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1c791-e66b-4ea0-8845-c40d3db45fe8"/>
    <ds:schemaRef ds:uri="7ad5aa3c-e996-4f6e-8b76-567088a87a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4055E-083D-4326-905B-063EA8B3CCE4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7ad5aa3c-e996-4f6e-8b76-567088a87aa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39c1c791-e66b-4ea0-8845-c40d3db45fe8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15</vt:i4>
      </vt:variant>
    </vt:vector>
  </HeadingPairs>
  <TitlesOfParts>
    <vt:vector size="50" baseType="lpstr">
      <vt:lpstr>Cover</vt:lpstr>
      <vt:lpstr>Index</vt:lpstr>
      <vt:lpstr>Summary</vt:lpstr>
      <vt:lpstr>Impacts</vt:lpstr>
      <vt:lpstr>Test Year Detail</vt:lpstr>
      <vt:lpstr>Debt Service</vt:lpstr>
      <vt:lpstr>CIP</vt:lpstr>
      <vt:lpstr>Revenue Offsets</vt:lpstr>
      <vt:lpstr>Proof</vt:lpstr>
      <vt:lpstr>IS_BS</vt:lpstr>
      <vt:lpstr>Reserves</vt:lpstr>
      <vt:lpstr>Scenario </vt:lpstr>
      <vt:lpstr>Slide Data</vt:lpstr>
      <vt:lpstr>COS</vt:lpstr>
      <vt:lpstr>Categories</vt:lpstr>
      <vt:lpstr>Rate Calculations</vt:lpstr>
      <vt:lpstr>Billing Data</vt:lpstr>
      <vt:lpstr>Wholesale</vt:lpstr>
      <vt:lpstr>Fixed Assets</vt:lpstr>
      <vt:lpstr>Inch_Ft Piping</vt:lpstr>
      <vt:lpstr>Personnel</vt:lpstr>
      <vt:lpstr>Insurance</vt:lpstr>
      <vt:lpstr>Dep_Amor</vt:lpstr>
      <vt:lpstr>Contract Operations</vt:lpstr>
      <vt:lpstr>FK Water</vt:lpstr>
      <vt:lpstr>New Customers</vt:lpstr>
      <vt:lpstr>Historical Flows</vt:lpstr>
      <vt:lpstr>NR Charges</vt:lpstr>
      <vt:lpstr>Debt Retirement</vt:lpstr>
      <vt:lpstr>Winter Quarter Billing</vt:lpstr>
      <vt:lpstr>Electricity</vt:lpstr>
      <vt:lpstr>2012 Rate Options</vt:lpstr>
      <vt:lpstr>Allocated Expenses</vt:lpstr>
      <vt:lpstr>Allocation Percentages</vt:lpstr>
      <vt:lpstr>Meter Reading</vt:lpstr>
      <vt:lpstr>Categories!Print_Area</vt:lpstr>
      <vt:lpstr>CIP!Print_Area</vt:lpstr>
      <vt:lpstr>'Contract Operations'!Print_Area</vt:lpstr>
      <vt:lpstr>COS!Print_Area</vt:lpstr>
      <vt:lpstr>Cover!Print_Area</vt:lpstr>
      <vt:lpstr>'Debt Service'!Print_Area</vt:lpstr>
      <vt:lpstr>Dep_Amor!Print_Area</vt:lpstr>
      <vt:lpstr>Impacts!Print_Area</vt:lpstr>
      <vt:lpstr>IS_BS!Print_Area</vt:lpstr>
      <vt:lpstr>Personnel!Print_Area</vt:lpstr>
      <vt:lpstr>Proof!Print_Area</vt:lpstr>
      <vt:lpstr>'Rate Calculations'!Print_Area</vt:lpstr>
      <vt:lpstr>'Revenue Offsets'!Print_Area</vt:lpstr>
      <vt:lpstr>Summary!Print_Area</vt:lpstr>
      <vt:lpstr>'Test Year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HCWD1_Radcliff_Rate 2013 Model_Final_Settlement.xlsx</dc:title>
  <dc:creator>Bart Kreps</dc:creator>
  <cp:lastModifiedBy>Stoll Keenon Ogden</cp:lastModifiedBy>
  <cp:lastPrinted>2014-01-28T14:18:07Z</cp:lastPrinted>
  <dcterms:created xsi:type="dcterms:W3CDTF">2009-07-31T12:58:53Z</dcterms:created>
  <dcterms:modified xsi:type="dcterms:W3CDTF">2023-10-20T10:31:36Z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0x0101008C0121CD1922DD469E6AB39DE07732D1</vt:lpwstr>
  </property>
  <property fmtid="{D5CDD505-2E9C-101B-9397-08002B2CF9AE}" pid="3" name="Order">
    <vt:r8>100</vt:r8>
  </property>
  <property fmtid="{D5CDD505-2E9C-101B-9397-08002B2CF9AE}" pid="4" name="_ShortcutWebId">
    <vt:lpwstr/>
  </property>
  <property fmtid="{D5CDD505-2E9C-101B-9397-08002B2CF9AE}" pid="5" name="_ShortcutUniqueId">
    <vt:lpwstr/>
  </property>
  <property fmtid="{D5CDD505-2E9C-101B-9397-08002B2CF9AE}" pid="6" name="Modified">
    <vt:filetime>2014-01-28T22:20:38Z</vt:filetime>
  </property>
  <property fmtid="{D5CDD505-2E9C-101B-9397-08002B2CF9AE}" pid="7" name="_ShortcutSiteId">
    <vt:lpwstr/>
  </property>
  <property fmtid="{D5CDD505-2E9C-101B-9397-08002B2CF9AE}" pid="8" name="_ShortcutUrl">
    <vt:lpwstr/>
  </property>
  <property fmtid="{D5CDD505-2E9C-101B-9397-08002B2CF9AE}" pid="9" name="Created">
    <vt:filetime>2014-01-28T21:53:24Z</vt:filetime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TemplateUrl">
    <vt:lpwstr/>
  </property>
  <property fmtid="{D5CDD505-2E9C-101B-9397-08002B2CF9AE}" pid="15" name="ComplianceAssetId">
    <vt:lpwstr/>
  </property>
  <property fmtid="{D5CDD505-2E9C-101B-9397-08002B2CF9AE}" pid="16" name="MediaServiceImageTags">
    <vt:lpwstr/>
  </property>
  <property fmtid="{D5CDD505-2E9C-101B-9397-08002B2CF9AE}" pid="17" name="ndDocumentId">
    <vt:lpwstr>4863-2099-0856</vt:lpwstr>
  </property>
</Properties>
</file>