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ex-19\home\Gerald.Wuetcher\HardinCountyNo1\SewerRateAdjustment_2023\Application\FinalDocuments\"/>
    </mc:Choice>
  </mc:AlternateContent>
  <xr:revisionPtr revIDLastSave="0" documentId="8_{F35F0E87-6B99-4085-AE9C-791F68152407}" xr6:coauthVersionLast="47" xr6:coauthVersionMax="47" xr10:uidLastSave="{00000000-0000-0000-0000-000000000000}"/>
  <bookViews>
    <workbookView xWindow="-120" yWindow="-120" windowWidth="29040" windowHeight="15840" firstSheet="1" activeTab="5" xr2:uid="{00000000-000D-0000-FFFF-FFFF00000000}"/>
  </bookViews>
  <sheets>
    <sheet name="Labor Allocation Methodology" sheetId="1" r:id="rId1"/>
    <sheet name="June 2023 Labor Allocation" sheetId="7" r:id="rId2"/>
    <sheet name="Shared Assets" sheetId="6" r:id="rId3"/>
    <sheet name="Deprec Shared Asset Methodology" sheetId="4" r:id="rId4"/>
    <sheet name="New Assets - Split" sheetId="5" r:id="rId5"/>
    <sheet name="Other Direct Cost Allocations" sheetId="8" r:id="rId6"/>
  </sheets>
  <externalReferences>
    <externalReference r:id="rId7"/>
  </externalReferences>
  <definedNames>
    <definedName name="_xlnm.Print_Area" localSheetId="3">'Deprec Shared Asset Methodology'!$A$1:$T$26</definedName>
    <definedName name="_xlnm.Print_Area" localSheetId="1">'June 2023 Labor Allocation'!$A$1:$K$200</definedName>
    <definedName name="_xlnm.Print_Area" localSheetId="0">'Labor Allocation Methodology'!$A$1:$AA$123</definedName>
    <definedName name="_xlnm.Print_Area" localSheetId="5">'Other Direct Cost Allocations'!$A$1:$J$150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8" l="1"/>
  <c r="F196" i="7"/>
  <c r="H196" i="7" s="1"/>
  <c r="F195" i="7"/>
  <c r="H195" i="7" s="1"/>
  <c r="F194" i="7"/>
  <c r="H194" i="7" s="1"/>
  <c r="F193" i="7"/>
  <c r="H193" i="7" s="1"/>
  <c r="F192" i="7"/>
  <c r="H192" i="7" s="1"/>
  <c r="F191" i="7"/>
  <c r="H191" i="7" s="1"/>
  <c r="F190" i="7"/>
  <c r="H190" i="7" s="1"/>
  <c r="F189" i="7"/>
  <c r="H189" i="7" s="1"/>
  <c r="H186" i="7"/>
  <c r="H185" i="7"/>
  <c r="H184" i="7"/>
  <c r="H183" i="7"/>
  <c r="H182" i="7"/>
  <c r="H181" i="7"/>
  <c r="H180" i="7"/>
  <c r="H179" i="7"/>
  <c r="H174" i="7"/>
  <c r="F173" i="7"/>
  <c r="H173" i="7" s="1"/>
  <c r="F172" i="7"/>
  <c r="H172" i="7" s="1"/>
  <c r="F170" i="7"/>
  <c r="H170" i="7" s="1"/>
  <c r="F169" i="7"/>
  <c r="H169" i="7" s="1"/>
  <c r="F168" i="7"/>
  <c r="H168" i="7" s="1"/>
  <c r="F167" i="7"/>
  <c r="H167" i="7" s="1"/>
  <c r="F166" i="7"/>
  <c r="H166" i="7" s="1"/>
  <c r="H163" i="7"/>
  <c r="H162" i="7"/>
  <c r="F161" i="7"/>
  <c r="F171" i="7" s="1"/>
  <c r="H171" i="7" s="1"/>
  <c r="H160" i="7"/>
  <c r="H159" i="7"/>
  <c r="H158" i="7"/>
  <c r="H157" i="7"/>
  <c r="H156" i="7"/>
  <c r="F143" i="7"/>
  <c r="H143" i="7" s="1"/>
  <c r="F142" i="7"/>
  <c r="F152" i="7" s="1"/>
  <c r="H152" i="7" s="1"/>
  <c r="F141" i="7"/>
  <c r="F140" i="7"/>
  <c r="H140" i="7" s="1"/>
  <c r="F139" i="7"/>
  <c r="H139" i="7" s="1"/>
  <c r="F138" i="7"/>
  <c r="H138" i="7" s="1"/>
  <c r="F137" i="7"/>
  <c r="F136" i="7"/>
  <c r="H136" i="7" s="1"/>
  <c r="F130" i="7"/>
  <c r="H130" i="7" s="1"/>
  <c r="H127" i="7"/>
  <c r="H124" i="7"/>
  <c r="H123" i="7"/>
  <c r="H122" i="7"/>
  <c r="H121" i="7"/>
  <c r="H120" i="7"/>
  <c r="H119" i="7"/>
  <c r="H118" i="7"/>
  <c r="H117" i="7"/>
  <c r="H116" i="7"/>
  <c r="F112" i="7"/>
  <c r="H112" i="7" s="1"/>
  <c r="F111" i="7"/>
  <c r="H111" i="7" s="1"/>
  <c r="F110" i="7"/>
  <c r="H110" i="7" s="1"/>
  <c r="F109" i="7"/>
  <c r="H109" i="7" s="1"/>
  <c r="F108" i="7"/>
  <c r="H108" i="7" s="1"/>
  <c r="F107" i="7"/>
  <c r="H107" i="7" s="1"/>
  <c r="F106" i="7"/>
  <c r="H106" i="7" s="1"/>
  <c r="F105" i="7"/>
  <c r="H105" i="7" s="1"/>
  <c r="F104" i="7"/>
  <c r="H104" i="7" s="1"/>
  <c r="F102" i="7"/>
  <c r="H102" i="7" s="1"/>
  <c r="F101" i="7"/>
  <c r="H101" i="7" s="1"/>
  <c r="F100" i="7"/>
  <c r="H100" i="7" s="1"/>
  <c r="F99" i="7"/>
  <c r="H99" i="7" s="1"/>
  <c r="F98" i="7"/>
  <c r="H98" i="7" s="1"/>
  <c r="F97" i="7"/>
  <c r="H97" i="7" s="1"/>
  <c r="F96" i="7"/>
  <c r="H96" i="7" s="1"/>
  <c r="F95" i="7"/>
  <c r="H95" i="7" s="1"/>
  <c r="F94" i="7"/>
  <c r="H94" i="7" s="1"/>
  <c r="H92" i="7"/>
  <c r="H91" i="7"/>
  <c r="H90" i="7"/>
  <c r="H89" i="7"/>
  <c r="H88" i="7"/>
  <c r="H87" i="7"/>
  <c r="H86" i="7"/>
  <c r="H85" i="7"/>
  <c r="H84" i="7"/>
  <c r="H81" i="7"/>
  <c r="H80" i="7"/>
  <c r="H79" i="7"/>
  <c r="H78" i="7"/>
  <c r="H77" i="7"/>
  <c r="H76" i="7"/>
  <c r="H75" i="7"/>
  <c r="H74" i="7"/>
  <c r="F71" i="7"/>
  <c r="H71" i="7" s="1"/>
  <c r="F70" i="7"/>
  <c r="H70" i="7" s="1"/>
  <c r="H58" i="7"/>
  <c r="H57" i="7"/>
  <c r="H56" i="7"/>
  <c r="H55" i="7"/>
  <c r="H54" i="7"/>
  <c r="H53" i="7"/>
  <c r="H52" i="7"/>
  <c r="H51" i="7"/>
  <c r="H50" i="7"/>
  <c r="H49" i="7"/>
  <c r="H48" i="7"/>
  <c r="H47" i="7"/>
  <c r="H46" i="7"/>
  <c r="H45" i="7"/>
  <c r="H44" i="7"/>
  <c r="H43" i="7"/>
  <c r="H42" i="7"/>
  <c r="H40" i="7"/>
  <c r="H39" i="7"/>
  <c r="H38" i="7"/>
  <c r="H37" i="7"/>
  <c r="H36" i="7"/>
  <c r="H35" i="7"/>
  <c r="F34" i="7"/>
  <c r="H33" i="7"/>
  <c r="H31" i="7"/>
  <c r="H30" i="7"/>
  <c r="H29" i="7"/>
  <c r="H28" i="7"/>
  <c r="H27" i="7"/>
  <c r="H26" i="7"/>
  <c r="H25" i="7"/>
  <c r="H24" i="7"/>
  <c r="H23" i="7"/>
  <c r="H22" i="7"/>
  <c r="H21" i="7"/>
  <c r="H20" i="7"/>
  <c r="H19" i="7"/>
  <c r="H18" i="7"/>
  <c r="H17" i="7"/>
  <c r="H16" i="7"/>
  <c r="H15" i="7"/>
  <c r="H14" i="7"/>
  <c r="H13" i="7"/>
  <c r="F8" i="7"/>
  <c r="H8" i="7" s="1"/>
  <c r="F7" i="7"/>
  <c r="F6" i="7"/>
  <c r="F5" i="7"/>
  <c r="F63" i="7" l="1"/>
  <c r="H63" i="7" s="1"/>
  <c r="F68" i="7"/>
  <c r="H68" i="7" s="1"/>
  <c r="F66" i="7"/>
  <c r="H66" i="7" s="1"/>
  <c r="F61" i="7"/>
  <c r="H61" i="7" s="1"/>
  <c r="F67" i="7"/>
  <c r="H67" i="7" s="1"/>
  <c r="F62" i="7"/>
  <c r="H62" i="7" s="1"/>
  <c r="H7" i="7"/>
  <c r="F69" i="7"/>
  <c r="H69" i="7" s="1"/>
  <c r="F133" i="7"/>
  <c r="H133" i="7" s="1"/>
  <c r="H34" i="7"/>
  <c r="F147" i="7"/>
  <c r="H147" i="7" s="1"/>
  <c r="H137" i="7"/>
  <c r="F151" i="7"/>
  <c r="H151" i="7" s="1"/>
  <c r="H141" i="7"/>
  <c r="H142" i="7"/>
  <c r="F148" i="7"/>
  <c r="H148" i="7" s="1"/>
  <c r="F153" i="7"/>
  <c r="H153" i="7" s="1"/>
  <c r="H161" i="7"/>
  <c r="F146" i="7"/>
  <c r="H146" i="7" s="1"/>
  <c r="F150" i="7"/>
  <c r="H150" i="7" s="1"/>
  <c r="F149" i="7"/>
  <c r="H149" i="7" s="1"/>
  <c r="H5" i="7"/>
  <c r="H6" i="7"/>
  <c r="F176" i="7"/>
  <c r="H176" i="7" s="1"/>
  <c r="L469" i="6" l="1"/>
  <c r="K469" i="6"/>
  <c r="J469" i="6"/>
  <c r="I469" i="6"/>
  <c r="E469" i="6"/>
  <c r="H468" i="6"/>
  <c r="D468" i="6"/>
  <c r="C468" i="6"/>
  <c r="H467" i="6"/>
  <c r="D467" i="6"/>
  <c r="C467" i="6"/>
  <c r="H466" i="6"/>
  <c r="D466" i="6"/>
  <c r="C466" i="6"/>
  <c r="H465" i="6"/>
  <c r="D465" i="6"/>
  <c r="C465" i="6"/>
  <c r="H464" i="6"/>
  <c r="D464" i="6"/>
  <c r="C464" i="6"/>
  <c r="H463" i="6"/>
  <c r="D463" i="6"/>
  <c r="C463" i="6"/>
  <c r="H462" i="6"/>
  <c r="D462" i="6"/>
  <c r="C462" i="6"/>
  <c r="H461" i="6"/>
  <c r="D461" i="6"/>
  <c r="C461" i="6"/>
  <c r="H460" i="6"/>
  <c r="D460" i="6"/>
  <c r="C460" i="6"/>
  <c r="H459" i="6"/>
  <c r="D459" i="6"/>
  <c r="C459" i="6"/>
  <c r="H458" i="6"/>
  <c r="D458" i="6"/>
  <c r="C458" i="6"/>
  <c r="H457" i="6"/>
  <c r="D457" i="6"/>
  <c r="C457" i="6"/>
  <c r="H456" i="6"/>
  <c r="D456" i="6"/>
  <c r="C456" i="6"/>
  <c r="H455" i="6"/>
  <c r="D455" i="6"/>
  <c r="C455" i="6"/>
  <c r="H454" i="6"/>
  <c r="D454" i="6"/>
  <c r="C454" i="6"/>
  <c r="H453" i="6"/>
  <c r="D453" i="6"/>
  <c r="C453" i="6"/>
  <c r="H452" i="6"/>
  <c r="D452" i="6"/>
  <c r="C452" i="6"/>
  <c r="H451" i="6"/>
  <c r="D451" i="6"/>
  <c r="C451" i="6"/>
  <c r="H450" i="6"/>
  <c r="D450" i="6"/>
  <c r="C450" i="6"/>
  <c r="H449" i="6"/>
  <c r="D449" i="6"/>
  <c r="C449" i="6"/>
  <c r="H448" i="6"/>
  <c r="D448" i="6"/>
  <c r="C448" i="6"/>
  <c r="H447" i="6"/>
  <c r="D447" i="6"/>
  <c r="C447" i="6"/>
  <c r="H446" i="6"/>
  <c r="D446" i="6"/>
  <c r="C446" i="6"/>
  <c r="H445" i="6"/>
  <c r="D445" i="6"/>
  <c r="C445" i="6"/>
  <c r="H444" i="6"/>
  <c r="D444" i="6"/>
  <c r="C444" i="6"/>
  <c r="H443" i="6"/>
  <c r="D443" i="6"/>
  <c r="C443" i="6"/>
  <c r="H442" i="6"/>
  <c r="D442" i="6"/>
  <c r="C442" i="6"/>
  <c r="H441" i="6"/>
  <c r="D441" i="6"/>
  <c r="C441" i="6"/>
  <c r="H440" i="6"/>
  <c r="D440" i="6"/>
  <c r="C440" i="6"/>
  <c r="H439" i="6"/>
  <c r="D439" i="6"/>
  <c r="C439" i="6"/>
  <c r="H438" i="6"/>
  <c r="D438" i="6"/>
  <c r="C438" i="6"/>
  <c r="H437" i="6"/>
  <c r="D437" i="6"/>
  <c r="C437" i="6"/>
  <c r="H436" i="6"/>
  <c r="D436" i="6"/>
  <c r="C436" i="6"/>
  <c r="H435" i="6"/>
  <c r="D435" i="6"/>
  <c r="C435" i="6"/>
  <c r="H434" i="6"/>
  <c r="D434" i="6"/>
  <c r="C434" i="6"/>
  <c r="H433" i="6"/>
  <c r="D433" i="6"/>
  <c r="C433" i="6"/>
  <c r="H432" i="6"/>
  <c r="D432" i="6"/>
  <c r="C432" i="6"/>
  <c r="H431" i="6"/>
  <c r="D431" i="6"/>
  <c r="C431" i="6"/>
  <c r="H430" i="6"/>
  <c r="D430" i="6"/>
  <c r="C430" i="6"/>
  <c r="H429" i="6"/>
  <c r="D429" i="6"/>
  <c r="C429" i="6"/>
  <c r="H428" i="6"/>
  <c r="D428" i="6"/>
  <c r="C428" i="6"/>
  <c r="H427" i="6"/>
  <c r="D427" i="6"/>
  <c r="C427" i="6"/>
  <c r="H426" i="6"/>
  <c r="D426" i="6"/>
  <c r="C426" i="6"/>
  <c r="H425" i="6"/>
  <c r="D425" i="6"/>
  <c r="C425" i="6"/>
  <c r="H424" i="6"/>
  <c r="D424" i="6"/>
  <c r="C424" i="6"/>
  <c r="H423" i="6"/>
  <c r="D423" i="6"/>
  <c r="C423" i="6"/>
  <c r="H422" i="6"/>
  <c r="D422" i="6"/>
  <c r="C422" i="6"/>
  <c r="H421" i="6"/>
  <c r="D421" i="6"/>
  <c r="C421" i="6"/>
  <c r="H420" i="6"/>
  <c r="D420" i="6"/>
  <c r="C420" i="6"/>
  <c r="H419" i="6"/>
  <c r="D419" i="6"/>
  <c r="C419" i="6"/>
  <c r="H418" i="6"/>
  <c r="D418" i="6"/>
  <c r="C418" i="6"/>
  <c r="H417" i="6"/>
  <c r="D417" i="6"/>
  <c r="C417" i="6"/>
  <c r="H416" i="6"/>
  <c r="D416" i="6"/>
  <c r="C416" i="6"/>
  <c r="H415" i="6"/>
  <c r="D415" i="6"/>
  <c r="C415" i="6"/>
  <c r="H414" i="6"/>
  <c r="D414" i="6"/>
  <c r="C414" i="6"/>
  <c r="H413" i="6"/>
  <c r="D413" i="6"/>
  <c r="C413" i="6"/>
  <c r="H412" i="6"/>
  <c r="D412" i="6"/>
  <c r="C412" i="6"/>
  <c r="H411" i="6"/>
  <c r="D411" i="6"/>
  <c r="C411" i="6"/>
  <c r="H410" i="6"/>
  <c r="D410" i="6"/>
  <c r="C410" i="6"/>
  <c r="H409" i="6"/>
  <c r="D409" i="6"/>
  <c r="C409" i="6"/>
  <c r="H408" i="6"/>
  <c r="D408" i="6"/>
  <c r="C408" i="6"/>
  <c r="H407" i="6"/>
  <c r="D407" i="6"/>
  <c r="C407" i="6"/>
  <c r="H406" i="6"/>
  <c r="D406" i="6"/>
  <c r="C406" i="6"/>
  <c r="H405" i="6"/>
  <c r="D405" i="6"/>
  <c r="C405" i="6"/>
  <c r="H404" i="6"/>
  <c r="D404" i="6"/>
  <c r="C404" i="6"/>
  <c r="H403" i="6"/>
  <c r="D403" i="6"/>
  <c r="C403" i="6"/>
  <c r="H402" i="6"/>
  <c r="D402" i="6"/>
  <c r="C402" i="6"/>
  <c r="H401" i="6"/>
  <c r="D401" i="6"/>
  <c r="C401" i="6"/>
  <c r="H400" i="6"/>
  <c r="D400" i="6"/>
  <c r="C400" i="6"/>
  <c r="H399" i="6"/>
  <c r="D399" i="6"/>
  <c r="C399" i="6"/>
  <c r="H398" i="6"/>
  <c r="D398" i="6"/>
  <c r="C398" i="6"/>
  <c r="H397" i="6"/>
  <c r="D397" i="6"/>
  <c r="C397" i="6"/>
  <c r="H396" i="6"/>
  <c r="D396" i="6"/>
  <c r="C396" i="6"/>
  <c r="H395" i="6"/>
  <c r="D395" i="6"/>
  <c r="C395" i="6"/>
  <c r="H394" i="6"/>
  <c r="D394" i="6"/>
  <c r="C394" i="6"/>
  <c r="H393" i="6"/>
  <c r="D393" i="6"/>
  <c r="C393" i="6"/>
  <c r="H392" i="6"/>
  <c r="D392" i="6"/>
  <c r="C392" i="6"/>
  <c r="H391" i="6"/>
  <c r="D391" i="6"/>
  <c r="C391" i="6"/>
  <c r="H390" i="6"/>
  <c r="D390" i="6"/>
  <c r="C390" i="6"/>
  <c r="H389" i="6"/>
  <c r="D389" i="6"/>
  <c r="C389" i="6"/>
  <c r="H388" i="6"/>
  <c r="D388" i="6"/>
  <c r="C388" i="6"/>
  <c r="H387" i="6"/>
  <c r="D387" i="6"/>
  <c r="C387" i="6"/>
  <c r="H386" i="6"/>
  <c r="D386" i="6"/>
  <c r="C386" i="6"/>
  <c r="H385" i="6"/>
  <c r="D385" i="6"/>
  <c r="C385" i="6"/>
  <c r="H384" i="6"/>
  <c r="D384" i="6"/>
  <c r="C384" i="6"/>
  <c r="H383" i="6"/>
  <c r="D383" i="6"/>
  <c r="C383" i="6"/>
  <c r="H382" i="6"/>
  <c r="D382" i="6"/>
  <c r="C382" i="6"/>
  <c r="H381" i="6"/>
  <c r="D381" i="6"/>
  <c r="C381" i="6"/>
  <c r="H380" i="6"/>
  <c r="D380" i="6"/>
  <c r="C380" i="6"/>
  <c r="H379" i="6"/>
  <c r="D379" i="6"/>
  <c r="C379" i="6"/>
  <c r="H378" i="6"/>
  <c r="D378" i="6"/>
  <c r="C378" i="6"/>
  <c r="H377" i="6"/>
  <c r="D377" i="6"/>
  <c r="C377" i="6"/>
  <c r="H376" i="6"/>
  <c r="D376" i="6"/>
  <c r="C376" i="6"/>
  <c r="H375" i="6"/>
  <c r="D375" i="6"/>
  <c r="C375" i="6"/>
  <c r="H374" i="6"/>
  <c r="D374" i="6"/>
  <c r="C374" i="6"/>
  <c r="H373" i="6"/>
  <c r="D373" i="6"/>
  <c r="C373" i="6"/>
  <c r="H372" i="6"/>
  <c r="D372" i="6"/>
  <c r="C372" i="6"/>
  <c r="H371" i="6"/>
  <c r="D371" i="6"/>
  <c r="C371" i="6"/>
  <c r="H370" i="6"/>
  <c r="D370" i="6"/>
  <c r="C370" i="6"/>
  <c r="H369" i="6"/>
  <c r="D369" i="6"/>
  <c r="C369" i="6"/>
  <c r="H368" i="6"/>
  <c r="D368" i="6"/>
  <c r="C368" i="6"/>
  <c r="H367" i="6"/>
  <c r="D367" i="6"/>
  <c r="C367" i="6"/>
  <c r="H366" i="6"/>
  <c r="D366" i="6"/>
  <c r="C366" i="6"/>
  <c r="H365" i="6"/>
  <c r="D365" i="6"/>
  <c r="C365" i="6"/>
  <c r="H364" i="6"/>
  <c r="D364" i="6"/>
  <c r="C364" i="6"/>
  <c r="H363" i="6"/>
  <c r="D363" i="6"/>
  <c r="C363" i="6"/>
  <c r="H362" i="6"/>
  <c r="D362" i="6"/>
  <c r="C362" i="6"/>
  <c r="H361" i="6"/>
  <c r="D361" i="6"/>
  <c r="C361" i="6"/>
  <c r="H360" i="6"/>
  <c r="D360" i="6"/>
  <c r="C360" i="6"/>
  <c r="H359" i="6"/>
  <c r="D359" i="6"/>
  <c r="C359" i="6"/>
  <c r="H358" i="6"/>
  <c r="D358" i="6"/>
  <c r="C358" i="6"/>
  <c r="H357" i="6"/>
  <c r="D357" i="6"/>
  <c r="C357" i="6"/>
  <c r="H356" i="6"/>
  <c r="D356" i="6"/>
  <c r="C356" i="6"/>
  <c r="H355" i="6"/>
  <c r="D355" i="6"/>
  <c r="C355" i="6"/>
  <c r="H354" i="6"/>
  <c r="D354" i="6"/>
  <c r="C354" i="6"/>
  <c r="H353" i="6"/>
  <c r="D353" i="6"/>
  <c r="C353" i="6"/>
  <c r="H352" i="6"/>
  <c r="D352" i="6"/>
  <c r="C352" i="6"/>
  <c r="H351" i="6"/>
  <c r="D351" i="6"/>
  <c r="C351" i="6"/>
  <c r="H350" i="6"/>
  <c r="D350" i="6"/>
  <c r="C350" i="6"/>
  <c r="H349" i="6"/>
  <c r="D349" i="6"/>
  <c r="C349" i="6"/>
  <c r="H348" i="6"/>
  <c r="D348" i="6"/>
  <c r="C348" i="6"/>
  <c r="H347" i="6"/>
  <c r="D347" i="6"/>
  <c r="C347" i="6"/>
  <c r="H346" i="6"/>
  <c r="D346" i="6"/>
  <c r="C346" i="6"/>
  <c r="H345" i="6"/>
  <c r="D345" i="6"/>
  <c r="C345" i="6"/>
  <c r="H344" i="6"/>
  <c r="D344" i="6"/>
  <c r="C344" i="6"/>
  <c r="H343" i="6"/>
  <c r="D343" i="6"/>
  <c r="C343" i="6"/>
  <c r="H342" i="6"/>
  <c r="D342" i="6"/>
  <c r="C342" i="6"/>
  <c r="H341" i="6"/>
  <c r="D341" i="6"/>
  <c r="C341" i="6"/>
  <c r="H340" i="6"/>
  <c r="D340" i="6"/>
  <c r="C340" i="6"/>
  <c r="H339" i="6"/>
  <c r="D339" i="6"/>
  <c r="C339" i="6"/>
  <c r="H338" i="6"/>
  <c r="D338" i="6"/>
  <c r="C338" i="6"/>
  <c r="H337" i="6"/>
  <c r="D337" i="6"/>
  <c r="C337" i="6"/>
  <c r="H336" i="6"/>
  <c r="D336" i="6"/>
  <c r="C336" i="6"/>
  <c r="H335" i="6"/>
  <c r="D335" i="6"/>
  <c r="C335" i="6"/>
  <c r="H334" i="6"/>
  <c r="D334" i="6"/>
  <c r="C334" i="6"/>
  <c r="H333" i="6"/>
  <c r="D333" i="6"/>
  <c r="C333" i="6"/>
  <c r="H332" i="6"/>
  <c r="D332" i="6"/>
  <c r="C332" i="6"/>
  <c r="H331" i="6"/>
  <c r="D331" i="6"/>
  <c r="C331" i="6"/>
  <c r="H330" i="6"/>
  <c r="D330" i="6"/>
  <c r="C330" i="6"/>
  <c r="H329" i="6"/>
  <c r="D329" i="6"/>
  <c r="C329" i="6"/>
  <c r="H328" i="6"/>
  <c r="D328" i="6"/>
  <c r="C328" i="6"/>
  <c r="H327" i="6"/>
  <c r="D327" i="6"/>
  <c r="C327" i="6"/>
  <c r="H326" i="6"/>
  <c r="D326" i="6"/>
  <c r="C326" i="6"/>
  <c r="H325" i="6"/>
  <c r="D325" i="6"/>
  <c r="C325" i="6"/>
  <c r="H324" i="6"/>
  <c r="D324" i="6"/>
  <c r="C324" i="6"/>
  <c r="H323" i="6"/>
  <c r="D323" i="6"/>
  <c r="C323" i="6"/>
  <c r="H322" i="6"/>
  <c r="D322" i="6"/>
  <c r="C322" i="6"/>
  <c r="H321" i="6"/>
  <c r="D321" i="6"/>
  <c r="C321" i="6"/>
  <c r="H320" i="6"/>
  <c r="D320" i="6"/>
  <c r="C320" i="6"/>
  <c r="H319" i="6"/>
  <c r="D319" i="6"/>
  <c r="C319" i="6"/>
  <c r="H318" i="6"/>
  <c r="D318" i="6"/>
  <c r="C318" i="6"/>
  <c r="H317" i="6"/>
  <c r="D317" i="6"/>
  <c r="C317" i="6"/>
  <c r="H316" i="6"/>
  <c r="D316" i="6"/>
  <c r="C316" i="6"/>
  <c r="H315" i="6"/>
  <c r="D315" i="6"/>
  <c r="C315" i="6"/>
  <c r="H314" i="6"/>
  <c r="D314" i="6"/>
  <c r="C314" i="6"/>
  <c r="H313" i="6"/>
  <c r="D313" i="6"/>
  <c r="C313" i="6"/>
  <c r="H312" i="6"/>
  <c r="D312" i="6"/>
  <c r="C312" i="6"/>
  <c r="H311" i="6"/>
  <c r="D311" i="6"/>
  <c r="C311" i="6"/>
  <c r="H310" i="6"/>
  <c r="D310" i="6"/>
  <c r="C310" i="6"/>
  <c r="H309" i="6"/>
  <c r="D309" i="6"/>
  <c r="C309" i="6"/>
  <c r="H308" i="6"/>
  <c r="D308" i="6"/>
  <c r="C308" i="6"/>
  <c r="H307" i="6"/>
  <c r="D307" i="6"/>
  <c r="C307" i="6"/>
  <c r="H306" i="6"/>
  <c r="D306" i="6"/>
  <c r="C306" i="6"/>
  <c r="H305" i="6"/>
  <c r="D305" i="6"/>
  <c r="C305" i="6"/>
  <c r="H304" i="6"/>
  <c r="D304" i="6"/>
  <c r="C304" i="6"/>
  <c r="H303" i="6"/>
  <c r="D303" i="6"/>
  <c r="C303" i="6"/>
  <c r="H302" i="6"/>
  <c r="D302" i="6"/>
  <c r="C302" i="6"/>
  <c r="H301" i="6"/>
  <c r="D301" i="6"/>
  <c r="C301" i="6"/>
  <c r="H300" i="6"/>
  <c r="D300" i="6"/>
  <c r="C300" i="6"/>
  <c r="H299" i="6"/>
  <c r="D299" i="6"/>
  <c r="C299" i="6"/>
  <c r="H298" i="6"/>
  <c r="D298" i="6"/>
  <c r="C298" i="6"/>
  <c r="H297" i="6"/>
  <c r="D297" i="6"/>
  <c r="C297" i="6"/>
  <c r="H296" i="6"/>
  <c r="D296" i="6"/>
  <c r="C296" i="6"/>
  <c r="H295" i="6"/>
  <c r="D295" i="6"/>
  <c r="C295" i="6"/>
  <c r="H294" i="6"/>
  <c r="D294" i="6"/>
  <c r="C294" i="6"/>
  <c r="H293" i="6"/>
  <c r="D293" i="6"/>
  <c r="C293" i="6"/>
  <c r="H292" i="6"/>
  <c r="D292" i="6"/>
  <c r="C292" i="6"/>
  <c r="H291" i="6"/>
  <c r="D291" i="6"/>
  <c r="C291" i="6"/>
  <c r="H290" i="6"/>
  <c r="D290" i="6"/>
  <c r="C290" i="6"/>
  <c r="H289" i="6"/>
  <c r="D289" i="6"/>
  <c r="C289" i="6"/>
  <c r="H288" i="6"/>
  <c r="D288" i="6"/>
  <c r="C288" i="6"/>
  <c r="H287" i="6"/>
  <c r="D287" i="6"/>
  <c r="C287" i="6"/>
  <c r="H286" i="6"/>
  <c r="D286" i="6"/>
  <c r="C286" i="6"/>
  <c r="H285" i="6"/>
  <c r="D285" i="6"/>
  <c r="C285" i="6"/>
  <c r="H284" i="6"/>
  <c r="D284" i="6"/>
  <c r="C284" i="6"/>
  <c r="H283" i="6"/>
  <c r="D283" i="6"/>
  <c r="C283" i="6"/>
  <c r="H282" i="6"/>
  <c r="D282" i="6"/>
  <c r="C282" i="6"/>
  <c r="H281" i="6"/>
  <c r="D281" i="6"/>
  <c r="C281" i="6"/>
  <c r="H280" i="6"/>
  <c r="D280" i="6"/>
  <c r="C280" i="6"/>
  <c r="H279" i="6"/>
  <c r="D279" i="6"/>
  <c r="C279" i="6"/>
  <c r="H278" i="6"/>
  <c r="D278" i="6"/>
  <c r="C278" i="6"/>
  <c r="H277" i="6"/>
  <c r="D277" i="6"/>
  <c r="C277" i="6"/>
  <c r="H276" i="6"/>
  <c r="D276" i="6"/>
  <c r="C276" i="6"/>
  <c r="H275" i="6"/>
  <c r="D275" i="6"/>
  <c r="C275" i="6"/>
  <c r="H274" i="6"/>
  <c r="D274" i="6"/>
  <c r="C274" i="6"/>
  <c r="H273" i="6"/>
  <c r="D273" i="6"/>
  <c r="C273" i="6"/>
  <c r="H272" i="6"/>
  <c r="D272" i="6"/>
  <c r="C272" i="6"/>
  <c r="H271" i="6"/>
  <c r="D271" i="6"/>
  <c r="C271" i="6"/>
  <c r="H270" i="6"/>
  <c r="D270" i="6"/>
  <c r="C270" i="6"/>
  <c r="H269" i="6"/>
  <c r="D269" i="6"/>
  <c r="C269" i="6"/>
  <c r="H268" i="6"/>
  <c r="D268" i="6"/>
  <c r="C268" i="6"/>
  <c r="H267" i="6"/>
  <c r="D267" i="6"/>
  <c r="C267" i="6"/>
  <c r="H266" i="6"/>
  <c r="D266" i="6"/>
  <c r="C266" i="6"/>
  <c r="H265" i="6"/>
  <c r="D265" i="6"/>
  <c r="C265" i="6"/>
  <c r="H264" i="6"/>
  <c r="D264" i="6"/>
  <c r="C264" i="6"/>
  <c r="H263" i="6"/>
  <c r="D263" i="6"/>
  <c r="C263" i="6"/>
  <c r="H262" i="6"/>
  <c r="D262" i="6"/>
  <c r="C262" i="6"/>
  <c r="H261" i="6"/>
  <c r="D261" i="6"/>
  <c r="C261" i="6"/>
  <c r="H260" i="6"/>
  <c r="D260" i="6"/>
  <c r="C260" i="6"/>
  <c r="H259" i="6"/>
  <c r="D259" i="6"/>
  <c r="C259" i="6"/>
  <c r="H258" i="6"/>
  <c r="D258" i="6"/>
  <c r="C258" i="6"/>
  <c r="H257" i="6"/>
  <c r="D257" i="6"/>
  <c r="C257" i="6"/>
  <c r="H256" i="6"/>
  <c r="D256" i="6"/>
  <c r="C256" i="6"/>
  <c r="H255" i="6"/>
  <c r="D255" i="6"/>
  <c r="C255" i="6"/>
  <c r="H254" i="6"/>
  <c r="D254" i="6"/>
  <c r="C254" i="6"/>
  <c r="H253" i="6"/>
  <c r="D253" i="6"/>
  <c r="C253" i="6"/>
  <c r="H252" i="6"/>
  <c r="D252" i="6"/>
  <c r="C252" i="6"/>
  <c r="H251" i="6"/>
  <c r="D251" i="6"/>
  <c r="C251" i="6"/>
  <c r="H250" i="6"/>
  <c r="D250" i="6"/>
  <c r="C250" i="6"/>
  <c r="H249" i="6"/>
  <c r="D249" i="6"/>
  <c r="C249" i="6"/>
  <c r="H248" i="6"/>
  <c r="D248" i="6"/>
  <c r="C248" i="6"/>
  <c r="H247" i="6"/>
  <c r="D247" i="6"/>
  <c r="C247" i="6"/>
  <c r="H246" i="6"/>
  <c r="D246" i="6"/>
  <c r="C246" i="6"/>
  <c r="H245" i="6"/>
  <c r="D245" i="6"/>
  <c r="C245" i="6"/>
  <c r="H244" i="6"/>
  <c r="D244" i="6"/>
  <c r="C244" i="6"/>
  <c r="H243" i="6"/>
  <c r="D243" i="6"/>
  <c r="C243" i="6"/>
  <c r="H242" i="6"/>
  <c r="D242" i="6"/>
  <c r="C242" i="6"/>
  <c r="H241" i="6"/>
  <c r="D241" i="6"/>
  <c r="C241" i="6"/>
  <c r="H240" i="6"/>
  <c r="D240" i="6"/>
  <c r="C240" i="6"/>
  <c r="H239" i="6"/>
  <c r="D239" i="6"/>
  <c r="C239" i="6"/>
  <c r="H238" i="6"/>
  <c r="D238" i="6"/>
  <c r="C238" i="6"/>
  <c r="H237" i="6"/>
  <c r="D237" i="6"/>
  <c r="C237" i="6"/>
  <c r="H236" i="6"/>
  <c r="D236" i="6"/>
  <c r="C236" i="6"/>
  <c r="H235" i="6"/>
  <c r="D235" i="6"/>
  <c r="C235" i="6"/>
  <c r="H234" i="6"/>
  <c r="D234" i="6"/>
  <c r="C234" i="6"/>
  <c r="H233" i="6"/>
  <c r="D233" i="6"/>
  <c r="C233" i="6"/>
  <c r="H232" i="6"/>
  <c r="D232" i="6"/>
  <c r="C232" i="6"/>
  <c r="H231" i="6"/>
  <c r="D231" i="6"/>
  <c r="C231" i="6"/>
  <c r="H230" i="6"/>
  <c r="D230" i="6"/>
  <c r="C230" i="6"/>
  <c r="H229" i="6"/>
  <c r="D229" i="6"/>
  <c r="C229" i="6"/>
  <c r="H228" i="6"/>
  <c r="D228" i="6"/>
  <c r="C228" i="6"/>
  <c r="H227" i="6"/>
  <c r="D227" i="6"/>
  <c r="C227" i="6"/>
  <c r="H226" i="6"/>
  <c r="D226" i="6"/>
  <c r="C226" i="6"/>
  <c r="H225" i="6"/>
  <c r="D225" i="6"/>
  <c r="C225" i="6"/>
  <c r="H224" i="6"/>
  <c r="D224" i="6"/>
  <c r="C224" i="6"/>
  <c r="H223" i="6"/>
  <c r="D223" i="6"/>
  <c r="C223" i="6"/>
  <c r="H222" i="6"/>
  <c r="D222" i="6"/>
  <c r="C222" i="6"/>
  <c r="H221" i="6"/>
  <c r="D221" i="6"/>
  <c r="C221" i="6"/>
  <c r="H220" i="6"/>
  <c r="D220" i="6"/>
  <c r="C220" i="6"/>
  <c r="H219" i="6"/>
  <c r="D219" i="6"/>
  <c r="C219" i="6"/>
  <c r="H218" i="6"/>
  <c r="D218" i="6"/>
  <c r="C218" i="6"/>
  <c r="H217" i="6"/>
  <c r="D217" i="6"/>
  <c r="C217" i="6"/>
  <c r="H216" i="6"/>
  <c r="D216" i="6"/>
  <c r="C216" i="6"/>
  <c r="H215" i="6"/>
  <c r="D215" i="6"/>
  <c r="C215" i="6"/>
  <c r="H214" i="6"/>
  <c r="D214" i="6"/>
  <c r="C214" i="6"/>
  <c r="H213" i="6"/>
  <c r="D213" i="6"/>
  <c r="C213" i="6"/>
  <c r="H212" i="6"/>
  <c r="D212" i="6"/>
  <c r="C212" i="6"/>
  <c r="H211" i="6"/>
  <c r="D211" i="6"/>
  <c r="C211" i="6"/>
  <c r="H210" i="6"/>
  <c r="D210" i="6"/>
  <c r="C210" i="6"/>
  <c r="H209" i="6"/>
  <c r="D209" i="6"/>
  <c r="C209" i="6"/>
  <c r="H208" i="6"/>
  <c r="D208" i="6"/>
  <c r="C208" i="6"/>
  <c r="H207" i="6"/>
  <c r="D207" i="6"/>
  <c r="C207" i="6"/>
  <c r="H206" i="6"/>
  <c r="D206" i="6"/>
  <c r="C206" i="6"/>
  <c r="H205" i="6"/>
  <c r="D205" i="6"/>
  <c r="C205" i="6"/>
  <c r="H204" i="6"/>
  <c r="D204" i="6"/>
  <c r="C204" i="6"/>
  <c r="H203" i="6"/>
  <c r="D203" i="6"/>
  <c r="C203" i="6"/>
  <c r="H202" i="6"/>
  <c r="D202" i="6"/>
  <c r="C202" i="6"/>
  <c r="H201" i="6"/>
  <c r="D201" i="6"/>
  <c r="C201" i="6"/>
  <c r="H200" i="6"/>
  <c r="D200" i="6"/>
  <c r="C200" i="6"/>
  <c r="H199" i="6"/>
  <c r="D199" i="6"/>
  <c r="C199" i="6"/>
  <c r="H198" i="6"/>
  <c r="D198" i="6"/>
  <c r="C198" i="6"/>
  <c r="H197" i="6"/>
  <c r="D197" i="6"/>
  <c r="C197" i="6"/>
  <c r="H196" i="6"/>
  <c r="D196" i="6"/>
  <c r="C196" i="6"/>
  <c r="H195" i="6"/>
  <c r="D195" i="6"/>
  <c r="C195" i="6"/>
  <c r="H194" i="6"/>
  <c r="D194" i="6"/>
  <c r="C194" i="6"/>
  <c r="H193" i="6"/>
  <c r="D193" i="6"/>
  <c r="C193" i="6"/>
  <c r="H192" i="6"/>
  <c r="D192" i="6"/>
  <c r="C192" i="6"/>
  <c r="H191" i="6"/>
  <c r="D191" i="6"/>
  <c r="C191" i="6"/>
  <c r="H190" i="6"/>
  <c r="D190" i="6"/>
  <c r="C190" i="6"/>
  <c r="H189" i="6"/>
  <c r="D189" i="6"/>
  <c r="C189" i="6"/>
  <c r="H188" i="6"/>
  <c r="D188" i="6"/>
  <c r="C188" i="6"/>
  <c r="H187" i="6"/>
  <c r="D187" i="6"/>
  <c r="C187" i="6"/>
  <c r="H186" i="6"/>
  <c r="D186" i="6"/>
  <c r="C186" i="6"/>
  <c r="H185" i="6"/>
  <c r="D185" i="6"/>
  <c r="C185" i="6"/>
  <c r="H184" i="6"/>
  <c r="D184" i="6"/>
  <c r="C184" i="6"/>
  <c r="H183" i="6"/>
  <c r="D183" i="6"/>
  <c r="C183" i="6"/>
  <c r="H182" i="6"/>
  <c r="D182" i="6"/>
  <c r="C182" i="6"/>
  <c r="H181" i="6"/>
  <c r="D181" i="6"/>
  <c r="C181" i="6"/>
  <c r="H180" i="6"/>
  <c r="D180" i="6"/>
  <c r="C180" i="6"/>
  <c r="H179" i="6"/>
  <c r="D179" i="6"/>
  <c r="C179" i="6"/>
  <c r="H178" i="6"/>
  <c r="D178" i="6"/>
  <c r="C178" i="6"/>
  <c r="H177" i="6"/>
  <c r="D177" i="6"/>
  <c r="C177" i="6"/>
  <c r="H176" i="6"/>
  <c r="D176" i="6"/>
  <c r="C176" i="6"/>
  <c r="H175" i="6"/>
  <c r="D175" i="6"/>
  <c r="C175" i="6"/>
  <c r="H174" i="6"/>
  <c r="D174" i="6"/>
  <c r="C174" i="6"/>
  <c r="H173" i="6"/>
  <c r="D173" i="6"/>
  <c r="C173" i="6"/>
  <c r="H172" i="6"/>
  <c r="D172" i="6"/>
  <c r="C172" i="6"/>
  <c r="H171" i="6"/>
  <c r="D171" i="6"/>
  <c r="C171" i="6"/>
  <c r="H170" i="6"/>
  <c r="D170" i="6"/>
  <c r="C170" i="6"/>
  <c r="H169" i="6"/>
  <c r="D169" i="6"/>
  <c r="C169" i="6"/>
  <c r="H168" i="6"/>
  <c r="D168" i="6"/>
  <c r="C168" i="6"/>
  <c r="H167" i="6"/>
  <c r="D167" i="6"/>
  <c r="C167" i="6"/>
  <c r="H166" i="6"/>
  <c r="D166" i="6"/>
  <c r="C166" i="6"/>
  <c r="H165" i="6"/>
  <c r="D165" i="6"/>
  <c r="C165" i="6"/>
  <c r="H164" i="6"/>
  <c r="D164" i="6"/>
  <c r="C164" i="6"/>
  <c r="H163" i="6"/>
  <c r="D163" i="6"/>
  <c r="C163" i="6"/>
  <c r="H162" i="6"/>
  <c r="D162" i="6"/>
  <c r="C162" i="6"/>
  <c r="H161" i="6"/>
  <c r="D161" i="6"/>
  <c r="C161" i="6"/>
  <c r="H160" i="6"/>
  <c r="D160" i="6"/>
  <c r="C160" i="6"/>
  <c r="H159" i="6"/>
  <c r="D159" i="6"/>
  <c r="C159" i="6"/>
  <c r="H158" i="6"/>
  <c r="D158" i="6"/>
  <c r="C158" i="6"/>
  <c r="H157" i="6"/>
  <c r="D157" i="6"/>
  <c r="C157" i="6"/>
  <c r="H156" i="6"/>
  <c r="D156" i="6"/>
  <c r="C156" i="6"/>
  <c r="H155" i="6"/>
  <c r="D155" i="6"/>
  <c r="C155" i="6"/>
  <c r="H154" i="6"/>
  <c r="D154" i="6"/>
  <c r="C154" i="6"/>
  <c r="H153" i="6"/>
  <c r="D153" i="6"/>
  <c r="C153" i="6"/>
  <c r="H152" i="6"/>
  <c r="D152" i="6"/>
  <c r="C152" i="6"/>
  <c r="H151" i="6"/>
  <c r="D151" i="6"/>
  <c r="C151" i="6"/>
  <c r="H150" i="6"/>
  <c r="D150" i="6"/>
  <c r="C150" i="6"/>
  <c r="H149" i="6"/>
  <c r="D149" i="6"/>
  <c r="C149" i="6"/>
  <c r="H148" i="6"/>
  <c r="D148" i="6"/>
  <c r="C148" i="6"/>
  <c r="H147" i="6"/>
  <c r="D147" i="6"/>
  <c r="C147" i="6"/>
  <c r="H146" i="6"/>
  <c r="D146" i="6"/>
  <c r="C146" i="6"/>
  <c r="H145" i="6"/>
  <c r="D145" i="6"/>
  <c r="C145" i="6"/>
  <c r="H144" i="6"/>
  <c r="D144" i="6"/>
  <c r="C144" i="6"/>
  <c r="H143" i="6"/>
  <c r="D143" i="6"/>
  <c r="C143" i="6"/>
  <c r="H142" i="6"/>
  <c r="D142" i="6"/>
  <c r="C142" i="6"/>
  <c r="H141" i="6"/>
  <c r="D141" i="6"/>
  <c r="C141" i="6"/>
  <c r="H140" i="6"/>
  <c r="D140" i="6"/>
  <c r="C140" i="6"/>
  <c r="H139" i="6"/>
  <c r="D139" i="6"/>
  <c r="C139" i="6"/>
  <c r="H138" i="6"/>
  <c r="D138" i="6"/>
  <c r="C138" i="6"/>
  <c r="H137" i="6"/>
  <c r="D137" i="6"/>
  <c r="C137" i="6"/>
  <c r="H136" i="6"/>
  <c r="D136" i="6"/>
  <c r="C136" i="6"/>
  <c r="H135" i="6"/>
  <c r="D135" i="6"/>
  <c r="C135" i="6"/>
  <c r="H134" i="6"/>
  <c r="D134" i="6"/>
  <c r="C134" i="6"/>
  <c r="H133" i="6"/>
  <c r="D133" i="6"/>
  <c r="C133" i="6"/>
  <c r="H132" i="6"/>
  <c r="D132" i="6"/>
  <c r="C132" i="6"/>
  <c r="H131" i="6"/>
  <c r="D131" i="6"/>
  <c r="C131" i="6"/>
  <c r="H130" i="6"/>
  <c r="D130" i="6"/>
  <c r="C130" i="6"/>
  <c r="H129" i="6"/>
  <c r="D129" i="6"/>
  <c r="C129" i="6"/>
  <c r="H128" i="6"/>
  <c r="D128" i="6"/>
  <c r="C128" i="6"/>
  <c r="H127" i="6"/>
  <c r="D127" i="6"/>
  <c r="C127" i="6"/>
  <c r="H126" i="6"/>
  <c r="D126" i="6"/>
  <c r="C126" i="6"/>
  <c r="H125" i="6"/>
  <c r="D125" i="6"/>
  <c r="C125" i="6"/>
  <c r="H124" i="6"/>
  <c r="D124" i="6"/>
  <c r="C124" i="6"/>
  <c r="H123" i="6"/>
  <c r="D123" i="6"/>
  <c r="C123" i="6"/>
  <c r="H122" i="6"/>
  <c r="D122" i="6"/>
  <c r="C122" i="6"/>
  <c r="H121" i="6"/>
  <c r="D121" i="6"/>
  <c r="C121" i="6"/>
  <c r="H120" i="6"/>
  <c r="D120" i="6"/>
  <c r="C120" i="6"/>
  <c r="H119" i="6"/>
  <c r="D119" i="6"/>
  <c r="C119" i="6"/>
  <c r="H118" i="6"/>
  <c r="D118" i="6"/>
  <c r="C118" i="6"/>
  <c r="H117" i="6"/>
  <c r="D117" i="6"/>
  <c r="C117" i="6"/>
  <c r="H116" i="6"/>
  <c r="D116" i="6"/>
  <c r="C116" i="6"/>
  <c r="H115" i="6"/>
  <c r="D115" i="6"/>
  <c r="C115" i="6"/>
  <c r="H114" i="6"/>
  <c r="D114" i="6"/>
  <c r="C114" i="6"/>
  <c r="H113" i="6"/>
  <c r="D113" i="6"/>
  <c r="C113" i="6"/>
  <c r="H112" i="6"/>
  <c r="D112" i="6"/>
  <c r="C112" i="6"/>
  <c r="H111" i="6"/>
  <c r="D111" i="6"/>
  <c r="C111" i="6"/>
  <c r="H110" i="6"/>
  <c r="D110" i="6"/>
  <c r="C110" i="6"/>
  <c r="H109" i="6"/>
  <c r="D109" i="6"/>
  <c r="C109" i="6"/>
  <c r="H108" i="6"/>
  <c r="D108" i="6"/>
  <c r="C108" i="6"/>
  <c r="H107" i="6"/>
  <c r="D107" i="6"/>
  <c r="C107" i="6"/>
  <c r="H106" i="6"/>
  <c r="D106" i="6"/>
  <c r="C106" i="6"/>
  <c r="H105" i="6"/>
  <c r="D105" i="6"/>
  <c r="C105" i="6"/>
  <c r="H104" i="6"/>
  <c r="D104" i="6"/>
  <c r="C104" i="6"/>
  <c r="H103" i="6"/>
  <c r="D103" i="6"/>
  <c r="C103" i="6"/>
  <c r="H102" i="6"/>
  <c r="D102" i="6"/>
  <c r="C102" i="6"/>
  <c r="H101" i="6"/>
  <c r="D101" i="6"/>
  <c r="C101" i="6"/>
  <c r="H100" i="6"/>
  <c r="D100" i="6"/>
  <c r="C100" i="6"/>
  <c r="H99" i="6"/>
  <c r="D99" i="6"/>
  <c r="C99" i="6"/>
  <c r="H98" i="6"/>
  <c r="D98" i="6"/>
  <c r="C98" i="6"/>
  <c r="H97" i="6"/>
  <c r="D97" i="6"/>
  <c r="C97" i="6"/>
  <c r="H96" i="6"/>
  <c r="D96" i="6"/>
  <c r="C96" i="6"/>
  <c r="H95" i="6"/>
  <c r="D95" i="6"/>
  <c r="C95" i="6"/>
  <c r="H94" i="6"/>
  <c r="D94" i="6"/>
  <c r="C94" i="6"/>
  <c r="H93" i="6"/>
  <c r="D93" i="6"/>
  <c r="C93" i="6"/>
  <c r="H92" i="6"/>
  <c r="D92" i="6"/>
  <c r="C92" i="6"/>
  <c r="H91" i="6"/>
  <c r="D91" i="6"/>
  <c r="C91" i="6"/>
  <c r="H90" i="6"/>
  <c r="D90" i="6"/>
  <c r="C90" i="6"/>
  <c r="H89" i="6"/>
  <c r="D89" i="6"/>
  <c r="C89" i="6"/>
  <c r="H88" i="6"/>
  <c r="D88" i="6"/>
  <c r="C88" i="6"/>
  <c r="H87" i="6"/>
  <c r="D87" i="6"/>
  <c r="C87" i="6"/>
  <c r="H86" i="6"/>
  <c r="D86" i="6"/>
  <c r="C86" i="6"/>
  <c r="H85" i="6"/>
  <c r="D85" i="6"/>
  <c r="C85" i="6"/>
  <c r="H84" i="6"/>
  <c r="D84" i="6"/>
  <c r="C84" i="6"/>
  <c r="H83" i="6"/>
  <c r="D83" i="6"/>
  <c r="C83" i="6"/>
  <c r="H82" i="6"/>
  <c r="D82" i="6"/>
  <c r="C82" i="6"/>
  <c r="H81" i="6"/>
  <c r="D81" i="6"/>
  <c r="C81" i="6"/>
  <c r="H80" i="6"/>
  <c r="D80" i="6"/>
  <c r="C80" i="6"/>
  <c r="H79" i="6"/>
  <c r="D79" i="6"/>
  <c r="C79" i="6"/>
  <c r="H78" i="6"/>
  <c r="D78" i="6"/>
  <c r="C78" i="6"/>
  <c r="H77" i="6"/>
  <c r="D77" i="6"/>
  <c r="C77" i="6"/>
  <c r="H76" i="6"/>
  <c r="D76" i="6"/>
  <c r="C76" i="6"/>
  <c r="H75" i="6"/>
  <c r="D75" i="6"/>
  <c r="C75" i="6"/>
  <c r="H74" i="6"/>
  <c r="D74" i="6"/>
  <c r="C74" i="6"/>
  <c r="H73" i="6"/>
  <c r="D73" i="6"/>
  <c r="C73" i="6"/>
  <c r="H72" i="6"/>
  <c r="D72" i="6"/>
  <c r="C72" i="6"/>
  <c r="H71" i="6"/>
  <c r="D71" i="6"/>
  <c r="C71" i="6"/>
  <c r="H70" i="6"/>
  <c r="D70" i="6"/>
  <c r="C70" i="6"/>
  <c r="H69" i="6"/>
  <c r="D69" i="6"/>
  <c r="C69" i="6"/>
  <c r="H68" i="6"/>
  <c r="D68" i="6"/>
  <c r="C68" i="6"/>
  <c r="H67" i="6"/>
  <c r="D67" i="6"/>
  <c r="C67" i="6"/>
  <c r="H66" i="6"/>
  <c r="D66" i="6"/>
  <c r="C66" i="6"/>
  <c r="H65" i="6"/>
  <c r="D65" i="6"/>
  <c r="C65" i="6"/>
  <c r="H64" i="6"/>
  <c r="D64" i="6"/>
  <c r="C64" i="6"/>
  <c r="H63" i="6"/>
  <c r="D63" i="6"/>
  <c r="C63" i="6"/>
  <c r="H62" i="6"/>
  <c r="D62" i="6"/>
  <c r="C62" i="6"/>
  <c r="H61" i="6"/>
  <c r="D61" i="6"/>
  <c r="C61" i="6"/>
  <c r="H60" i="6"/>
  <c r="D60" i="6"/>
  <c r="C60" i="6"/>
  <c r="H59" i="6"/>
  <c r="D59" i="6"/>
  <c r="C59" i="6"/>
  <c r="H58" i="6"/>
  <c r="D58" i="6"/>
  <c r="C58" i="6"/>
  <c r="H57" i="6"/>
  <c r="D57" i="6"/>
  <c r="C57" i="6"/>
  <c r="H56" i="6"/>
  <c r="D56" i="6"/>
  <c r="C56" i="6"/>
  <c r="H55" i="6"/>
  <c r="D55" i="6"/>
  <c r="C55" i="6"/>
  <c r="H54" i="6"/>
  <c r="D54" i="6"/>
  <c r="C54" i="6"/>
  <c r="H53" i="6"/>
  <c r="D53" i="6"/>
  <c r="C53" i="6"/>
  <c r="H52" i="6"/>
  <c r="D52" i="6"/>
  <c r="C52" i="6"/>
  <c r="H51" i="6"/>
  <c r="D51" i="6"/>
  <c r="C51" i="6"/>
  <c r="H50" i="6"/>
  <c r="D50" i="6"/>
  <c r="C50" i="6"/>
  <c r="H49" i="6"/>
  <c r="D49" i="6"/>
  <c r="C49" i="6"/>
  <c r="H48" i="6"/>
  <c r="D48" i="6"/>
  <c r="C48" i="6"/>
  <c r="H47" i="6"/>
  <c r="D47" i="6"/>
  <c r="C47" i="6"/>
  <c r="H46" i="6"/>
  <c r="D46" i="6"/>
  <c r="C46" i="6"/>
  <c r="H45" i="6"/>
  <c r="D45" i="6"/>
  <c r="C45" i="6"/>
  <c r="H44" i="6"/>
  <c r="D44" i="6"/>
  <c r="C44" i="6"/>
  <c r="H43" i="6"/>
  <c r="D43" i="6"/>
  <c r="C43" i="6"/>
  <c r="H42" i="6"/>
  <c r="D42" i="6"/>
  <c r="C42" i="6"/>
  <c r="H41" i="6"/>
  <c r="D41" i="6"/>
  <c r="C41" i="6"/>
  <c r="H40" i="6"/>
  <c r="D40" i="6"/>
  <c r="C40" i="6"/>
  <c r="H39" i="6"/>
  <c r="D39" i="6"/>
  <c r="C39" i="6"/>
  <c r="H38" i="6"/>
  <c r="D38" i="6"/>
  <c r="C38" i="6"/>
  <c r="H37" i="6"/>
  <c r="D37" i="6"/>
  <c r="C37" i="6"/>
  <c r="H36" i="6"/>
  <c r="D36" i="6"/>
  <c r="C36" i="6"/>
  <c r="H35" i="6"/>
  <c r="D35" i="6"/>
  <c r="C35" i="6"/>
  <c r="H34" i="6"/>
  <c r="D34" i="6"/>
  <c r="C34" i="6"/>
  <c r="H33" i="6"/>
  <c r="D33" i="6"/>
  <c r="C33" i="6"/>
  <c r="H32" i="6"/>
  <c r="D32" i="6"/>
  <c r="C32" i="6"/>
  <c r="H31" i="6"/>
  <c r="D31" i="6"/>
  <c r="C31" i="6"/>
  <c r="H30" i="6"/>
  <c r="D30" i="6"/>
  <c r="C30" i="6"/>
  <c r="H29" i="6"/>
  <c r="D29" i="6"/>
  <c r="C29" i="6"/>
  <c r="H28" i="6"/>
  <c r="D28" i="6"/>
  <c r="C28" i="6"/>
  <c r="H27" i="6"/>
  <c r="D27" i="6"/>
  <c r="C27" i="6"/>
  <c r="H26" i="6"/>
  <c r="D26" i="6"/>
  <c r="C26" i="6"/>
  <c r="H25" i="6"/>
  <c r="D25" i="6"/>
  <c r="C25" i="6"/>
  <c r="H24" i="6"/>
  <c r="D24" i="6"/>
  <c r="C24" i="6"/>
  <c r="H23" i="6"/>
  <c r="D23" i="6"/>
  <c r="C23" i="6"/>
  <c r="H22" i="6"/>
  <c r="D22" i="6"/>
  <c r="C22" i="6"/>
  <c r="H21" i="6"/>
  <c r="D21" i="6"/>
  <c r="C21" i="6"/>
  <c r="L20" i="6"/>
  <c r="K20" i="6"/>
  <c r="K470" i="6" s="1"/>
  <c r="J20" i="6"/>
  <c r="I20" i="6"/>
  <c r="E20" i="6"/>
  <c r="E470" i="6" s="1"/>
  <c r="H19" i="6"/>
  <c r="D19" i="6"/>
  <c r="C19" i="6"/>
  <c r="H18" i="6"/>
  <c r="D18" i="6"/>
  <c r="C18" i="6"/>
  <c r="H17" i="6"/>
  <c r="D17" i="6"/>
  <c r="C17" i="6"/>
  <c r="H16" i="6"/>
  <c r="D16" i="6"/>
  <c r="C16" i="6"/>
  <c r="H15" i="6"/>
  <c r="D15" i="6"/>
  <c r="C15" i="6"/>
  <c r="H14" i="6"/>
  <c r="D14" i="6"/>
  <c r="C14" i="6"/>
  <c r="H13" i="6"/>
  <c r="D13" i="6"/>
  <c r="C13" i="6"/>
  <c r="H12" i="6"/>
  <c r="D12" i="6"/>
  <c r="C12" i="6"/>
  <c r="H11" i="6"/>
  <c r="D11" i="6"/>
  <c r="C11" i="6"/>
  <c r="H10" i="6"/>
  <c r="D10" i="6"/>
  <c r="C10" i="6"/>
  <c r="H9" i="6"/>
  <c r="D9" i="6"/>
  <c r="C9" i="6"/>
  <c r="H8" i="6"/>
  <c r="D8" i="6"/>
  <c r="C8" i="6"/>
  <c r="H7" i="6"/>
  <c r="D7" i="6"/>
  <c r="C7" i="6"/>
  <c r="H6" i="6"/>
  <c r="D6" i="6"/>
  <c r="C6" i="6"/>
  <c r="H5" i="6"/>
  <c r="D5" i="6"/>
  <c r="C5" i="6"/>
  <c r="H4" i="6"/>
  <c r="D4" i="6"/>
  <c r="C4" i="6"/>
  <c r="H3" i="6"/>
  <c r="D3" i="6"/>
  <c r="C3" i="6"/>
  <c r="H2" i="6"/>
  <c r="D2" i="6"/>
  <c r="C2" i="6"/>
  <c r="I470" i="6" l="1"/>
  <c r="J470" i="6"/>
  <c r="L470" i="6"/>
  <c r="D1" i="5"/>
  <c r="C16" i="4"/>
  <c r="J14" i="4"/>
  <c r="H14" i="4"/>
  <c r="F14" i="4"/>
  <c r="K14" i="4" s="1"/>
  <c r="J13" i="4"/>
  <c r="H13" i="4"/>
  <c r="F13" i="4"/>
  <c r="K13" i="4" s="1"/>
  <c r="J12" i="4"/>
  <c r="H12" i="4"/>
  <c r="F12" i="4"/>
  <c r="K12" i="4" s="1"/>
  <c r="J11" i="4"/>
  <c r="H11" i="4"/>
  <c r="F11" i="4"/>
  <c r="K11" i="4" s="1"/>
  <c r="J10" i="4"/>
  <c r="H10" i="4"/>
  <c r="F10" i="4"/>
  <c r="K10" i="4" s="1"/>
  <c r="J9" i="4"/>
  <c r="H9" i="4"/>
  <c r="F9" i="4"/>
  <c r="K9" i="4" s="1"/>
  <c r="J8" i="4"/>
  <c r="H8" i="4"/>
  <c r="F8" i="4"/>
  <c r="K8" i="4" s="1"/>
  <c r="J7" i="4"/>
  <c r="H7" i="4"/>
  <c r="F7" i="4"/>
  <c r="J6" i="4"/>
  <c r="H6" i="4"/>
  <c r="F6" i="4"/>
  <c r="K6" i="4" s="1"/>
  <c r="F16" i="4" l="1"/>
  <c r="H16" i="4"/>
  <c r="C22" i="4" s="1"/>
  <c r="J16" i="4"/>
  <c r="C24" i="4" s="1"/>
  <c r="E20" i="4"/>
  <c r="E26" i="4" s="1"/>
  <c r="C26" i="4"/>
  <c r="K7" i="4"/>
  <c r="K16" i="4" s="1"/>
  <c r="C96" i="1" l="1"/>
  <c r="C95" i="1"/>
  <c r="C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C50" i="1"/>
  <c r="C49" i="1"/>
  <c r="L48" i="1"/>
  <c r="C47" i="1"/>
  <c r="C46" i="1"/>
  <c r="C45" i="1"/>
  <c r="C44" i="1"/>
  <c r="C43" i="1"/>
  <c r="C42" i="1"/>
  <c r="C41" i="1"/>
  <c r="C40" i="1"/>
  <c r="L39" i="1"/>
  <c r="C37" i="1"/>
  <c r="C36" i="1"/>
  <c r="C35" i="1"/>
  <c r="C34" i="1"/>
  <c r="C33" i="1"/>
  <c r="C32" i="1"/>
  <c r="C31" i="1"/>
  <c r="C30" i="1"/>
  <c r="L29" i="1"/>
  <c r="L28" i="1"/>
  <c r="L27" i="1"/>
  <c r="L26" i="1"/>
  <c r="L25" i="1"/>
  <c r="L24" i="1"/>
  <c r="L23" i="1"/>
  <c r="L22" i="1"/>
  <c r="L21" i="1"/>
  <c r="L20" i="1"/>
  <c r="L19" i="1"/>
  <c r="L18" i="1"/>
  <c r="L17" i="1"/>
  <c r="L16" i="1"/>
  <c r="L15" i="1"/>
  <c r="L14" i="1"/>
  <c r="L13" i="1"/>
  <c r="L12" i="1"/>
  <c r="L11" i="1"/>
  <c r="L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sschmuck</author>
    <author>Scott Schmuck</author>
    <author>jbruce</author>
  </authors>
  <commentList>
    <comment ref="L10" authorId="0" shapeId="0" xr:uid="{00000000-0006-0000-0000-000001000000}">
      <text>
        <r>
          <rPr>
            <b/>
            <sz val="9"/>
            <color indexed="81"/>
            <rFont val="Tahoma"/>
            <family val="2"/>
          </rPr>
          <t>sschmuck:</t>
        </r>
        <r>
          <rPr>
            <sz val="9"/>
            <color indexed="81"/>
            <rFont val="Tahoma"/>
            <family val="2"/>
          </rPr>
          <t xml:space="preserve">
Based on % of total HCWD1 2021 Audited Oper Exp by fund</t>
        </r>
      </text>
    </comment>
    <comment ref="L11" authorId="0" shapeId="0" xr:uid="{00000000-0006-0000-0000-000002000000}">
      <text>
        <r>
          <rPr>
            <b/>
            <sz val="9"/>
            <color indexed="81"/>
            <rFont val="Tahoma"/>
            <family val="2"/>
          </rPr>
          <t>sschmuck:</t>
        </r>
        <r>
          <rPr>
            <sz val="9"/>
            <color indexed="81"/>
            <rFont val="Tahoma"/>
            <family val="2"/>
          </rPr>
          <t xml:space="preserve">
Based on % of total HCWD1 2021 Audited Oper Exp by fund</t>
        </r>
      </text>
    </comment>
    <comment ref="L12" authorId="0" shapeId="0" xr:uid="{00000000-0006-0000-0000-000003000000}">
      <text>
        <r>
          <rPr>
            <b/>
            <sz val="9"/>
            <color indexed="81"/>
            <rFont val="Tahoma"/>
            <family val="2"/>
          </rPr>
          <t>sschmuck:</t>
        </r>
        <r>
          <rPr>
            <sz val="9"/>
            <color indexed="81"/>
            <rFont val="Tahoma"/>
            <family val="2"/>
          </rPr>
          <t xml:space="preserve">
Based on % of total HCWD1 2021 Audited Oper Exp by fund</t>
        </r>
      </text>
    </comment>
    <comment ref="L13" authorId="0" shapeId="0" xr:uid="{00000000-0006-0000-0000-000004000000}">
      <text>
        <r>
          <rPr>
            <b/>
            <sz val="9"/>
            <color indexed="81"/>
            <rFont val="Tahoma"/>
            <family val="2"/>
          </rPr>
          <t>sschmuck:</t>
        </r>
        <r>
          <rPr>
            <sz val="9"/>
            <color indexed="81"/>
            <rFont val="Tahoma"/>
            <family val="2"/>
          </rPr>
          <t xml:space="preserve">
Used % of 2023 Budget Uses (less Cap Salaries &amp; Debt Pymts) from 2022 Approved Budget 5-yr Plan</t>
        </r>
      </text>
    </comment>
    <comment ref="C14" authorId="1" shapeId="0" xr:uid="{00000000-0006-0000-0000-000005000000}">
      <text>
        <r>
          <rPr>
            <b/>
            <sz val="9"/>
            <color indexed="81"/>
            <rFont val="Tahoma"/>
            <family val="2"/>
          </rPr>
          <t>Scott Schmuck:</t>
        </r>
        <r>
          <rPr>
            <sz val="9"/>
            <color indexed="81"/>
            <rFont val="Tahoma"/>
            <family val="2"/>
          </rPr>
          <t xml:space="preserve">
12hrs/wk to oversee Operations &amp; AMI, RD2 per mtg with Justin 9/23/22
</t>
        </r>
      </text>
    </comment>
    <comment ref="D14" authorId="0" shapeId="0" xr:uid="{00000000-0006-0000-0000-000006000000}">
      <text>
        <r>
          <rPr>
            <b/>
            <sz val="9"/>
            <color indexed="81"/>
            <rFont val="Tahoma"/>
            <family val="2"/>
          </rPr>
          <t>sschmuck:</t>
        </r>
        <r>
          <rPr>
            <sz val="9"/>
            <color indexed="81"/>
            <rFont val="Tahoma"/>
            <family val="2"/>
          </rPr>
          <t xml:space="preserve">
10hrs/wk to oversee Press Bldg Constructin. L/S Rehabs and operations
(10/40=25%)</t>
        </r>
      </text>
    </comment>
    <comment ref="J14" authorId="0" shapeId="0" xr:uid="{00000000-0006-0000-0000-000007000000}">
      <text>
        <r>
          <rPr>
            <b/>
            <sz val="9"/>
            <color indexed="81"/>
            <rFont val="Tahoma"/>
            <family val="2"/>
          </rPr>
          <t>sschmuck:</t>
        </r>
        <r>
          <rPr>
            <sz val="9"/>
            <color indexed="81"/>
            <rFont val="Tahoma"/>
            <family val="2"/>
          </rPr>
          <t xml:space="preserve">
6hrs/wk combined for FK Swr &amp; FK Storm to oversee operations &amp; Gov't Contract Mgmt Per Justin 09/23/22
(6/40 =15%)</t>
        </r>
      </text>
    </comment>
    <comment ref="L14" authorId="1" shapeId="0" xr:uid="{00000000-0006-0000-0000-000008000000}">
      <text>
        <r>
          <rPr>
            <b/>
            <sz val="9"/>
            <color indexed="81"/>
            <rFont val="Tahoma"/>
            <family val="2"/>
          </rPr>
          <t>Scott Schmuck:</t>
        </r>
        <r>
          <rPr>
            <sz val="9"/>
            <color indexed="81"/>
            <rFont val="Tahoma"/>
            <family val="2"/>
          </rPr>
          <t xml:space="preserve">
Per mtg with Justin 9/23/22 - 12hrs per wk to oversee operations &amp; Gov't Contract Mgmt</t>
        </r>
      </text>
    </comment>
    <comment ref="L15" authorId="1" shapeId="0" xr:uid="{00000000-0006-0000-0000-000009000000}">
      <text>
        <r>
          <rPr>
            <b/>
            <sz val="9"/>
            <color indexed="81"/>
            <rFont val="Tahoma"/>
            <family val="2"/>
          </rPr>
          <t>Scott Schmuck:</t>
        </r>
        <r>
          <rPr>
            <sz val="9"/>
            <color indexed="81"/>
            <rFont val="Tahoma"/>
            <family val="2"/>
          </rPr>
          <t xml:space="preserve">
Per DC 9/21/22.  Based on current work load and and now only having one GIS person =&gt; 10% to Storm and Split evenly across other 4 Funds</t>
        </r>
      </text>
    </comment>
    <comment ref="L16" authorId="0" shapeId="0" xr:uid="{00000000-0006-0000-0000-00000A000000}">
      <text>
        <r>
          <rPr>
            <b/>
            <sz val="9"/>
            <color indexed="81"/>
            <rFont val="Tahoma"/>
            <family val="2"/>
          </rPr>
          <t>sschmuck:</t>
        </r>
        <r>
          <rPr>
            <sz val="9"/>
            <color indexed="81"/>
            <rFont val="Tahoma"/>
            <family val="2"/>
          </rPr>
          <t xml:space="preserve">
Used % of 2023 Budget Uses (less Cap Salaries &amp; Debt Pymts) from 2022 Approved Budget 5-yr Plan</t>
        </r>
      </text>
    </comment>
    <comment ref="L17" authorId="0" shapeId="0" xr:uid="{00000000-0006-0000-0000-00000B000000}">
      <text>
        <r>
          <rPr>
            <b/>
            <sz val="9"/>
            <color indexed="81"/>
            <rFont val="Tahoma"/>
            <family val="2"/>
          </rPr>
          <t>sschmuck:</t>
        </r>
        <r>
          <rPr>
            <sz val="9"/>
            <color indexed="81"/>
            <rFont val="Tahoma"/>
            <family val="2"/>
          </rPr>
          <t xml:space="preserve">
% of Specific Board Motions Oct 2021 - Sept 2022 from Dina - Note:Motions do not count Secretary report.  Personnel policies = 1 for all except Storm; Officer Election, Treasurer Report &amp; Audit = 1 for all 5 funds</t>
        </r>
      </text>
    </comment>
    <comment ref="L18" authorId="0" shapeId="0" xr:uid="{00000000-0006-0000-0000-00000C000000}">
      <text>
        <r>
          <rPr>
            <b/>
            <sz val="9"/>
            <color indexed="81"/>
            <rFont val="Tahoma"/>
            <family val="2"/>
          </rPr>
          <t>sschmuck:</t>
        </r>
        <r>
          <rPr>
            <sz val="9"/>
            <color indexed="81"/>
            <rFont val="Tahoma"/>
            <family val="2"/>
          </rPr>
          <t xml:space="preserve">
Based on % of total HCWD1 2021 Audited Oper Exp by fund</t>
        </r>
      </text>
    </comment>
    <comment ref="L19" authorId="0" shapeId="0" xr:uid="{00000000-0006-0000-0000-00000D000000}">
      <text>
        <r>
          <rPr>
            <b/>
            <sz val="9"/>
            <color indexed="81"/>
            <rFont val="Tahoma"/>
            <family val="2"/>
          </rPr>
          <t>sschmuck:</t>
        </r>
        <r>
          <rPr>
            <sz val="9"/>
            <color indexed="81"/>
            <rFont val="Tahoma"/>
            <family val="2"/>
          </rPr>
          <t xml:space="preserve">
Based on % of total HCWD1 2021 Audited Oper Exp by fund</t>
        </r>
      </text>
    </comment>
    <comment ref="J20" authorId="1" shapeId="0" xr:uid="{00000000-0006-0000-0000-00000E000000}">
      <text>
        <r>
          <rPr>
            <b/>
            <sz val="9"/>
            <color indexed="81"/>
            <rFont val="Tahoma"/>
            <family val="2"/>
          </rPr>
          <t>Scott Schmuck:</t>
        </r>
        <r>
          <rPr>
            <sz val="9"/>
            <color indexed="81"/>
            <rFont val="Tahoma"/>
            <family val="2"/>
          </rPr>
          <t xml:space="preserve">
Based on 2021 Approved Budget for FK Utilites expenses only</t>
        </r>
      </text>
    </comment>
    <comment ref="K20" authorId="1" shapeId="0" xr:uid="{00000000-0006-0000-0000-00000F000000}">
      <text>
        <r>
          <rPr>
            <b/>
            <sz val="9"/>
            <color indexed="81"/>
            <rFont val="Tahoma"/>
            <family val="2"/>
          </rPr>
          <t>Scott Schmuck:</t>
        </r>
        <r>
          <rPr>
            <sz val="9"/>
            <color indexed="81"/>
            <rFont val="Tahoma"/>
            <family val="2"/>
          </rPr>
          <t xml:space="preserve">
Based on 2021 Approved Budget for FK Utilites expenses only</t>
        </r>
      </text>
    </comment>
    <comment ref="L20" authorId="0" shapeId="0" xr:uid="{00000000-0006-0000-0000-000010000000}">
      <text>
        <r>
          <rPr>
            <b/>
            <sz val="9"/>
            <color indexed="81"/>
            <rFont val="Tahoma"/>
            <family val="2"/>
          </rPr>
          <t>sschmuck:</t>
        </r>
        <r>
          <rPr>
            <sz val="9"/>
            <color indexed="81"/>
            <rFont val="Tahoma"/>
            <family val="2"/>
          </rPr>
          <t xml:space="preserve">
Based on 2021 Approved Budget for FK Utilities expenses only </t>
        </r>
      </text>
    </comment>
    <comment ref="L21" authorId="0" shapeId="0" xr:uid="{00000000-0006-0000-0000-000011000000}">
      <text>
        <r>
          <rPr>
            <b/>
            <sz val="9"/>
            <color indexed="81"/>
            <rFont val="Tahoma"/>
            <family val="2"/>
          </rPr>
          <t>sschmuck:</t>
        </r>
        <r>
          <rPr>
            <sz val="9"/>
            <color indexed="81"/>
            <rFont val="Tahoma"/>
            <family val="2"/>
          </rPr>
          <t xml:space="preserve">
Based on % of total HCWD1 2021 Audited Oper Exp by fund</t>
        </r>
      </text>
    </comment>
    <comment ref="L22" authorId="1" shapeId="0" xr:uid="{00000000-0006-0000-0000-000012000000}">
      <text>
        <r>
          <rPr>
            <b/>
            <sz val="9"/>
            <color indexed="81"/>
            <rFont val="Tahoma"/>
            <family val="2"/>
          </rPr>
          <t>Scott Schmuck:</t>
        </r>
        <r>
          <rPr>
            <sz val="9"/>
            <color indexed="81"/>
            <rFont val="Tahoma"/>
            <family val="2"/>
          </rPr>
          <t xml:space="preserve">
Per DC 9/21/22.  Based on current work load and and now only having one GIS person =&gt; 10% to Storm and Split evenly across other 4 Funds - Same as GIS</t>
        </r>
      </text>
    </comment>
    <comment ref="L23" authorId="0" shapeId="0" xr:uid="{00000000-0006-0000-0000-000013000000}">
      <text>
        <r>
          <rPr>
            <b/>
            <sz val="9"/>
            <color indexed="81"/>
            <rFont val="Tahoma"/>
            <family val="2"/>
          </rPr>
          <t>sschmuck:</t>
        </r>
        <r>
          <rPr>
            <sz val="9"/>
            <color indexed="81"/>
            <rFont val="Tahoma"/>
            <family val="2"/>
          </rPr>
          <t xml:space="preserve">
# of FTE's by Fund from 2022 Wage Budget Sumary Tab (Total 79 FTE's)</t>
        </r>
      </text>
    </comment>
    <comment ref="L24" authorId="0" shapeId="0" xr:uid="{00000000-0006-0000-0000-000014000000}">
      <text>
        <r>
          <rPr>
            <b/>
            <sz val="9"/>
            <color indexed="81"/>
            <rFont val="Tahoma"/>
            <family val="2"/>
          </rPr>
          <t xml:space="preserve">sschmuck:
</t>
        </r>
        <r>
          <rPr>
            <sz val="9"/>
            <color indexed="81"/>
            <rFont val="Tahoma"/>
            <family val="2"/>
          </rPr>
          <t>Based on 2022 Total Oper Budget + Other Capital Uses per Fund from 5-yr Plan (2022 Final Budget Memo)</t>
        </r>
      </text>
    </comment>
    <comment ref="L25" authorId="0" shapeId="0" xr:uid="{00000000-0006-0000-0000-000015000000}">
      <text>
        <r>
          <rPr>
            <b/>
            <sz val="9"/>
            <color indexed="81"/>
            <rFont val="Tahoma"/>
            <family val="2"/>
          </rPr>
          <t>sschmuck:</t>
        </r>
        <r>
          <rPr>
            <sz val="9"/>
            <color indexed="81"/>
            <rFont val="Tahoma"/>
            <family val="2"/>
          </rPr>
          <t xml:space="preserve">
% of Specific Board Motions Oct 2021 - Sept 2022 from Dina - Note:Motions do not count Secretary report.  Personnel policies = 1 for all except Storm; Officer Election, Treasurer Report &amp; Audit = 1 for all 5 funds</t>
        </r>
      </text>
    </comment>
    <comment ref="L26" authorId="0" shapeId="0" xr:uid="{00000000-0006-0000-0000-000016000000}">
      <text>
        <r>
          <rPr>
            <b/>
            <sz val="9"/>
            <color indexed="81"/>
            <rFont val="Tahoma"/>
            <family val="2"/>
          </rPr>
          <t>sschmuck:</t>
        </r>
        <r>
          <rPr>
            <sz val="9"/>
            <color indexed="81"/>
            <rFont val="Tahoma"/>
            <family val="2"/>
          </rPr>
          <t xml:space="preserve">
% of Specific Board Motions Oct 2021 - Sept 2022 from Dina - Note:Motions do not count Secretary report.  Personnel policies = 1 for all except Storm; Officer Election, Treasurer Report &amp; Audit = 1 for all 5 funds</t>
        </r>
      </text>
    </comment>
    <comment ref="L27" authorId="0" shapeId="0" xr:uid="{00000000-0006-0000-0000-000017000000}">
      <text>
        <r>
          <rPr>
            <b/>
            <sz val="9"/>
            <color indexed="81"/>
            <rFont val="Tahoma"/>
            <family val="2"/>
          </rPr>
          <t>sschmuck:</t>
        </r>
        <r>
          <rPr>
            <sz val="9"/>
            <color indexed="81"/>
            <rFont val="Tahoma"/>
            <family val="2"/>
          </rPr>
          <t xml:space="preserve">
% of Specific Board Motions Oct 2021 - Sept 2022 from Dina - Note:Motions do not count Secretary report.  Personnel policies = 1 for all except Storm; Officer Election, Treasurer Report &amp; Audit = 1 for all 5 funds</t>
        </r>
      </text>
    </comment>
    <comment ref="L28" authorId="0" shapeId="0" xr:uid="{00000000-0006-0000-0000-000018000000}">
      <text>
        <r>
          <rPr>
            <b/>
            <sz val="9"/>
            <color indexed="81"/>
            <rFont val="Tahoma"/>
            <family val="2"/>
          </rPr>
          <t>sschmuck:</t>
        </r>
        <r>
          <rPr>
            <sz val="9"/>
            <color indexed="81"/>
            <rFont val="Tahoma"/>
            <family val="2"/>
          </rPr>
          <t xml:space="preserve">
% of Specific Board Motions Oct 2021 - Sept 2022 from Dina - Note:Motions do not count Secretary report.  Personnel policies = 1 for all except Storm; Officer Election, Treasurer Report &amp; Audit = 1 for all 5 funds</t>
        </r>
      </text>
    </comment>
    <comment ref="L29" authorId="0" shapeId="0" xr:uid="{00000000-0006-0000-0000-000019000000}">
      <text>
        <r>
          <rPr>
            <b/>
            <sz val="9"/>
            <color indexed="81"/>
            <rFont val="Tahoma"/>
            <family val="2"/>
          </rPr>
          <t>sschmuck:</t>
        </r>
        <r>
          <rPr>
            <sz val="9"/>
            <color indexed="81"/>
            <rFont val="Tahoma"/>
            <family val="2"/>
          </rPr>
          <t xml:space="preserve">
% of Specific Board Motions Oct 2021 - Sept 2022 from Dina - Note:Motions do not count Secretary report.  Personnel policies = 1 for all except Storm; Officer Election, Treasurer Report &amp; Audit = 1 for all 5 funds</t>
        </r>
      </text>
    </comment>
    <comment ref="L30" authorId="0" shapeId="0" xr:uid="{00000000-0006-0000-0000-00001A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t>
        </r>
      </text>
    </comment>
    <comment ref="L31" authorId="0" shapeId="0" xr:uid="{00000000-0006-0000-0000-00001B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Also Factorred in WAWF Billing 
</t>
        </r>
      </text>
    </comment>
    <comment ref="L32" authorId="0" shapeId="0" xr:uid="{00000000-0006-0000-0000-00001C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t>
        </r>
      </text>
    </comment>
    <comment ref="L33" authorId="0" shapeId="0" xr:uid="{00000000-0006-0000-0000-00001D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t>
        </r>
      </text>
    </comment>
    <comment ref="L34" authorId="0" shapeId="0" xr:uid="{00000000-0006-0000-0000-00001E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t>
        </r>
      </text>
    </comment>
    <comment ref="L35" authorId="0" shapeId="0" xr:uid="{00000000-0006-0000-0000-00001F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t>
        </r>
      </text>
    </comment>
    <comment ref="L36" authorId="0" shapeId="0" xr:uid="{00000000-0006-0000-0000-000020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t>
        </r>
      </text>
    </comment>
    <comment ref="L37" authorId="0" shapeId="0" xr:uid="{00000000-0006-0000-0000-000021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Also Factorred in WAWF Billing 
</t>
        </r>
      </text>
    </comment>
    <comment ref="B38" authorId="1" shapeId="0" xr:uid="{00000000-0006-0000-0000-000022000000}">
      <text>
        <r>
          <rPr>
            <b/>
            <sz val="9"/>
            <color indexed="81"/>
            <rFont val="Tahoma"/>
            <family val="2"/>
          </rPr>
          <t>Scott Schmuck:</t>
        </r>
        <r>
          <rPr>
            <sz val="9"/>
            <color indexed="81"/>
            <rFont val="Tahoma"/>
            <family val="2"/>
          </rPr>
          <t xml:space="preserve">
Tina Guest dismissed Sept 2018</t>
        </r>
      </text>
    </comment>
    <comment ref="C39" authorId="1" shapeId="0" xr:uid="{00000000-0006-0000-0000-000023000000}">
      <text>
        <r>
          <rPr>
            <b/>
            <sz val="9"/>
            <color indexed="81"/>
            <rFont val="Tahoma"/>
            <family val="2"/>
          </rPr>
          <t>Scott Schmuck:</t>
        </r>
        <r>
          <rPr>
            <sz val="9"/>
            <color indexed="81"/>
            <rFont val="Tahoma"/>
            <family val="2"/>
          </rPr>
          <t xml:space="preserve">
Per Justin, strictly 100% Co Water - 10/12/21</t>
        </r>
      </text>
    </comment>
    <comment ref="L40" authorId="2" shapeId="0" xr:uid="{00000000-0006-0000-0000-000024000000}">
      <text>
        <r>
          <rPr>
            <b/>
            <sz val="9"/>
            <color indexed="81"/>
            <rFont val="Tahoma"/>
            <family val="2"/>
          </rPr>
          <t>sschmuck:</t>
        </r>
        <r>
          <rPr>
            <sz val="9"/>
            <color indexed="81"/>
            <rFont val="Tahoma"/>
            <family val="2"/>
          </rPr>
          <t xml:space="preserve">
Est amount of time working at for FK Wat for Call outs &amp; Misc Water line Rprs per Justin 9/23/22
40*2%=.80hrs/week</t>
        </r>
      </text>
    </comment>
    <comment ref="L41" authorId="0" shapeId="0" xr:uid="{00000000-0006-0000-0000-000025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+2% Spending Time on call for Wat main rprs/leaks, etc</t>
        </r>
      </text>
    </comment>
    <comment ref="L42" authorId="0" shapeId="0" xr:uid="{00000000-0006-0000-0000-000026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+2% Spending Time on call for Wat main rprs/leaks, etc</t>
        </r>
      </text>
    </comment>
    <comment ref="L43" authorId="0" shapeId="0" xr:uid="{00000000-0006-0000-0000-000027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+2% Spending Time on call for Wat main rprs/leaks, +1% to test FK Wat Meters etc</t>
        </r>
      </text>
    </comment>
    <comment ref="L44" authorId="0" shapeId="0" xr:uid="{00000000-0006-0000-0000-000028000000}">
      <text>
        <r>
          <rPr>
            <b/>
            <sz val="9"/>
            <color indexed="81"/>
            <rFont val="Tahoma"/>
            <family val="2"/>
          </rPr>
          <t>sschmuck:</t>
        </r>
        <r>
          <rPr>
            <sz val="9"/>
            <color indexed="81"/>
            <rFont val="Tahoma"/>
            <family val="2"/>
          </rPr>
          <t xml:space="preserve">
Used % of Co Water &amp; Radcliff Bills per Susanna's SS - avg # of bills Jan thru Aug 2022 (Co Wat avg = 10,680, Rad=9,184, total avg =19,864; 10680/19864=53%.  +2% Spending Time on call for Wat main rprs/leaks, etc</t>
        </r>
      </text>
    </comment>
    <comment ref="L45" authorId="0" shapeId="0" xr:uid="{00000000-0006-0000-0000-000029000000}">
      <text>
        <r>
          <rPr>
            <b/>
            <sz val="9"/>
            <color indexed="81"/>
            <rFont val="Tahoma"/>
            <family val="2"/>
          </rPr>
          <t>sschmuck:</t>
        </r>
        <r>
          <rPr>
            <sz val="9"/>
            <color indexed="81"/>
            <rFont val="Tahoma"/>
            <family val="2"/>
          </rPr>
          <t xml:space="preserve">
Spends 1% of his time on call for FK Wat per Labor Dist Report in KRONOS &amp; may test FK Water Meters on occasion; est 50 FK Water meters/11000 Co Wat meters. Same as 2021 allocation per Justin 10/12/21 + 2% for being On-Call
</t>
        </r>
      </text>
    </comment>
    <comment ref="L46" authorId="2" shapeId="0" xr:uid="{00000000-0006-0000-0000-00002A000000}">
      <text>
        <r>
          <rPr>
            <b/>
            <sz val="9"/>
            <color indexed="81"/>
            <rFont val="Tahoma"/>
            <family val="2"/>
          </rPr>
          <t>sschmuck:</t>
        </r>
        <r>
          <rPr>
            <sz val="9"/>
            <color indexed="81"/>
            <rFont val="Tahoma"/>
            <family val="2"/>
          </rPr>
          <t xml:space="preserve">
Est amount of time working at for FK Wat for Call outs &amp; Misc Water line Rprs per Justin 9/23/22
40*2%=.80hrs/week</t>
        </r>
      </text>
    </comment>
    <comment ref="L47" authorId="2" shapeId="0" xr:uid="{00000000-0006-0000-0000-00002B000000}">
      <text>
        <r>
          <rPr>
            <b/>
            <sz val="9"/>
            <color indexed="81"/>
            <rFont val="Tahoma"/>
            <family val="2"/>
          </rPr>
          <t>sschmuck:</t>
        </r>
        <r>
          <rPr>
            <sz val="9"/>
            <color indexed="81"/>
            <rFont val="Tahoma"/>
            <family val="2"/>
          </rPr>
          <t xml:space="preserve">
Est amount of time working at for FK Wat for Call outs &amp; Misc Water line Rprs per Justin 9/23/22
40*2%=.80hrs/week</t>
        </r>
      </text>
    </comment>
    <comment ref="C48" authorId="1" shapeId="0" xr:uid="{00000000-0006-0000-0000-00002C000000}">
      <text>
        <r>
          <rPr>
            <b/>
            <sz val="9"/>
            <color indexed="81"/>
            <rFont val="Tahoma"/>
            <family val="2"/>
          </rPr>
          <t>Scott Schmuck:</t>
        </r>
        <r>
          <rPr>
            <sz val="9"/>
            <color indexed="81"/>
            <rFont val="Tahoma"/>
            <family val="2"/>
          </rPr>
          <t xml:space="preserve">
100% Co Water per Justin 9/23/22
</t>
        </r>
      </text>
    </comment>
    <comment ref="L49" authorId="2" shapeId="0" xr:uid="{00000000-0006-0000-0000-00002D000000}">
      <text>
        <r>
          <rPr>
            <b/>
            <sz val="9"/>
            <color indexed="81"/>
            <rFont val="Tahoma"/>
            <family val="2"/>
          </rPr>
          <t>sschmuck:</t>
        </r>
        <r>
          <rPr>
            <sz val="9"/>
            <color indexed="81"/>
            <rFont val="Tahoma"/>
            <family val="2"/>
          </rPr>
          <t xml:space="preserve">
Est amount of time working at for FK Wat for Call outs &amp; Misc Water line Rprs per Justin 9/23/22
40*2%=.80hrs/week</t>
        </r>
      </text>
    </comment>
    <comment ref="L50" authorId="2" shapeId="0" xr:uid="{00000000-0006-0000-0000-00002E000000}">
      <text>
        <r>
          <rPr>
            <b/>
            <sz val="9"/>
            <color indexed="81"/>
            <rFont val="Tahoma"/>
            <family val="2"/>
          </rPr>
          <t>sschmuck:</t>
        </r>
        <r>
          <rPr>
            <sz val="9"/>
            <color indexed="81"/>
            <rFont val="Tahoma"/>
            <family val="2"/>
          </rPr>
          <t xml:space="preserve">
Est amount of time working at for FK Wat for Call outs &amp; Misc Water line Rprs per Justin 9/23/22
40*2%=.80hrs/week</t>
        </r>
      </text>
    </comment>
    <comment ref="C51" authorId="1" shapeId="0" xr:uid="{00000000-0006-0000-0000-00002F000000}">
      <text>
        <r>
          <rPr>
            <b/>
            <sz val="9"/>
            <color indexed="81"/>
            <rFont val="Tahoma"/>
            <family val="2"/>
          </rPr>
          <t>Scott Schmuck:</t>
        </r>
        <r>
          <rPr>
            <sz val="9"/>
            <color indexed="81"/>
            <rFont val="Tahoma"/>
            <family val="2"/>
          </rPr>
          <t xml:space="preserve">
Per Justin 9/23/22 - 2% for Being On-Call
40*2%=.80hrs/week
</t>
        </r>
      </text>
    </comment>
    <comment ref="H51" authorId="1" shapeId="0" xr:uid="{00000000-0006-0000-0000-000030000000}">
      <text>
        <r>
          <rPr>
            <b/>
            <sz val="9"/>
            <color indexed="81"/>
            <rFont val="Tahoma"/>
            <family val="2"/>
          </rPr>
          <t>Scott Schmuck:</t>
        </r>
        <r>
          <rPr>
            <sz val="9"/>
            <color indexed="81"/>
            <rFont val="Tahoma"/>
            <family val="2"/>
          </rPr>
          <t xml:space="preserve">
Per Justin 9/23/22 - 2% for Misc FK Collection Repairs
40*2%=.80hrs/week or 42 hours per year</t>
        </r>
      </text>
    </comment>
    <comment ref="I51" authorId="1" shapeId="0" xr:uid="{00000000-0006-0000-0000-000031000000}">
      <text>
        <r>
          <rPr>
            <b/>
            <sz val="9"/>
            <color indexed="81"/>
            <rFont val="Tahoma"/>
            <family val="2"/>
          </rPr>
          <t>Scott Schmuck:</t>
        </r>
        <r>
          <rPr>
            <sz val="9"/>
            <color indexed="81"/>
            <rFont val="Tahoma"/>
            <family val="2"/>
          </rPr>
          <t xml:space="preserve">
Per Justin 9/23/22 - 2% for Misc Storm Repairs
40*2%=.80hrs/week or 42 hours per year</t>
        </r>
      </text>
    </comment>
    <comment ref="L51" authorId="1" shapeId="0" xr:uid="{00000000-0006-0000-0000-000032000000}">
      <text>
        <r>
          <rPr>
            <b/>
            <sz val="9"/>
            <color indexed="81"/>
            <rFont val="Tahoma"/>
            <family val="2"/>
          </rPr>
          <t>Scott Schmuck:</t>
        </r>
        <r>
          <rPr>
            <sz val="9"/>
            <color indexed="81"/>
            <rFont val="Tahoma"/>
            <family val="2"/>
          </rPr>
          <t xml:space="preserve">
Per Justin 9/23/22 - 
Bal to FK Wat (home dept) for Main Breaks, Meter Reading, Leak Rprs, Hydarnt Flow Testing, Yard Restoration, Ashphalt Restorations, etc</t>
        </r>
      </text>
    </comment>
    <comment ref="C52" authorId="1" shapeId="0" xr:uid="{00000000-0006-0000-0000-000033000000}">
      <text>
        <r>
          <rPr>
            <b/>
            <sz val="9"/>
            <color indexed="81"/>
            <rFont val="Tahoma"/>
            <family val="2"/>
          </rPr>
          <t>Scott Schmuck:</t>
        </r>
        <r>
          <rPr>
            <sz val="9"/>
            <color indexed="81"/>
            <rFont val="Tahoma"/>
            <family val="2"/>
          </rPr>
          <t xml:space="preserve">
Per Justin 9/23/22 - 2% for Being On-Call
40*2%=.80hrs/week
</t>
        </r>
      </text>
    </comment>
    <comment ref="H52" authorId="1" shapeId="0" xr:uid="{00000000-0006-0000-0000-000034000000}">
      <text>
        <r>
          <rPr>
            <b/>
            <sz val="9"/>
            <color indexed="81"/>
            <rFont val="Tahoma"/>
            <family val="2"/>
          </rPr>
          <t>Scott Schmuck:</t>
        </r>
        <r>
          <rPr>
            <sz val="9"/>
            <color indexed="81"/>
            <rFont val="Tahoma"/>
            <family val="2"/>
          </rPr>
          <t xml:space="preserve">
Per Justin 9/23/22 - 2% for Misc FK Collection Repairs
40*2%=.80hrs/week or 42 hours per year</t>
        </r>
      </text>
    </comment>
    <comment ref="I52" authorId="1" shapeId="0" xr:uid="{00000000-0006-0000-0000-000035000000}">
      <text>
        <r>
          <rPr>
            <b/>
            <sz val="9"/>
            <color indexed="81"/>
            <rFont val="Tahoma"/>
            <family val="2"/>
          </rPr>
          <t>Scott Schmuck:</t>
        </r>
        <r>
          <rPr>
            <sz val="9"/>
            <color indexed="81"/>
            <rFont val="Tahoma"/>
            <family val="2"/>
          </rPr>
          <t xml:space="preserve">
Per Justin 9/23/22 - 2% for Misc Storm Repairs
40*2%=.80hrs/week or 42 hours per year</t>
        </r>
      </text>
    </comment>
    <comment ref="L52" authorId="1" shapeId="0" xr:uid="{00000000-0006-0000-0000-000036000000}">
      <text>
        <r>
          <rPr>
            <b/>
            <sz val="9"/>
            <color indexed="81"/>
            <rFont val="Tahoma"/>
            <family val="2"/>
          </rPr>
          <t>Scott Schmuck:</t>
        </r>
        <r>
          <rPr>
            <sz val="9"/>
            <color indexed="81"/>
            <rFont val="Tahoma"/>
            <family val="2"/>
          </rPr>
          <t xml:space="preserve">
Per Justin 9/23/22 - 
Bal to FK Wat (home dept) for Main Breaks, Meter Reading, Leak Rprs, Hydarnt Flow Testing, Yard Restoration, Ashphalt Restorations, etc</t>
        </r>
      </text>
    </comment>
    <comment ref="C53" authorId="1" shapeId="0" xr:uid="{00000000-0006-0000-0000-000037000000}">
      <text>
        <r>
          <rPr>
            <b/>
            <sz val="9"/>
            <color indexed="81"/>
            <rFont val="Tahoma"/>
            <family val="2"/>
          </rPr>
          <t>Scott Schmuck:</t>
        </r>
        <r>
          <rPr>
            <sz val="9"/>
            <color indexed="81"/>
            <rFont val="Tahoma"/>
            <family val="2"/>
          </rPr>
          <t xml:space="preserve">
Per Justin 9/23/22 - 2% for Being On-Call
40*2%=.80hrs/week
</t>
        </r>
      </text>
    </comment>
    <comment ref="H53" authorId="1" shapeId="0" xr:uid="{00000000-0006-0000-0000-000038000000}">
      <text>
        <r>
          <rPr>
            <b/>
            <sz val="9"/>
            <color indexed="81"/>
            <rFont val="Tahoma"/>
            <family val="2"/>
          </rPr>
          <t>Scott Schmuck:</t>
        </r>
        <r>
          <rPr>
            <sz val="9"/>
            <color indexed="81"/>
            <rFont val="Tahoma"/>
            <family val="2"/>
          </rPr>
          <t xml:space="preserve">
Per Justin 9/23/22 - 2% for Misc FK Collection Repairs
40*2%=.80hrs/week or 42 hours per year</t>
        </r>
      </text>
    </comment>
    <comment ref="I53" authorId="1" shapeId="0" xr:uid="{00000000-0006-0000-0000-000039000000}">
      <text>
        <r>
          <rPr>
            <b/>
            <sz val="9"/>
            <color indexed="81"/>
            <rFont val="Tahoma"/>
            <family val="2"/>
          </rPr>
          <t>Scott Schmuck:</t>
        </r>
        <r>
          <rPr>
            <sz val="9"/>
            <color indexed="81"/>
            <rFont val="Tahoma"/>
            <family val="2"/>
          </rPr>
          <t xml:space="preserve">
Per Justin 9/23/22 - 2% for Misc Storm Repairs
40*2%=.80hrs/week or 42 hours per year</t>
        </r>
      </text>
    </comment>
    <comment ref="L53" authorId="1" shapeId="0" xr:uid="{00000000-0006-0000-0000-00003A000000}">
      <text>
        <r>
          <rPr>
            <b/>
            <sz val="9"/>
            <color indexed="81"/>
            <rFont val="Tahoma"/>
            <family val="2"/>
          </rPr>
          <t>Scott Schmuck:</t>
        </r>
        <r>
          <rPr>
            <sz val="9"/>
            <color indexed="81"/>
            <rFont val="Tahoma"/>
            <family val="2"/>
          </rPr>
          <t xml:space="preserve">
Per Justin 9/23/22 - 
Bal to FK Wat (home dept) for Main Breaks, Meter Reading, Leak Rprs, Hydarnt Flow Testing, Yard Restoration, Ashphalt Restorations, etc</t>
        </r>
      </text>
    </comment>
    <comment ref="C54" authorId="1" shapeId="0" xr:uid="{00000000-0006-0000-0000-00003B000000}">
      <text>
        <r>
          <rPr>
            <b/>
            <sz val="9"/>
            <color indexed="81"/>
            <rFont val="Tahoma"/>
            <family val="2"/>
          </rPr>
          <t>Scott Schmuck:</t>
        </r>
        <r>
          <rPr>
            <sz val="9"/>
            <color indexed="81"/>
            <rFont val="Tahoma"/>
            <family val="2"/>
          </rPr>
          <t xml:space="preserve">
Per Justin 9/23/22 - 2% for Being On-Call
40*2%=.80hrs/week
</t>
        </r>
      </text>
    </comment>
    <comment ref="H54" authorId="1" shapeId="0" xr:uid="{00000000-0006-0000-0000-00003C000000}">
      <text>
        <r>
          <rPr>
            <b/>
            <sz val="9"/>
            <color indexed="81"/>
            <rFont val="Tahoma"/>
            <family val="2"/>
          </rPr>
          <t>Scott Schmuck:</t>
        </r>
        <r>
          <rPr>
            <sz val="9"/>
            <color indexed="81"/>
            <rFont val="Tahoma"/>
            <family val="2"/>
          </rPr>
          <t xml:space="preserve">
Per Justin 9/23/22 - 2% for Misc FK Collection Repairs
40*2%=.80hrs/week or 42 hours per year</t>
        </r>
      </text>
    </comment>
    <comment ref="I54" authorId="1" shapeId="0" xr:uid="{00000000-0006-0000-0000-00003D000000}">
      <text>
        <r>
          <rPr>
            <b/>
            <sz val="9"/>
            <color indexed="81"/>
            <rFont val="Tahoma"/>
            <family val="2"/>
          </rPr>
          <t>Scott Schmuck:</t>
        </r>
        <r>
          <rPr>
            <sz val="9"/>
            <color indexed="81"/>
            <rFont val="Tahoma"/>
            <family val="2"/>
          </rPr>
          <t xml:space="preserve">
Per Justin 9/23/22 - 2% for Misc Storm Repairs
40*2%=.80hrs/week or 42 hours per year</t>
        </r>
      </text>
    </comment>
    <comment ref="L54" authorId="1" shapeId="0" xr:uid="{00000000-0006-0000-0000-00003E000000}">
      <text>
        <r>
          <rPr>
            <b/>
            <sz val="9"/>
            <color indexed="81"/>
            <rFont val="Tahoma"/>
            <family val="2"/>
          </rPr>
          <t>Scott Schmuck:</t>
        </r>
        <r>
          <rPr>
            <sz val="9"/>
            <color indexed="81"/>
            <rFont val="Tahoma"/>
            <family val="2"/>
          </rPr>
          <t xml:space="preserve">
Per Justin 9/23/22 - 
Bal to FK Wat (home dept) for Main Breaks, Meter Reading, Leak Rprs, Hydarnt Flow Testing, Yard Restoration, Ashphalt Restorations, etc</t>
        </r>
      </text>
    </comment>
    <comment ref="C55" authorId="1" shapeId="0" xr:uid="{00000000-0006-0000-0000-00003F000000}">
      <text>
        <r>
          <rPr>
            <b/>
            <sz val="9"/>
            <color indexed="81"/>
            <rFont val="Tahoma"/>
            <family val="2"/>
          </rPr>
          <t>Scott Schmuck:</t>
        </r>
        <r>
          <rPr>
            <sz val="9"/>
            <color indexed="81"/>
            <rFont val="Tahoma"/>
            <family val="2"/>
          </rPr>
          <t xml:space="preserve">
Per Justin 9/23/22 - 2% for Being On-Call
40*2%=.80hrs/week
</t>
        </r>
      </text>
    </comment>
    <comment ref="H55" authorId="1" shapeId="0" xr:uid="{00000000-0006-0000-0000-000040000000}">
      <text>
        <r>
          <rPr>
            <b/>
            <sz val="9"/>
            <color indexed="81"/>
            <rFont val="Tahoma"/>
            <family val="2"/>
          </rPr>
          <t>Scott Schmuck:</t>
        </r>
        <r>
          <rPr>
            <sz val="9"/>
            <color indexed="81"/>
            <rFont val="Tahoma"/>
            <family val="2"/>
          </rPr>
          <t xml:space="preserve">
Per Justin 9/23/22 - 2% for Misc FK Collection Repairs
40*2%=.80hrs/week or 42 hours per year</t>
        </r>
      </text>
    </comment>
    <comment ref="I55" authorId="1" shapeId="0" xr:uid="{00000000-0006-0000-0000-000041000000}">
      <text>
        <r>
          <rPr>
            <b/>
            <sz val="9"/>
            <color indexed="81"/>
            <rFont val="Tahoma"/>
            <family val="2"/>
          </rPr>
          <t>Scott Schmuck:</t>
        </r>
        <r>
          <rPr>
            <sz val="9"/>
            <color indexed="81"/>
            <rFont val="Tahoma"/>
            <family val="2"/>
          </rPr>
          <t xml:space="preserve">
Per Justin 9/23/22 - 2% for Misc Storm Repairs
40*2%=.80hrs/week or 42 hours per year</t>
        </r>
      </text>
    </comment>
    <comment ref="L55" authorId="1" shapeId="0" xr:uid="{00000000-0006-0000-0000-000042000000}">
      <text>
        <r>
          <rPr>
            <b/>
            <sz val="9"/>
            <color indexed="81"/>
            <rFont val="Tahoma"/>
            <family val="2"/>
          </rPr>
          <t>Scott Schmuck:</t>
        </r>
        <r>
          <rPr>
            <sz val="9"/>
            <color indexed="81"/>
            <rFont val="Tahoma"/>
            <family val="2"/>
          </rPr>
          <t xml:space="preserve">
Per Justin 9/23/22 - 
Bal to FK Wat (home dept) for Main Breaks, Meter Reading, Leak Rprs, Hydarnt Flow Testing, Yard Restoration, Ashphalt Restorations, etc</t>
        </r>
      </text>
    </comment>
    <comment ref="H56" authorId="1" shapeId="0" xr:uid="{00000000-0006-0000-0000-000043000000}">
      <text>
        <r>
          <rPr>
            <b/>
            <sz val="9"/>
            <color indexed="81"/>
            <rFont val="Tahoma"/>
            <family val="2"/>
          </rPr>
          <t>Scott Schmuck:</t>
        </r>
        <r>
          <rPr>
            <sz val="9"/>
            <color indexed="81"/>
            <rFont val="Tahoma"/>
            <family val="2"/>
          </rPr>
          <t xml:space="preserve">
Per Justin 9/23/22 - 2% for Misc FK Collection Repairs
40*2%=.80hrs/week or 42 hours per year</t>
        </r>
      </text>
    </comment>
    <comment ref="I56" authorId="1" shapeId="0" xr:uid="{00000000-0006-0000-0000-000044000000}">
      <text>
        <r>
          <rPr>
            <b/>
            <sz val="9"/>
            <color indexed="81"/>
            <rFont val="Tahoma"/>
            <family val="2"/>
          </rPr>
          <t>Scott Schmuck:</t>
        </r>
        <r>
          <rPr>
            <sz val="9"/>
            <color indexed="81"/>
            <rFont val="Tahoma"/>
            <family val="2"/>
          </rPr>
          <t xml:space="preserve">
Per Justin 9/23/22 - 2% for Misc Storm Repairs
40*2%=.80hrs/week or 42 hours per year</t>
        </r>
      </text>
    </comment>
    <comment ref="L56" authorId="1" shapeId="0" xr:uid="{00000000-0006-0000-0000-000045000000}">
      <text>
        <r>
          <rPr>
            <b/>
            <sz val="9"/>
            <color indexed="81"/>
            <rFont val="Tahoma"/>
            <family val="2"/>
          </rPr>
          <t>Scott Schmuck:</t>
        </r>
        <r>
          <rPr>
            <sz val="9"/>
            <color indexed="81"/>
            <rFont val="Tahoma"/>
            <family val="2"/>
          </rPr>
          <t xml:space="preserve">
Per Justin 9/23/22 - 
Bal to FK Wat (home dept) for Main Breaks, Meter Reading, Leak Rprs, Hydarnt Flow Testing, Yard Restoration, Ashphalt Restorations, etc</t>
        </r>
      </text>
    </comment>
    <comment ref="C57" authorId="1" shapeId="0" xr:uid="{00000000-0006-0000-0000-000046000000}">
      <text>
        <r>
          <rPr>
            <b/>
            <sz val="9"/>
            <color indexed="81"/>
            <rFont val="Tahoma"/>
            <family val="2"/>
          </rPr>
          <t>Scott Schmuck:</t>
        </r>
        <r>
          <rPr>
            <sz val="9"/>
            <color indexed="81"/>
            <rFont val="Tahoma"/>
            <family val="2"/>
          </rPr>
          <t xml:space="preserve">
Per Justin 9/23/22 - 2% for Being On-Call
40*2%=.80hrs/week
</t>
        </r>
      </text>
    </comment>
    <comment ref="H57" authorId="1" shapeId="0" xr:uid="{00000000-0006-0000-0000-000047000000}">
      <text>
        <r>
          <rPr>
            <b/>
            <sz val="9"/>
            <color indexed="81"/>
            <rFont val="Tahoma"/>
            <family val="2"/>
          </rPr>
          <t>Scott Schmuck:</t>
        </r>
        <r>
          <rPr>
            <sz val="9"/>
            <color indexed="81"/>
            <rFont val="Tahoma"/>
            <family val="2"/>
          </rPr>
          <t xml:space="preserve">
Per Justin 9/23/22 - 2% for Misc FK Collection Repairs
40*2%=.80hrs/week or 42 hours per year</t>
        </r>
      </text>
    </comment>
    <comment ref="I57" authorId="1" shapeId="0" xr:uid="{00000000-0006-0000-0000-000048000000}">
      <text>
        <r>
          <rPr>
            <b/>
            <sz val="9"/>
            <color indexed="81"/>
            <rFont val="Tahoma"/>
            <family val="2"/>
          </rPr>
          <t>Scott Schmuck:</t>
        </r>
        <r>
          <rPr>
            <sz val="9"/>
            <color indexed="81"/>
            <rFont val="Tahoma"/>
            <family val="2"/>
          </rPr>
          <t xml:space="preserve">
Per Justin 9/23/22 - 2% for Misc Storm Repairs
40*2%=.80hrs/week or 42 hours per year</t>
        </r>
      </text>
    </comment>
    <comment ref="L57" authorId="1" shapeId="0" xr:uid="{00000000-0006-0000-0000-000049000000}">
      <text>
        <r>
          <rPr>
            <b/>
            <sz val="9"/>
            <color indexed="81"/>
            <rFont val="Tahoma"/>
            <family val="2"/>
          </rPr>
          <t>Scott Schmuck:</t>
        </r>
        <r>
          <rPr>
            <sz val="9"/>
            <color indexed="81"/>
            <rFont val="Tahoma"/>
            <family val="2"/>
          </rPr>
          <t xml:space="preserve">
Bal to FK Wat</t>
        </r>
      </text>
    </comment>
    <comment ref="C58" authorId="1" shapeId="0" xr:uid="{00000000-0006-0000-0000-00004A000000}">
      <text>
        <r>
          <rPr>
            <b/>
            <sz val="9"/>
            <color indexed="81"/>
            <rFont val="Tahoma"/>
            <family val="2"/>
          </rPr>
          <t>Scott Schmuck:</t>
        </r>
        <r>
          <rPr>
            <sz val="9"/>
            <color indexed="81"/>
            <rFont val="Tahoma"/>
            <family val="2"/>
          </rPr>
          <t xml:space="preserve">
Per Justin 9/23/22 - 2% for Being On-Call
40*2%=.80hrs/week
</t>
        </r>
      </text>
    </comment>
    <comment ref="H58" authorId="1" shapeId="0" xr:uid="{00000000-0006-0000-0000-00004B000000}">
      <text>
        <r>
          <rPr>
            <b/>
            <sz val="9"/>
            <color indexed="81"/>
            <rFont val="Tahoma"/>
            <family val="2"/>
          </rPr>
          <t>Scott Schmuck:</t>
        </r>
        <r>
          <rPr>
            <sz val="9"/>
            <color indexed="81"/>
            <rFont val="Tahoma"/>
            <family val="2"/>
          </rPr>
          <t xml:space="preserve">
Per Justin 9/23/22 - 2% for Misc FK Collection Repairs
40*2%=.80hrs/week or 42 hours per year</t>
        </r>
      </text>
    </comment>
    <comment ref="I58" authorId="1" shapeId="0" xr:uid="{00000000-0006-0000-0000-00004C000000}">
      <text>
        <r>
          <rPr>
            <b/>
            <sz val="9"/>
            <color indexed="81"/>
            <rFont val="Tahoma"/>
            <family val="2"/>
          </rPr>
          <t>Scott Schmuck:</t>
        </r>
        <r>
          <rPr>
            <sz val="9"/>
            <color indexed="81"/>
            <rFont val="Tahoma"/>
            <family val="2"/>
          </rPr>
          <t xml:space="preserve">
Per Justin 9/23/22 - 2% for Misc Storm Repairs
40*2%=.80hrs/week or 42 hours per year</t>
        </r>
      </text>
    </comment>
    <comment ref="L58" authorId="1" shapeId="0" xr:uid="{00000000-0006-0000-0000-00004D000000}">
      <text>
        <r>
          <rPr>
            <b/>
            <sz val="9"/>
            <color indexed="81"/>
            <rFont val="Tahoma"/>
            <family val="2"/>
          </rPr>
          <t>Scott Schmuck:</t>
        </r>
        <r>
          <rPr>
            <sz val="9"/>
            <color indexed="81"/>
            <rFont val="Tahoma"/>
            <family val="2"/>
          </rPr>
          <t xml:space="preserve">
Bal to FK Wat</t>
        </r>
      </text>
    </comment>
    <comment ref="J59" authorId="1" shapeId="0" xr:uid="{00000000-0006-0000-0000-00004E000000}">
      <text>
        <r>
          <rPr>
            <b/>
            <sz val="9"/>
            <color indexed="81"/>
            <rFont val="Tahoma"/>
            <family val="2"/>
          </rPr>
          <t>Scott Schmuck:</t>
        </r>
        <r>
          <rPr>
            <sz val="9"/>
            <color indexed="81"/>
            <rFont val="Tahoma"/>
            <family val="2"/>
          </rPr>
          <t xml:space="preserve">
Based on 2022 Approved Budget for FK Utilites expenses only</t>
        </r>
      </text>
    </comment>
    <comment ref="K59" authorId="1" shapeId="0" xr:uid="{00000000-0006-0000-0000-00004F000000}">
      <text>
        <r>
          <rPr>
            <b/>
            <sz val="9"/>
            <color indexed="81"/>
            <rFont val="Tahoma"/>
            <family val="2"/>
          </rPr>
          <t>Scott Schmuck:</t>
        </r>
        <r>
          <rPr>
            <sz val="9"/>
            <color indexed="81"/>
            <rFont val="Tahoma"/>
            <family val="2"/>
          </rPr>
          <t xml:space="preserve">
Based on 2022 Approved Budget for FK Utilites expenses only</t>
        </r>
      </text>
    </comment>
    <comment ref="L59" authorId="0" shapeId="0" xr:uid="{00000000-0006-0000-0000-000050000000}">
      <text>
        <r>
          <rPr>
            <b/>
            <sz val="9"/>
            <color indexed="81"/>
            <rFont val="Tahoma"/>
            <family val="2"/>
          </rPr>
          <t>sschmuck:</t>
        </r>
        <r>
          <rPr>
            <sz val="9"/>
            <color indexed="81"/>
            <rFont val="Tahoma"/>
            <family val="2"/>
          </rPr>
          <t xml:space="preserve">
Based on 2021 Approved Budget for FK Utilities expenses only </t>
        </r>
      </text>
    </comment>
    <comment ref="E65" authorId="1" shapeId="0" xr:uid="{00000000-0006-0000-0000-000051000000}">
      <text>
        <r>
          <rPr>
            <b/>
            <sz val="9"/>
            <color indexed="81"/>
            <rFont val="Tahoma"/>
            <family val="2"/>
          </rPr>
          <t>Scott Schmuck:</t>
        </r>
        <r>
          <rPr>
            <sz val="9"/>
            <color indexed="81"/>
            <rFont val="Tahoma"/>
            <family val="2"/>
          </rPr>
          <t xml:space="preserve">
Per Justin 9/23/22 - 2% (40*2%=.80hrs/wk) for On-Call</t>
        </r>
      </text>
    </comment>
    <comment ref="H65" authorId="0" shapeId="0" xr:uid="{00000000-0006-0000-0000-000052000000}">
      <text>
        <r>
          <rPr>
            <b/>
            <sz val="9"/>
            <color indexed="81"/>
            <rFont val="Tahoma"/>
            <family val="2"/>
          </rPr>
          <t>sschmuck:</t>
        </r>
        <r>
          <rPr>
            <sz val="9"/>
            <color indexed="81"/>
            <rFont val="Tahoma"/>
            <family val="2"/>
          </rPr>
          <t xml:space="preserve">
Balance of time to FK Collect</t>
        </r>
      </text>
    </comment>
    <comment ref="I65" authorId="1" shapeId="0" xr:uid="{00000000-0006-0000-0000-000053000000}">
      <text>
        <r>
          <rPr>
            <b/>
            <sz val="9"/>
            <color indexed="81"/>
            <rFont val="Tahoma"/>
            <family val="2"/>
          </rPr>
          <t>Scott Schmuck:</t>
        </r>
        <r>
          <rPr>
            <sz val="9"/>
            <color indexed="81"/>
            <rFont val="Tahoma"/>
            <family val="2"/>
          </rPr>
          <t xml:space="preserve">
Per Justin 09/23/22 - Ditch Cleaning, Storm Inlet Cleaning &amp; Misch Rprs &amp; Line Locates
40*15%= 6hrs/week</t>
        </r>
      </text>
    </comment>
    <comment ref="L65" authorId="1" shapeId="0" xr:uid="{00000000-0006-0000-0000-000054000000}">
      <text>
        <r>
          <rPr>
            <b/>
            <sz val="9"/>
            <color indexed="81"/>
            <rFont val="Tahoma"/>
            <family val="2"/>
          </rPr>
          <t>Scott Schmuck:</t>
        </r>
        <r>
          <rPr>
            <sz val="9"/>
            <color indexed="81"/>
            <rFont val="Tahoma"/>
            <family val="2"/>
          </rPr>
          <t xml:space="preserve">
Per Justin 9/23/22 - 20% (40*20%=8hrs/wk) for Line Locates</t>
        </r>
      </text>
    </comment>
    <comment ref="B66" authorId="1" shapeId="0" xr:uid="{00000000-0006-0000-0000-000055000000}">
      <text>
        <r>
          <rPr>
            <b/>
            <sz val="9"/>
            <color indexed="81"/>
            <rFont val="Tahoma"/>
            <family val="2"/>
          </rPr>
          <t>Scott Schmuck:</t>
        </r>
        <r>
          <rPr>
            <sz val="9"/>
            <color indexed="81"/>
            <rFont val="Tahoma"/>
            <family val="2"/>
          </rPr>
          <t xml:space="preserve">
Per Justin 10/13/21 - Position will NOT be filled</t>
        </r>
      </text>
    </comment>
    <comment ref="E66" authorId="1" shapeId="0" xr:uid="{00000000-0006-0000-0000-000056000000}">
      <text>
        <r>
          <rPr>
            <b/>
            <sz val="9"/>
            <color indexed="81"/>
            <rFont val="Tahoma"/>
            <family val="2"/>
          </rPr>
          <t>Scott Schmuck:</t>
        </r>
        <r>
          <rPr>
            <sz val="9"/>
            <color indexed="81"/>
            <rFont val="Tahoma"/>
            <family val="2"/>
          </rPr>
          <t xml:space="preserve">
Per Justin 9/23/22 - 2% (40*2%=.80hrs/wk) for On-Call</t>
        </r>
      </text>
    </comment>
    <comment ref="H66" authorId="0" shapeId="0" xr:uid="{00000000-0006-0000-0000-000057000000}">
      <text>
        <r>
          <rPr>
            <b/>
            <sz val="9"/>
            <color indexed="81"/>
            <rFont val="Tahoma"/>
            <family val="2"/>
          </rPr>
          <t>sschmuck:</t>
        </r>
        <r>
          <rPr>
            <sz val="9"/>
            <color indexed="81"/>
            <rFont val="Tahoma"/>
            <family val="2"/>
          </rPr>
          <t xml:space="preserve">
Balance of time to FK Collect</t>
        </r>
      </text>
    </comment>
    <comment ref="I66" authorId="1" shapeId="0" xr:uid="{00000000-0006-0000-0000-000058000000}">
      <text>
        <r>
          <rPr>
            <b/>
            <sz val="9"/>
            <color indexed="81"/>
            <rFont val="Tahoma"/>
            <family val="2"/>
          </rPr>
          <t>Scott Schmuck:</t>
        </r>
        <r>
          <rPr>
            <sz val="9"/>
            <color indexed="81"/>
            <rFont val="Tahoma"/>
            <family val="2"/>
          </rPr>
          <t xml:space="preserve">
Per Justin 09/23/22 - Ditch Cleaning, Storm Inlet Cleaning &amp; Misch Rprs &amp; Line Locates
40*15%= 6hrs/week</t>
        </r>
      </text>
    </comment>
    <comment ref="L66" authorId="1" shapeId="0" xr:uid="{00000000-0006-0000-0000-000059000000}">
      <text>
        <r>
          <rPr>
            <b/>
            <sz val="9"/>
            <color indexed="81"/>
            <rFont val="Tahoma"/>
            <family val="2"/>
          </rPr>
          <t>Scott Schmuck:</t>
        </r>
        <r>
          <rPr>
            <sz val="9"/>
            <color indexed="81"/>
            <rFont val="Tahoma"/>
            <family val="2"/>
          </rPr>
          <t xml:space="preserve">
Per Justin 9/23/22 - 20% (40*20%=8hrs/wk) for Line Locates</t>
        </r>
      </text>
    </comment>
    <comment ref="B67" authorId="1" shapeId="0" xr:uid="{00000000-0006-0000-0000-00005A000000}">
      <text>
        <r>
          <rPr>
            <b/>
            <sz val="9"/>
            <color indexed="81"/>
            <rFont val="Tahoma"/>
            <family val="2"/>
          </rPr>
          <t>Scott Schmuck:</t>
        </r>
        <r>
          <rPr>
            <sz val="9"/>
            <color indexed="81"/>
            <rFont val="Tahoma"/>
            <family val="2"/>
          </rPr>
          <t xml:space="preserve">
Per Justin 10/13/21 - Position will NOT be filled</t>
        </r>
      </text>
    </comment>
    <comment ref="E67" authorId="1" shapeId="0" xr:uid="{00000000-0006-0000-0000-00005B000000}">
      <text>
        <r>
          <rPr>
            <b/>
            <sz val="9"/>
            <color indexed="81"/>
            <rFont val="Tahoma"/>
            <family val="2"/>
          </rPr>
          <t>Scott Schmuck:</t>
        </r>
        <r>
          <rPr>
            <sz val="9"/>
            <color indexed="81"/>
            <rFont val="Tahoma"/>
            <family val="2"/>
          </rPr>
          <t xml:space="preserve">
Per Justin 10/13/21 - 2% (40*2%=.80hrs/wk) for On-Call</t>
        </r>
      </text>
    </comment>
    <comment ref="H67" authorId="0" shapeId="0" xr:uid="{00000000-0006-0000-0000-00005C000000}">
      <text>
        <r>
          <rPr>
            <b/>
            <sz val="9"/>
            <color indexed="81"/>
            <rFont val="Tahoma"/>
            <family val="2"/>
          </rPr>
          <t>sschmuck:</t>
        </r>
        <r>
          <rPr>
            <sz val="9"/>
            <color indexed="81"/>
            <rFont val="Tahoma"/>
            <family val="2"/>
          </rPr>
          <t xml:space="preserve">
Balance of time to FK Collect</t>
        </r>
      </text>
    </comment>
    <comment ref="I67" authorId="1" shapeId="0" xr:uid="{00000000-0006-0000-0000-00005D000000}">
      <text>
        <r>
          <rPr>
            <b/>
            <sz val="9"/>
            <color indexed="81"/>
            <rFont val="Tahoma"/>
            <family val="2"/>
          </rPr>
          <t>Scott Schmuck:</t>
        </r>
        <r>
          <rPr>
            <sz val="9"/>
            <color indexed="81"/>
            <rFont val="Tahoma"/>
            <family val="2"/>
          </rPr>
          <t xml:space="preserve">
2080 * 15% = 312 hrs/yr per Justin mtg 1013/21 - same as 2021</t>
        </r>
      </text>
    </comment>
    <comment ref="L67" authorId="1" shapeId="0" xr:uid="{00000000-0006-0000-0000-00005E000000}">
      <text>
        <r>
          <rPr>
            <b/>
            <sz val="9"/>
            <color indexed="81"/>
            <rFont val="Tahoma"/>
            <family val="2"/>
          </rPr>
          <t>Scott Schmuck:</t>
        </r>
        <r>
          <rPr>
            <sz val="9"/>
            <color indexed="81"/>
            <rFont val="Tahoma"/>
            <family val="2"/>
          </rPr>
          <t xml:space="preserve">
Per Justin 10/13/21 - 20% (40*20%=8hrs/wk) to assist with Main Rprs &amp; Yard restorations</t>
        </r>
      </text>
    </comment>
    <comment ref="G68" authorId="1" shapeId="0" xr:uid="{00000000-0006-0000-0000-00005F000000}">
      <text>
        <r>
          <rPr>
            <b/>
            <sz val="9"/>
            <color indexed="81"/>
            <rFont val="Tahoma"/>
            <family val="2"/>
          </rPr>
          <t>Scott Schmuck:</t>
        </r>
        <r>
          <rPr>
            <sz val="9"/>
            <color indexed="81"/>
            <rFont val="Tahoma"/>
            <family val="2"/>
          </rPr>
          <t xml:space="preserve">
Split Balnce evenly between FK Swr Treat/Collection per Justin 09/23/22</t>
        </r>
      </text>
    </comment>
    <comment ref="I68" authorId="1" shapeId="0" xr:uid="{00000000-0006-0000-0000-000060000000}">
      <text>
        <r>
          <rPr>
            <b/>
            <sz val="9"/>
            <color indexed="81"/>
            <rFont val="Tahoma"/>
            <family val="2"/>
          </rPr>
          <t>Scott Schmuck:</t>
        </r>
        <r>
          <rPr>
            <sz val="9"/>
            <color indexed="81"/>
            <rFont val="Tahoma"/>
            <family val="2"/>
          </rPr>
          <t xml:space="preserve">
Per Justin 9/23/22 - 2% for Misc Storm Repairs
40*4%=2hrs/week or 104 hours per year</t>
        </r>
      </text>
    </comment>
    <comment ref="G69" authorId="0" shapeId="0" xr:uid="{00000000-0006-0000-0000-000061000000}">
      <text>
        <r>
          <rPr>
            <b/>
            <sz val="9"/>
            <color indexed="81"/>
            <rFont val="Tahoma"/>
            <family val="2"/>
          </rPr>
          <t>sschmuck:</t>
        </r>
        <r>
          <rPr>
            <sz val="9"/>
            <color indexed="81"/>
            <rFont val="Tahoma"/>
            <family val="2"/>
          </rPr>
          <t xml:space="preserve">
Balance to FK Treat</t>
        </r>
      </text>
    </comment>
    <comment ref="H69" authorId="1" shapeId="0" xr:uid="{00000000-0006-0000-0000-000062000000}">
      <text>
        <r>
          <rPr>
            <b/>
            <sz val="9"/>
            <color indexed="81"/>
            <rFont val="Tahoma"/>
            <family val="2"/>
          </rPr>
          <t>Scott Schmuck:</t>
        </r>
        <r>
          <rPr>
            <sz val="9"/>
            <color indexed="81"/>
            <rFont val="Tahoma"/>
            <family val="2"/>
          </rPr>
          <t xml:space="preserve">
Per Justin 9/23/22 - 2% calc as follows:
2 hrs per wknd x 52 = 104hrs/3=35hrs per yr//2080 = 2%
For wknd LS inspections divided amongs 3 Oper</t>
        </r>
      </text>
    </comment>
    <comment ref="G70" authorId="0" shapeId="0" xr:uid="{00000000-0006-0000-0000-000063000000}">
      <text>
        <r>
          <rPr>
            <b/>
            <sz val="9"/>
            <color indexed="81"/>
            <rFont val="Tahoma"/>
            <family val="2"/>
          </rPr>
          <t>sschmuck:</t>
        </r>
        <r>
          <rPr>
            <sz val="9"/>
            <color indexed="81"/>
            <rFont val="Tahoma"/>
            <family val="2"/>
          </rPr>
          <t xml:space="preserve">
Balance to FK Treat</t>
        </r>
      </text>
    </comment>
    <comment ref="H70" authorId="1" shapeId="0" xr:uid="{00000000-0006-0000-0000-000064000000}">
      <text>
        <r>
          <rPr>
            <b/>
            <sz val="9"/>
            <color indexed="81"/>
            <rFont val="Tahoma"/>
            <family val="2"/>
          </rPr>
          <t>Scott Schmuck:</t>
        </r>
        <r>
          <rPr>
            <sz val="9"/>
            <color indexed="81"/>
            <rFont val="Tahoma"/>
            <family val="2"/>
          </rPr>
          <t xml:space="preserve">
Per Justin 9/23/22 - 2% calc as follows:
2 hrs per wknd x 52 = 104hrs/3=35hrs per yr//2080 = 2%
For wknd LS inspections divided amongs 3 Oper</t>
        </r>
      </text>
    </comment>
    <comment ref="G71" authorId="1" shapeId="0" xr:uid="{00000000-0006-0000-0000-000065000000}">
      <text>
        <r>
          <rPr>
            <b/>
            <sz val="9"/>
            <color indexed="81"/>
            <rFont val="Tahoma"/>
            <family val="2"/>
          </rPr>
          <t>Scott Schmuck:</t>
        </r>
        <r>
          <rPr>
            <sz val="9"/>
            <color indexed="81"/>
            <rFont val="Tahoma"/>
            <family val="2"/>
          </rPr>
          <t xml:space="preserve">
Per Justin 9/23/22 - 100% FKWTP</t>
        </r>
      </text>
    </comment>
    <comment ref="G72" authorId="0" shapeId="0" xr:uid="{00000000-0006-0000-0000-000066000000}">
      <text>
        <r>
          <rPr>
            <b/>
            <sz val="9"/>
            <color indexed="81"/>
            <rFont val="Tahoma"/>
            <family val="2"/>
          </rPr>
          <t>sschmuck:</t>
        </r>
        <r>
          <rPr>
            <sz val="9"/>
            <color indexed="81"/>
            <rFont val="Tahoma"/>
            <family val="2"/>
          </rPr>
          <t xml:space="preserve">
Balance to FK Treat</t>
        </r>
      </text>
    </comment>
    <comment ref="H72" authorId="1" shapeId="0" xr:uid="{00000000-0006-0000-0000-000067000000}">
      <text>
        <r>
          <rPr>
            <b/>
            <sz val="9"/>
            <color indexed="81"/>
            <rFont val="Tahoma"/>
            <family val="2"/>
          </rPr>
          <t>Scott Schmuck:</t>
        </r>
        <r>
          <rPr>
            <sz val="9"/>
            <color indexed="81"/>
            <rFont val="Tahoma"/>
            <family val="2"/>
          </rPr>
          <t xml:space="preserve">
Per Justin 9/23/22 - 2% calc as follows:
2 hrs per wknd x 52 = 104hrs/3=35hrs per yr//2080 = 2%
For wknd LS inspections divided amongs 3 Oper</t>
        </r>
      </text>
    </comment>
    <comment ref="G73" authorId="1" shapeId="0" xr:uid="{00000000-0006-0000-0000-000068000000}">
      <text>
        <r>
          <rPr>
            <b/>
            <sz val="9"/>
            <color indexed="81"/>
            <rFont val="Tahoma"/>
            <family val="2"/>
          </rPr>
          <t>Scott Schmuck:</t>
        </r>
        <r>
          <rPr>
            <sz val="9"/>
            <color indexed="81"/>
            <rFont val="Tahoma"/>
            <family val="2"/>
          </rPr>
          <t xml:space="preserve">
Per Justin 9/23/22 - 100% FKWTP</t>
        </r>
      </text>
    </comment>
    <comment ref="G74" authorId="1" shapeId="0" xr:uid="{00000000-0006-0000-0000-000069000000}">
      <text>
        <r>
          <rPr>
            <b/>
            <sz val="9"/>
            <color indexed="81"/>
            <rFont val="Tahoma"/>
            <family val="2"/>
          </rPr>
          <t>Scott Schmuck:</t>
        </r>
        <r>
          <rPr>
            <sz val="9"/>
            <color indexed="81"/>
            <rFont val="Tahoma"/>
            <family val="2"/>
          </rPr>
          <t xml:space="preserve">
Per Justin 9/23/22 - 100% FKWTP</t>
        </r>
      </text>
    </comment>
    <comment ref="L75" authorId="0" shapeId="0" xr:uid="{00000000-0006-0000-0000-00006A000000}">
      <text>
        <r>
          <rPr>
            <b/>
            <sz val="9"/>
            <color indexed="81"/>
            <rFont val="Tahoma"/>
            <family val="2"/>
          </rPr>
          <t>sschmuck:</t>
        </r>
        <r>
          <rPr>
            <sz val="9"/>
            <color indexed="81"/>
            <rFont val="Tahoma"/>
            <family val="2"/>
          </rPr>
          <t xml:space="preserve">
% of Specific Board Motions Oct 2021 - Sept 2022 from Dina - Note:Motions do not count Secretary report.  Personnel policies = 1 for all except Storm; Officer Election, Treasurer Report &amp; Audit = 1 for all 5 funds</t>
        </r>
      </text>
    </comment>
    <comment ref="C76" authorId="0" shapeId="0" xr:uid="{00000000-0006-0000-0000-00006B000000}">
      <text>
        <r>
          <rPr>
            <b/>
            <sz val="9"/>
            <color indexed="81"/>
            <rFont val="Tahoma"/>
            <family val="2"/>
          </rPr>
          <t>sschmuck:</t>
        </r>
        <r>
          <rPr>
            <sz val="9"/>
            <color indexed="81"/>
            <rFont val="Tahoma"/>
            <family val="2"/>
          </rPr>
          <t xml:space="preserve">
Per Justin 9/23/22 - 
RD2 (Brizendine Booster Station, Grey Lane Pump Station, Clarifier Catwalk, Filters, etc), AMI Project, SCADA Communication related to RD2 Prjoects, New CL17 Chlorine Monitor at LWIC &amp; Misc Projects that are needed.
55% = 22 hrs/wk (40*55%=22hrs) to work on above projects &amp; complete Misc Preventive &amp; Corrective Mant Repairs</t>
        </r>
      </text>
    </comment>
    <comment ref="E76" authorId="1" shapeId="0" xr:uid="{00000000-0006-0000-0000-00006C000000}">
      <text>
        <r>
          <rPr>
            <b/>
            <sz val="9"/>
            <color indexed="81"/>
            <rFont val="Tahoma"/>
            <family val="2"/>
          </rPr>
          <t>Scott Schmuck:</t>
        </r>
        <r>
          <rPr>
            <sz val="9"/>
            <color indexed="81"/>
            <rFont val="Tahoma"/>
            <family val="2"/>
          </rPr>
          <t xml:space="preserve">
Est time to assist with LS maint &amp; repairs per Justin 9/23/22. 40*1%=.4hrs/week</t>
        </r>
      </text>
    </comment>
    <comment ref="F76" authorId="1" shapeId="0" xr:uid="{00000000-0006-0000-0000-00006D000000}">
      <text>
        <r>
          <rPr>
            <b/>
            <sz val="9"/>
            <color indexed="81"/>
            <rFont val="Tahoma"/>
            <family val="2"/>
          </rPr>
          <t>Scott Schmuck:</t>
        </r>
        <r>
          <rPr>
            <sz val="9"/>
            <color indexed="81"/>
            <rFont val="Tahoma"/>
            <family val="2"/>
          </rPr>
          <t xml:space="preserve">
Est time to assist with Misc Plant maint &amp; repairs per Justin 9/23/22. 40*1%=.4hrs/week</t>
        </r>
      </text>
    </comment>
    <comment ref="H76" authorId="1" shapeId="0" xr:uid="{00000000-0006-0000-0000-00006E000000}">
      <text>
        <r>
          <rPr>
            <b/>
            <sz val="9"/>
            <color indexed="81"/>
            <rFont val="Tahoma"/>
            <family val="2"/>
          </rPr>
          <t>Scott Schmuck:</t>
        </r>
        <r>
          <rPr>
            <sz val="9"/>
            <color indexed="81"/>
            <rFont val="Tahoma"/>
            <family val="2"/>
          </rPr>
          <t xml:space="preserve">
Est time to assist with LS maint &amp; repairs per Justin 9/23/22. 40*1%=.4hrs/week</t>
        </r>
      </text>
    </comment>
    <comment ref="L76" authorId="0" shapeId="0" xr:uid="{00000000-0006-0000-0000-00006F000000}">
      <text>
        <r>
          <rPr>
            <b/>
            <sz val="9"/>
            <color indexed="81"/>
            <rFont val="Tahoma"/>
            <family val="2"/>
          </rPr>
          <t>sschmuck:</t>
        </r>
        <r>
          <rPr>
            <sz val="9"/>
            <color indexed="81"/>
            <rFont val="Tahoma"/>
            <family val="2"/>
          </rPr>
          <t xml:space="preserve">
Per Justin 9/23/22
40*42%=17hrs/week to work on Preventative/Corrective Maint, SCADA, ec</t>
        </r>
      </text>
    </comment>
    <comment ref="C77" authorId="0" shapeId="0" xr:uid="{00000000-0006-0000-0000-000070000000}">
      <text>
        <r>
          <rPr>
            <b/>
            <sz val="9"/>
            <color indexed="81"/>
            <rFont val="Tahoma"/>
            <family val="2"/>
          </rPr>
          <t>sschmuck:</t>
        </r>
        <r>
          <rPr>
            <sz val="9"/>
            <color indexed="81"/>
            <rFont val="Tahoma"/>
            <family val="2"/>
          </rPr>
          <t xml:space="preserve">
Per Justin 9/23/22 - Jeff is Floater working on Misc Repairs across all Funds.
40*25%=10hrs/week</t>
        </r>
      </text>
    </comment>
    <comment ref="E77" authorId="0" shapeId="0" xr:uid="{00000000-0006-0000-0000-000071000000}">
      <text>
        <r>
          <rPr>
            <b/>
            <sz val="9"/>
            <color indexed="81"/>
            <rFont val="Tahoma"/>
            <family val="2"/>
          </rPr>
          <t>sschmuck:</t>
        </r>
        <r>
          <rPr>
            <sz val="9"/>
            <color indexed="81"/>
            <rFont val="Tahoma"/>
            <family val="2"/>
          </rPr>
          <t xml:space="preserve">
Per Justin 9/23/22 - Jeff is Floater working on Misc Repairs across all Funds - more allocated to Collections than Treat due to # of L/S &amp; Hwy 313 L/S Project
40*15%=6hrs/week</t>
        </r>
      </text>
    </comment>
    <comment ref="F77" authorId="0" shapeId="0" xr:uid="{00000000-0006-0000-0000-000072000000}">
      <text>
        <r>
          <rPr>
            <b/>
            <sz val="9"/>
            <color indexed="81"/>
            <rFont val="Tahoma"/>
            <family val="2"/>
          </rPr>
          <t>sschmuck:</t>
        </r>
        <r>
          <rPr>
            <sz val="9"/>
            <color indexed="81"/>
            <rFont val="Tahoma"/>
            <family val="2"/>
          </rPr>
          <t xml:space="preserve">
Per Justin 9/23/22 - Jeff is Floater working on Misc Repairs across all Funds.  Jeff will be involved in the Dewatering Bldg Project. 
40*10%=4hrs/week</t>
        </r>
      </text>
    </comment>
    <comment ref="G77" authorId="0" shapeId="0" xr:uid="{00000000-0006-0000-0000-000073000000}">
      <text>
        <r>
          <rPr>
            <b/>
            <sz val="9"/>
            <color indexed="81"/>
            <rFont val="Tahoma"/>
            <family val="2"/>
          </rPr>
          <t>sschmuck:</t>
        </r>
        <r>
          <rPr>
            <sz val="9"/>
            <color indexed="81"/>
            <rFont val="Tahoma"/>
            <family val="2"/>
          </rPr>
          <t xml:space="preserve">
Per Justin 9/23/22 - Jeff is Floater working on Misc Repairs across all Funds 
40*5%=2hrs/week</t>
        </r>
      </text>
    </comment>
    <comment ref="H77" authorId="0" shapeId="0" xr:uid="{00000000-0006-0000-0000-000074000000}">
      <text>
        <r>
          <rPr>
            <b/>
            <sz val="9"/>
            <color indexed="81"/>
            <rFont val="Tahoma"/>
            <family val="2"/>
          </rPr>
          <t>sschmuck:</t>
        </r>
        <r>
          <rPr>
            <sz val="9"/>
            <color indexed="81"/>
            <rFont val="Tahoma"/>
            <family val="2"/>
          </rPr>
          <t xml:space="preserve">
Per Justin 9/23/22 - Jeff is Floater working on Misc Repairs across all Funds - more allocated to Collections than Treat due to # of L/S
40*15%=6hrs/week</t>
        </r>
      </text>
    </comment>
    <comment ref="L77" authorId="1" shapeId="0" xr:uid="{00000000-0006-0000-0000-000075000000}">
      <text>
        <r>
          <rPr>
            <b/>
            <sz val="9"/>
            <color indexed="81"/>
            <rFont val="Tahoma"/>
            <family val="2"/>
          </rPr>
          <t>Scott Schmuck:</t>
        </r>
        <r>
          <rPr>
            <sz val="9"/>
            <color indexed="81"/>
            <rFont val="Tahoma"/>
            <family val="2"/>
          </rPr>
          <t xml:space="preserve">
Balance to FK Wat</t>
        </r>
      </text>
    </comment>
    <comment ref="C78" authorId="1" shapeId="0" xr:uid="{00000000-0006-0000-0000-000076000000}">
      <text>
        <r>
          <rPr>
            <b/>
            <sz val="9"/>
            <color indexed="81"/>
            <rFont val="Tahoma"/>
            <family val="2"/>
          </rPr>
          <t>Scott Schmuck:</t>
        </r>
        <r>
          <rPr>
            <sz val="9"/>
            <color indexed="81"/>
            <rFont val="Tahoma"/>
            <family val="2"/>
          </rPr>
          <t xml:space="preserve">
Per Justin 09/23/22
40*2% = &lt;1hr/week</t>
        </r>
      </text>
    </comment>
    <comment ref="E78" authorId="1" shapeId="0" xr:uid="{00000000-0006-0000-0000-000077000000}">
      <text>
        <r>
          <rPr>
            <b/>
            <sz val="9"/>
            <color indexed="81"/>
            <rFont val="Tahoma"/>
            <family val="2"/>
          </rPr>
          <t>Scott Schmuck:</t>
        </r>
        <r>
          <rPr>
            <sz val="9"/>
            <color indexed="81"/>
            <rFont val="Tahoma"/>
            <family val="2"/>
          </rPr>
          <t xml:space="preserve">
Balance to FK Collect (45%-10%, toal FKWW =18/wk.  40*45%</t>
        </r>
      </text>
    </comment>
    <comment ref="F78" authorId="1" shapeId="0" xr:uid="{00000000-0006-0000-0000-000078000000}">
      <text>
        <r>
          <rPr>
            <b/>
            <sz val="9"/>
            <color indexed="81"/>
            <rFont val="Tahoma"/>
            <family val="2"/>
          </rPr>
          <t>Scott Schmuck:</t>
        </r>
        <r>
          <rPr>
            <sz val="9"/>
            <color indexed="81"/>
            <rFont val="Tahoma"/>
            <family val="2"/>
          </rPr>
          <t xml:space="preserve">
Per Justin 9/23/22 - 10% (40*10%=4hrs/wk) to work on misc elect repairs at WWTP</t>
        </r>
      </text>
    </comment>
    <comment ref="G78" authorId="1" shapeId="0" xr:uid="{00000000-0006-0000-0000-000079000000}">
      <text>
        <r>
          <rPr>
            <b/>
            <sz val="9"/>
            <color indexed="81"/>
            <rFont val="Tahoma"/>
            <family val="2"/>
          </rPr>
          <t>Scott Schmuck:</t>
        </r>
        <r>
          <rPr>
            <sz val="9"/>
            <color indexed="81"/>
            <rFont val="Tahoma"/>
            <family val="2"/>
          </rPr>
          <t xml:space="preserve">
Per Justin 9/23/22 - 10% (40*10%=4hrs/wk) to work on misc elect repairs at WWTP</t>
        </r>
      </text>
    </comment>
    <comment ref="H78" authorId="1" shapeId="0" xr:uid="{00000000-0006-0000-0000-00007A000000}">
      <text>
        <r>
          <rPr>
            <b/>
            <sz val="9"/>
            <color indexed="81"/>
            <rFont val="Tahoma"/>
            <family val="2"/>
          </rPr>
          <t>Scott Schmuck:</t>
        </r>
        <r>
          <rPr>
            <sz val="9"/>
            <color indexed="81"/>
            <rFont val="Tahoma"/>
            <family val="2"/>
          </rPr>
          <t xml:space="preserve">
Balance to FK Collect (45%-10%, toal FKWW =18/wk.  40*45%</t>
        </r>
      </text>
    </comment>
    <comment ref="L78" authorId="1" shapeId="0" xr:uid="{00000000-0006-0000-0000-00007B000000}">
      <text>
        <r>
          <rPr>
            <b/>
            <sz val="9"/>
            <color indexed="81"/>
            <rFont val="Tahoma"/>
            <family val="2"/>
          </rPr>
          <t>Scott Schmuck:</t>
        </r>
        <r>
          <rPr>
            <sz val="9"/>
            <color indexed="81"/>
            <rFont val="Tahoma"/>
            <family val="2"/>
          </rPr>
          <t xml:space="preserve">
Per Jusitin 9/23/22 - 8% (40*8%=3.2hrs/wk) to work on Misc Repairs</t>
        </r>
      </text>
    </comment>
    <comment ref="C79" authorId="1" shapeId="0" xr:uid="{00000000-0006-0000-0000-00007C000000}">
      <text>
        <r>
          <rPr>
            <b/>
            <sz val="9"/>
            <color indexed="81"/>
            <rFont val="Tahoma"/>
            <family val="2"/>
          </rPr>
          <t>Scott Schmuck:</t>
        </r>
        <r>
          <rPr>
            <sz val="9"/>
            <color indexed="81"/>
            <rFont val="Tahoma"/>
            <family val="2"/>
          </rPr>
          <t xml:space="preserve">
Not Funded for 2023</t>
        </r>
      </text>
    </comment>
    <comment ref="E79" authorId="1" shapeId="0" xr:uid="{00000000-0006-0000-0000-00007D000000}">
      <text>
        <r>
          <rPr>
            <b/>
            <sz val="9"/>
            <color indexed="81"/>
            <rFont val="Tahoma"/>
            <family val="2"/>
          </rPr>
          <t>Scott Schmuck:</t>
        </r>
        <r>
          <rPr>
            <sz val="9"/>
            <color indexed="81"/>
            <rFont val="Tahoma"/>
            <family val="2"/>
          </rPr>
          <t xml:space="preserve">
Not Funded for 2023</t>
        </r>
      </text>
    </comment>
    <comment ref="F79" authorId="1" shapeId="0" xr:uid="{00000000-0006-0000-0000-00007E000000}">
      <text>
        <r>
          <rPr>
            <b/>
            <sz val="9"/>
            <color indexed="81"/>
            <rFont val="Tahoma"/>
            <family val="2"/>
          </rPr>
          <t>Scott Schmuck:</t>
        </r>
        <r>
          <rPr>
            <sz val="9"/>
            <color indexed="81"/>
            <rFont val="Tahoma"/>
            <family val="2"/>
          </rPr>
          <t xml:space="preserve">
Not Funded for 2023</t>
        </r>
      </text>
    </comment>
    <comment ref="G79" authorId="1" shapeId="0" xr:uid="{00000000-0006-0000-0000-00007F000000}">
      <text>
        <r>
          <rPr>
            <b/>
            <sz val="9"/>
            <color indexed="81"/>
            <rFont val="Tahoma"/>
            <family val="2"/>
          </rPr>
          <t>Scott Schmuck:</t>
        </r>
        <r>
          <rPr>
            <sz val="9"/>
            <color indexed="81"/>
            <rFont val="Tahoma"/>
            <family val="2"/>
          </rPr>
          <t xml:space="preserve">
Not Funded for 2023</t>
        </r>
      </text>
    </comment>
    <comment ref="H79" authorId="1" shapeId="0" xr:uid="{00000000-0006-0000-0000-000080000000}">
      <text>
        <r>
          <rPr>
            <b/>
            <sz val="9"/>
            <color indexed="81"/>
            <rFont val="Tahoma"/>
            <family val="2"/>
          </rPr>
          <t>Scott Schmuck:</t>
        </r>
        <r>
          <rPr>
            <sz val="9"/>
            <color indexed="81"/>
            <rFont val="Tahoma"/>
            <family val="2"/>
          </rPr>
          <t xml:space="preserve">
Not Funded for 2023</t>
        </r>
      </text>
    </comment>
    <comment ref="I79" authorId="1" shapeId="0" xr:uid="{00000000-0006-0000-0000-000081000000}">
      <text>
        <r>
          <rPr>
            <b/>
            <sz val="9"/>
            <color indexed="81"/>
            <rFont val="Tahoma"/>
            <family val="2"/>
          </rPr>
          <t>Scott Schmuck:</t>
        </r>
        <r>
          <rPr>
            <sz val="9"/>
            <color indexed="81"/>
            <rFont val="Tahoma"/>
            <family val="2"/>
          </rPr>
          <t xml:space="preserve">
Not Funded for 2023</t>
        </r>
      </text>
    </comment>
    <comment ref="J79" authorId="1" shapeId="0" xr:uid="{00000000-0006-0000-0000-000082000000}">
      <text>
        <r>
          <rPr>
            <b/>
            <sz val="9"/>
            <color indexed="81"/>
            <rFont val="Tahoma"/>
            <family val="2"/>
          </rPr>
          <t>Scott Schmuck:</t>
        </r>
        <r>
          <rPr>
            <sz val="9"/>
            <color indexed="81"/>
            <rFont val="Tahoma"/>
            <family val="2"/>
          </rPr>
          <t xml:space="preserve">
Not Funded for 2023</t>
        </r>
      </text>
    </comment>
    <comment ref="K79" authorId="1" shapeId="0" xr:uid="{00000000-0006-0000-0000-000083000000}">
      <text>
        <r>
          <rPr>
            <b/>
            <sz val="9"/>
            <color indexed="81"/>
            <rFont val="Tahoma"/>
            <family val="2"/>
          </rPr>
          <t>Scott Schmuck:</t>
        </r>
        <r>
          <rPr>
            <sz val="9"/>
            <color indexed="81"/>
            <rFont val="Tahoma"/>
            <family val="2"/>
          </rPr>
          <t xml:space="preserve">
Not Funded for 2023</t>
        </r>
      </text>
    </comment>
    <comment ref="L79" authorId="1" shapeId="0" xr:uid="{00000000-0006-0000-0000-000084000000}">
      <text>
        <r>
          <rPr>
            <b/>
            <sz val="9"/>
            <color indexed="81"/>
            <rFont val="Tahoma"/>
            <family val="2"/>
          </rPr>
          <t>Scott Schmuck:</t>
        </r>
        <r>
          <rPr>
            <sz val="9"/>
            <color indexed="81"/>
            <rFont val="Tahoma"/>
            <family val="2"/>
          </rPr>
          <t xml:space="preserve">
Not Funded for 2023</t>
        </r>
      </text>
    </comment>
    <comment ref="C80" authorId="1" shapeId="0" xr:uid="{00000000-0006-0000-0000-000085000000}">
      <text>
        <r>
          <rPr>
            <b/>
            <sz val="9"/>
            <color indexed="81"/>
            <rFont val="Tahoma"/>
            <family val="2"/>
          </rPr>
          <t>Scott Schmuck:</t>
        </r>
        <r>
          <rPr>
            <sz val="9"/>
            <color indexed="81"/>
            <rFont val="Tahoma"/>
            <family val="2"/>
          </rPr>
          <t xml:space="preserve">
Bal to Co Wat</t>
        </r>
      </text>
    </comment>
    <comment ref="L80" authorId="1" shapeId="0" xr:uid="{00000000-0006-0000-0000-000086000000}">
      <text>
        <r>
          <rPr>
            <b/>
            <sz val="9"/>
            <color indexed="81"/>
            <rFont val="Tahoma"/>
            <family val="2"/>
          </rPr>
          <t>Scott Schmuck:</t>
        </r>
        <r>
          <rPr>
            <sz val="9"/>
            <color indexed="81"/>
            <rFont val="Tahoma"/>
            <family val="2"/>
          </rPr>
          <t xml:space="preserve">
5% to prepare data collection for CCR preparation, MOR review &amp; oversee BAC-T testing for FK Wat, Assist with Regullatory Reports
(2080*5%=104hrs/yr or 2 hours/wk)</t>
        </r>
      </text>
    </comment>
    <comment ref="C81" authorId="1" shapeId="0" xr:uid="{00000000-0006-0000-0000-000087000000}">
      <text>
        <r>
          <rPr>
            <b/>
            <sz val="9"/>
            <color indexed="81"/>
            <rFont val="Tahoma"/>
            <family val="2"/>
          </rPr>
          <t>Scott Schmuck:</t>
        </r>
        <r>
          <rPr>
            <sz val="9"/>
            <color indexed="81"/>
            <rFont val="Tahoma"/>
            <family val="2"/>
          </rPr>
          <t xml:space="preserve">
Bal to Co Wat</t>
        </r>
      </text>
    </comment>
    <comment ref="L81" authorId="1" shapeId="0" xr:uid="{00000000-0006-0000-0000-000088000000}">
      <text>
        <r>
          <rPr>
            <b/>
            <sz val="9"/>
            <color indexed="81"/>
            <rFont val="Tahoma"/>
            <family val="2"/>
          </rPr>
          <t>Scott Schmuck:</t>
        </r>
        <r>
          <rPr>
            <sz val="9"/>
            <color indexed="81"/>
            <rFont val="Tahoma"/>
            <family val="2"/>
          </rPr>
          <t xml:space="preserve">
Per Justin 9/23/22, to review Water Quality reports, submit BAC-T lab reports &amp; periodically assist with Sampling
 40*2%=.8hrs/week</t>
        </r>
      </text>
    </comment>
    <comment ref="C82" authorId="1" shapeId="0" xr:uid="{00000000-0006-0000-0000-000089000000}">
      <text>
        <r>
          <rPr>
            <b/>
            <sz val="9"/>
            <color indexed="81"/>
            <rFont val="Tahoma"/>
            <family val="2"/>
          </rPr>
          <t>Scott Schmuck:</t>
        </r>
        <r>
          <rPr>
            <sz val="9"/>
            <color indexed="81"/>
            <rFont val="Tahoma"/>
            <family val="2"/>
          </rPr>
          <t xml:space="preserve">
Bal to Co Wat</t>
        </r>
      </text>
    </comment>
    <comment ref="L82" authorId="1" shapeId="0" xr:uid="{00000000-0006-0000-0000-00008A000000}">
      <text>
        <r>
          <rPr>
            <b/>
            <sz val="9"/>
            <color indexed="81"/>
            <rFont val="Tahoma"/>
            <family val="2"/>
          </rPr>
          <t>Scott Schmuck:</t>
        </r>
        <r>
          <rPr>
            <sz val="9"/>
            <color indexed="81"/>
            <rFont val="Tahoma"/>
            <family val="2"/>
          </rPr>
          <t xml:space="preserve">
2% to monitio FK Wat Dist system (40*2% = .8 hr/wk)</t>
        </r>
      </text>
    </comment>
    <comment ref="B83" authorId="1" shapeId="0" xr:uid="{00000000-0006-0000-0000-00008B000000}">
      <text>
        <r>
          <rPr>
            <b/>
            <sz val="9"/>
            <color indexed="81"/>
            <rFont val="Tahoma"/>
            <family val="2"/>
          </rPr>
          <t>Scott Schmuck:</t>
        </r>
        <r>
          <rPr>
            <sz val="9"/>
            <color indexed="81"/>
            <rFont val="Tahoma"/>
            <family val="2"/>
          </rPr>
          <t xml:space="preserve">
Replacement for D. Osburn</t>
        </r>
      </text>
    </comment>
    <comment ref="C83" authorId="1" shapeId="0" xr:uid="{00000000-0006-0000-0000-00008C000000}">
      <text>
        <r>
          <rPr>
            <b/>
            <sz val="9"/>
            <color indexed="81"/>
            <rFont val="Tahoma"/>
            <family val="2"/>
          </rPr>
          <t>Scott Schmuck:</t>
        </r>
        <r>
          <rPr>
            <sz val="9"/>
            <color indexed="81"/>
            <rFont val="Tahoma"/>
            <family val="2"/>
          </rPr>
          <t xml:space="preserve">
Bal to Co Wat</t>
        </r>
      </text>
    </comment>
    <comment ref="L83" authorId="1" shapeId="0" xr:uid="{00000000-0006-0000-0000-00008D000000}">
      <text>
        <r>
          <rPr>
            <b/>
            <sz val="9"/>
            <color indexed="81"/>
            <rFont val="Tahoma"/>
            <family val="2"/>
          </rPr>
          <t>Scott Schmuck:</t>
        </r>
        <r>
          <rPr>
            <sz val="9"/>
            <color indexed="81"/>
            <rFont val="Tahoma"/>
            <family val="2"/>
          </rPr>
          <t xml:space="preserve">
2% to monitio FK Wat Dist system (40*2% = .8 hr/wk)</t>
        </r>
      </text>
    </comment>
    <comment ref="C84" authorId="1" shapeId="0" xr:uid="{00000000-0006-0000-0000-00008E000000}">
      <text>
        <r>
          <rPr>
            <b/>
            <sz val="9"/>
            <color indexed="81"/>
            <rFont val="Tahoma"/>
            <family val="2"/>
          </rPr>
          <t>Scott Schmuck:</t>
        </r>
        <r>
          <rPr>
            <sz val="9"/>
            <color indexed="81"/>
            <rFont val="Tahoma"/>
            <family val="2"/>
          </rPr>
          <t xml:space="preserve">
Bal to Co Wat</t>
        </r>
      </text>
    </comment>
    <comment ref="L84" authorId="1" shapeId="0" xr:uid="{00000000-0006-0000-0000-00008F000000}">
      <text>
        <r>
          <rPr>
            <b/>
            <sz val="9"/>
            <color indexed="81"/>
            <rFont val="Tahoma"/>
            <family val="2"/>
          </rPr>
          <t>Scott Schmuck:</t>
        </r>
        <r>
          <rPr>
            <sz val="9"/>
            <color indexed="81"/>
            <rFont val="Tahoma"/>
            <family val="2"/>
          </rPr>
          <t xml:space="preserve">
2% to monitio FK Wat Dist system (40*2% = .8 hr/wk)</t>
        </r>
      </text>
    </comment>
    <comment ref="C85" authorId="1" shapeId="0" xr:uid="{00000000-0006-0000-0000-000090000000}">
      <text>
        <r>
          <rPr>
            <b/>
            <sz val="9"/>
            <color indexed="81"/>
            <rFont val="Tahoma"/>
            <family val="2"/>
          </rPr>
          <t>Scott Schmuck:</t>
        </r>
        <r>
          <rPr>
            <sz val="9"/>
            <color indexed="81"/>
            <rFont val="Tahoma"/>
            <family val="2"/>
          </rPr>
          <t xml:space="preserve">
Bal to Co Wat</t>
        </r>
      </text>
    </comment>
    <comment ref="L85" authorId="1" shapeId="0" xr:uid="{00000000-0006-0000-0000-000091000000}">
      <text>
        <r>
          <rPr>
            <b/>
            <sz val="9"/>
            <color indexed="81"/>
            <rFont val="Tahoma"/>
            <family val="2"/>
          </rPr>
          <t>Scott Schmuck:</t>
        </r>
        <r>
          <rPr>
            <sz val="9"/>
            <color indexed="81"/>
            <rFont val="Tahoma"/>
            <family val="2"/>
          </rPr>
          <t xml:space="preserve">
2% to monitio FK Wat Dist system (40*2% = .8 hr/wk)</t>
        </r>
      </text>
    </comment>
    <comment ref="B86" authorId="1" shapeId="0" xr:uid="{00000000-0006-0000-0000-000092000000}">
      <text>
        <r>
          <rPr>
            <b/>
            <sz val="9"/>
            <color indexed="81"/>
            <rFont val="Tahoma"/>
            <family val="2"/>
          </rPr>
          <t>Scott Schmuck:</t>
        </r>
        <r>
          <rPr>
            <sz val="9"/>
            <color indexed="81"/>
            <rFont val="Tahoma"/>
            <family val="2"/>
          </rPr>
          <t xml:space="preserve">
Replacement for M. McKinley Retirment</t>
        </r>
      </text>
    </comment>
    <comment ref="C86" authorId="1" shapeId="0" xr:uid="{00000000-0006-0000-0000-000093000000}">
      <text>
        <r>
          <rPr>
            <b/>
            <sz val="9"/>
            <color indexed="81"/>
            <rFont val="Tahoma"/>
            <family val="2"/>
          </rPr>
          <t>Scott Schmuck:</t>
        </r>
        <r>
          <rPr>
            <sz val="9"/>
            <color indexed="81"/>
            <rFont val="Tahoma"/>
            <family val="2"/>
          </rPr>
          <t xml:space="preserve">
Bal to Co Wat</t>
        </r>
      </text>
    </comment>
    <comment ref="L86" authorId="1" shapeId="0" xr:uid="{00000000-0006-0000-0000-000094000000}">
      <text>
        <r>
          <rPr>
            <b/>
            <sz val="9"/>
            <color indexed="81"/>
            <rFont val="Tahoma"/>
            <family val="2"/>
          </rPr>
          <t>Scott Schmuck:</t>
        </r>
        <r>
          <rPr>
            <sz val="9"/>
            <color indexed="81"/>
            <rFont val="Tahoma"/>
            <family val="2"/>
          </rPr>
          <t xml:space="preserve">
2% to monitio FK Wat Dist system (40*2% = .8 hr/wk)</t>
        </r>
      </text>
    </comment>
    <comment ref="C87" authorId="1" shapeId="0" xr:uid="{00000000-0006-0000-0000-000095000000}">
      <text>
        <r>
          <rPr>
            <b/>
            <sz val="9"/>
            <color indexed="81"/>
            <rFont val="Tahoma"/>
            <family val="2"/>
          </rPr>
          <t>Scott Schmuck:</t>
        </r>
        <r>
          <rPr>
            <sz val="9"/>
            <color indexed="81"/>
            <rFont val="Tahoma"/>
            <family val="2"/>
          </rPr>
          <t xml:space="preserve">
Bal to Co Wat</t>
        </r>
      </text>
    </comment>
    <comment ref="L87" authorId="1" shapeId="0" xr:uid="{00000000-0006-0000-0000-000096000000}">
      <text>
        <r>
          <rPr>
            <b/>
            <sz val="9"/>
            <color indexed="81"/>
            <rFont val="Tahoma"/>
            <family val="2"/>
          </rPr>
          <t>Scott Schmuck:</t>
        </r>
        <r>
          <rPr>
            <sz val="9"/>
            <color indexed="81"/>
            <rFont val="Tahoma"/>
            <family val="2"/>
          </rPr>
          <t xml:space="preserve">
2% to monitio FK Wat Dist system (40*2% = .8 hr/wk)</t>
        </r>
      </text>
    </comment>
    <comment ref="H89" authorId="1" shapeId="0" xr:uid="{00000000-0006-0000-0000-000097000000}">
      <text>
        <r>
          <rPr>
            <b/>
            <sz val="9"/>
            <color indexed="81"/>
            <rFont val="Tahoma"/>
            <family val="2"/>
          </rPr>
          <t>Scott Schmuck:</t>
        </r>
        <r>
          <rPr>
            <sz val="9"/>
            <color indexed="81"/>
            <rFont val="Tahoma"/>
            <family val="2"/>
          </rPr>
          <t xml:space="preserve">
Per Justin 9/23/22 - 2% (40*2%=.80hrs/wk) for On-Call</t>
        </r>
      </text>
    </comment>
    <comment ref="L89" authorId="1" shapeId="0" xr:uid="{00000000-0006-0000-0000-000098000000}">
      <text>
        <r>
          <rPr>
            <b/>
            <sz val="9"/>
            <color indexed="81"/>
            <rFont val="Tahoma"/>
            <family val="2"/>
          </rPr>
          <t>Scott Schmuck:</t>
        </r>
        <r>
          <rPr>
            <sz val="9"/>
            <color indexed="81"/>
            <rFont val="Tahoma"/>
            <family val="2"/>
          </rPr>
          <t xml:space="preserve">
Per Justin 10/13/21 - 5% = 40*5%=2hrs/wk, 
2hrs/wk x 52 wks = 104hrs/yr (104/2080=5%)</t>
        </r>
      </text>
    </comment>
    <comment ref="E90" authorId="0" shapeId="0" xr:uid="{00000000-0006-0000-0000-000099000000}">
      <text>
        <r>
          <rPr>
            <b/>
            <sz val="9"/>
            <color indexed="81"/>
            <rFont val="Tahoma"/>
            <family val="2"/>
          </rPr>
          <t>sschmuck:</t>
        </r>
        <r>
          <rPr>
            <sz val="9"/>
            <color indexed="81"/>
            <rFont val="Tahoma"/>
            <family val="2"/>
          </rPr>
          <t xml:space="preserve">
bal to Rad collect</t>
        </r>
      </text>
    </comment>
    <comment ref="H90" authorId="1" shapeId="0" xr:uid="{00000000-0006-0000-0000-00009A000000}">
      <text>
        <r>
          <rPr>
            <b/>
            <sz val="9"/>
            <color indexed="81"/>
            <rFont val="Tahoma"/>
            <family val="2"/>
          </rPr>
          <t>Scott Schmuck:</t>
        </r>
        <r>
          <rPr>
            <sz val="9"/>
            <color indexed="81"/>
            <rFont val="Tahoma"/>
            <family val="2"/>
          </rPr>
          <t xml:space="preserve">
Per Justin 9/23/22 - 2% (40*2%=0.80hrs/wk) for On-Call + 2% to VAC out wet wells</t>
        </r>
      </text>
    </comment>
    <comment ref="E91" authorId="0" shapeId="0" xr:uid="{00000000-0006-0000-0000-00009B000000}">
      <text>
        <r>
          <rPr>
            <b/>
            <sz val="9"/>
            <color indexed="81"/>
            <rFont val="Tahoma"/>
            <family val="2"/>
          </rPr>
          <t>sschmuck:</t>
        </r>
        <r>
          <rPr>
            <sz val="9"/>
            <color indexed="81"/>
            <rFont val="Tahoma"/>
            <family val="2"/>
          </rPr>
          <t xml:space="preserve">
Bal split between Rad Treat &amp; Collect
</t>
        </r>
      </text>
    </comment>
    <comment ref="F91" authorId="0" shapeId="0" xr:uid="{00000000-0006-0000-0000-00009C000000}">
      <text>
        <r>
          <rPr>
            <b/>
            <sz val="9"/>
            <color indexed="81"/>
            <rFont val="Tahoma"/>
            <family val="2"/>
          </rPr>
          <t>sschmuck:</t>
        </r>
        <r>
          <rPr>
            <sz val="9"/>
            <color indexed="81"/>
            <rFont val="Tahoma"/>
            <family val="2"/>
          </rPr>
          <t xml:space="preserve">
Bal split between Rad Treat &amp; Collect
</t>
        </r>
      </text>
    </comment>
    <comment ref="E92" authorId="1" shapeId="0" xr:uid="{00000000-0006-0000-0000-00009D000000}">
      <text>
        <r>
          <rPr>
            <b/>
            <sz val="9"/>
            <color indexed="81"/>
            <rFont val="Tahoma"/>
            <family val="2"/>
          </rPr>
          <t>Scott Schmuck:</t>
        </r>
        <r>
          <rPr>
            <sz val="9"/>
            <color indexed="81"/>
            <rFont val="Tahoma"/>
            <family val="2"/>
          </rPr>
          <t xml:space="preserve">
Bal to Rad Collections</t>
        </r>
      </text>
    </comment>
    <comment ref="H92" authorId="1" shapeId="0" xr:uid="{00000000-0006-0000-0000-00009E000000}">
      <text>
        <r>
          <rPr>
            <b/>
            <sz val="9"/>
            <color indexed="81"/>
            <rFont val="Tahoma"/>
            <family val="2"/>
          </rPr>
          <t>Scott Schmuck:</t>
        </r>
        <r>
          <rPr>
            <sz val="9"/>
            <color indexed="81"/>
            <rFont val="Tahoma"/>
            <family val="2"/>
          </rPr>
          <t xml:space="preserve">
Per Justin 9/23/22 - 2% (40*2%=.80hrs/wk) for On-Call</t>
        </r>
      </text>
    </comment>
    <comment ref="E93" authorId="1" shapeId="0" xr:uid="{00000000-0006-0000-0000-00009F000000}">
      <text>
        <r>
          <rPr>
            <b/>
            <sz val="9"/>
            <color indexed="81"/>
            <rFont val="Tahoma"/>
            <family val="2"/>
          </rPr>
          <t>Scott Schmuck:</t>
        </r>
        <r>
          <rPr>
            <sz val="9"/>
            <color indexed="81"/>
            <rFont val="Tahoma"/>
            <family val="2"/>
          </rPr>
          <t xml:space="preserve">
Bal to Rad Collections</t>
        </r>
      </text>
    </comment>
    <comment ref="H93" authorId="1" shapeId="0" xr:uid="{00000000-0006-0000-0000-0000A0000000}">
      <text>
        <r>
          <rPr>
            <b/>
            <sz val="9"/>
            <color indexed="81"/>
            <rFont val="Tahoma"/>
            <family val="2"/>
          </rPr>
          <t>Scott Schmuck:</t>
        </r>
        <r>
          <rPr>
            <sz val="9"/>
            <color indexed="81"/>
            <rFont val="Tahoma"/>
            <family val="2"/>
          </rPr>
          <t xml:space="preserve">
Per Justin 9/23/22 - 2% (40*2%=.80hrs/wk) for On-Call</t>
        </r>
      </text>
    </comment>
    <comment ref="E94" authorId="1" shapeId="0" xr:uid="{00000000-0006-0000-0000-0000A1000000}">
      <text>
        <r>
          <rPr>
            <b/>
            <sz val="9"/>
            <color indexed="81"/>
            <rFont val="Tahoma"/>
            <family val="2"/>
          </rPr>
          <t>Scott Schmuck:</t>
        </r>
        <r>
          <rPr>
            <sz val="9"/>
            <color indexed="81"/>
            <rFont val="Tahoma"/>
            <family val="2"/>
          </rPr>
          <t xml:space="preserve">
Per Justin 9/23/22 - 2% calc as follows:
2 hrs per wknd x 52 = 104hrs/3=35hrs per yr//2080 = 2%
For wknd LS inspections divided amongs 3 Oper</t>
        </r>
      </text>
    </comment>
    <comment ref="F94" authorId="1" shapeId="0" xr:uid="{00000000-0006-0000-0000-0000A2000000}">
      <text>
        <r>
          <rPr>
            <b/>
            <sz val="9"/>
            <color indexed="81"/>
            <rFont val="Tahoma"/>
            <family val="2"/>
          </rPr>
          <t>Scott Schmuck:</t>
        </r>
        <r>
          <rPr>
            <sz val="9"/>
            <color indexed="81"/>
            <rFont val="Tahoma"/>
            <family val="2"/>
          </rPr>
          <t xml:space="preserve">
Bal to Rad Treat</t>
        </r>
      </text>
    </comment>
    <comment ref="E95" authorId="1" shapeId="0" xr:uid="{00000000-0006-0000-0000-0000A3000000}">
      <text>
        <r>
          <rPr>
            <b/>
            <sz val="9"/>
            <color indexed="81"/>
            <rFont val="Tahoma"/>
            <family val="2"/>
          </rPr>
          <t>Scott Schmuck:</t>
        </r>
        <r>
          <rPr>
            <sz val="9"/>
            <color indexed="81"/>
            <rFont val="Tahoma"/>
            <family val="2"/>
          </rPr>
          <t xml:space="preserve">
Per Justin 9/23/22 - 2% calc as follows:
2 hrs per wknd x 52 = 104hrs/3=35hrs per yr//2080 = 2%
For wknd LS inspections divided amongs 3 Oper</t>
        </r>
      </text>
    </comment>
    <comment ref="F95" authorId="1" shapeId="0" xr:uid="{00000000-0006-0000-0000-0000A4000000}">
      <text>
        <r>
          <rPr>
            <b/>
            <sz val="9"/>
            <color indexed="81"/>
            <rFont val="Tahoma"/>
            <family val="2"/>
          </rPr>
          <t>Scott Schmuck:</t>
        </r>
        <r>
          <rPr>
            <sz val="9"/>
            <color indexed="81"/>
            <rFont val="Tahoma"/>
            <family val="2"/>
          </rPr>
          <t xml:space="preserve">
Bal to Rad Treat</t>
        </r>
      </text>
    </comment>
    <comment ref="E96" authorId="1" shapeId="0" xr:uid="{00000000-0006-0000-0000-0000A5000000}">
      <text>
        <r>
          <rPr>
            <b/>
            <sz val="9"/>
            <color indexed="81"/>
            <rFont val="Tahoma"/>
            <family val="2"/>
          </rPr>
          <t>Scott Schmuck:</t>
        </r>
        <r>
          <rPr>
            <sz val="9"/>
            <color indexed="81"/>
            <rFont val="Tahoma"/>
            <family val="2"/>
          </rPr>
          <t xml:space="preserve">
Per Justin 9/23/22 - 2% calc as follows:
2 hrs per wknd x 52 = 104hrs/3=35hrs per yr//2080 = 2%
For wknd LS inspections divided amongs 3 Oper</t>
        </r>
      </text>
    </comment>
    <comment ref="F96" authorId="1" shapeId="0" xr:uid="{00000000-0006-0000-0000-0000A6000000}">
      <text>
        <r>
          <rPr>
            <b/>
            <sz val="9"/>
            <color indexed="81"/>
            <rFont val="Tahoma"/>
            <family val="2"/>
          </rPr>
          <t>Scott Schmuck:</t>
        </r>
        <r>
          <rPr>
            <sz val="9"/>
            <color indexed="81"/>
            <rFont val="Tahoma"/>
            <family val="2"/>
          </rPr>
          <t xml:space="preserve">
Bal to Rad Treat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sschmuck</author>
    <author>Scott Schmuck</author>
  </authors>
  <commentList>
    <comment ref="F15" authorId="0" shapeId="0" xr:uid="{00000000-0006-0000-0100-000001000000}">
      <text>
        <r>
          <rPr>
            <b/>
            <sz val="9"/>
            <color indexed="81"/>
            <rFont val="Tahoma"/>
            <family val="2"/>
          </rPr>
          <t>sschmuck:</t>
        </r>
        <r>
          <rPr>
            <sz val="9"/>
            <color indexed="81"/>
            <rFont val="Tahoma"/>
            <family val="2"/>
          </rPr>
          <t xml:space="preserve">
This number s/b Negative</t>
        </r>
      </text>
    </comment>
    <comment ref="F25" authorId="0" shapeId="0" xr:uid="{00000000-0006-0000-0100-000002000000}">
      <text>
        <r>
          <rPr>
            <b/>
            <sz val="9"/>
            <color indexed="81"/>
            <rFont val="Tahoma"/>
            <family val="2"/>
          </rPr>
          <t>sschmuck:</t>
        </r>
        <r>
          <rPr>
            <sz val="9"/>
            <color indexed="81"/>
            <rFont val="Tahoma"/>
            <family val="2"/>
          </rPr>
          <t xml:space="preserve">
This number s/b Negative</t>
        </r>
      </text>
    </comment>
    <comment ref="F35" authorId="0" shapeId="0" xr:uid="{00000000-0006-0000-0100-000003000000}">
      <text>
        <r>
          <rPr>
            <b/>
            <sz val="9"/>
            <color indexed="81"/>
            <rFont val="Tahoma"/>
            <family val="2"/>
          </rPr>
          <t>sschmuck:</t>
        </r>
        <r>
          <rPr>
            <sz val="9"/>
            <color indexed="81"/>
            <rFont val="Tahoma"/>
            <family val="2"/>
          </rPr>
          <t xml:space="preserve">
This number s/b Negative</t>
        </r>
      </text>
    </comment>
    <comment ref="F44" authorId="0" shapeId="0" xr:uid="{00000000-0006-0000-0100-000004000000}">
      <text>
        <r>
          <rPr>
            <b/>
            <sz val="9"/>
            <color indexed="81"/>
            <rFont val="Tahoma"/>
            <family val="2"/>
          </rPr>
          <t>sschmuck:</t>
        </r>
        <r>
          <rPr>
            <sz val="9"/>
            <color indexed="81"/>
            <rFont val="Tahoma"/>
            <family val="2"/>
          </rPr>
          <t xml:space="preserve">
This number s/b Negative</t>
        </r>
      </text>
    </comment>
    <comment ref="F76" authorId="0" shapeId="0" xr:uid="{00000000-0006-0000-0100-000005000000}">
      <text>
        <r>
          <rPr>
            <b/>
            <sz val="9"/>
            <color indexed="81"/>
            <rFont val="Tahoma"/>
            <family val="2"/>
          </rPr>
          <t>sschmuck:</t>
        </r>
        <r>
          <rPr>
            <sz val="9"/>
            <color indexed="81"/>
            <rFont val="Tahoma"/>
            <family val="2"/>
          </rPr>
          <t xml:space="preserve">
This number s/b Negative</t>
        </r>
      </text>
    </comment>
    <comment ref="F86" authorId="0" shapeId="0" xr:uid="{00000000-0006-0000-0100-000006000000}">
      <text>
        <r>
          <rPr>
            <b/>
            <sz val="9"/>
            <color indexed="81"/>
            <rFont val="Tahoma"/>
            <family val="2"/>
          </rPr>
          <t>sschmuck:</t>
        </r>
        <r>
          <rPr>
            <sz val="9"/>
            <color indexed="81"/>
            <rFont val="Tahoma"/>
            <family val="2"/>
          </rPr>
          <t xml:space="preserve">
This number s/b Negative</t>
        </r>
      </text>
    </comment>
    <comment ref="F96" authorId="0" shapeId="0" xr:uid="{00000000-0006-0000-0100-000007000000}">
      <text>
        <r>
          <rPr>
            <b/>
            <sz val="9"/>
            <color indexed="81"/>
            <rFont val="Tahoma"/>
            <family val="2"/>
          </rPr>
          <t>sschmuck:</t>
        </r>
        <r>
          <rPr>
            <sz val="9"/>
            <color indexed="81"/>
            <rFont val="Tahoma"/>
            <family val="2"/>
          </rPr>
          <t xml:space="preserve">
This number s/b Negative</t>
        </r>
      </text>
    </comment>
    <comment ref="F106" authorId="0" shapeId="0" xr:uid="{00000000-0006-0000-0100-000008000000}">
      <text>
        <r>
          <rPr>
            <b/>
            <sz val="9"/>
            <color indexed="81"/>
            <rFont val="Tahoma"/>
            <family val="2"/>
          </rPr>
          <t>sschmuck:</t>
        </r>
        <r>
          <rPr>
            <sz val="9"/>
            <color indexed="81"/>
            <rFont val="Tahoma"/>
            <family val="2"/>
          </rPr>
          <t xml:space="preserve">
This number s/b Negative</t>
        </r>
      </text>
    </comment>
    <comment ref="F118" authorId="0" shapeId="0" xr:uid="{00000000-0006-0000-0100-000009000000}">
      <text>
        <r>
          <rPr>
            <b/>
            <sz val="9"/>
            <color indexed="81"/>
            <rFont val="Tahoma"/>
            <family val="2"/>
          </rPr>
          <t>sschmuck:</t>
        </r>
        <r>
          <rPr>
            <sz val="9"/>
            <color indexed="81"/>
            <rFont val="Tahoma"/>
            <family val="2"/>
          </rPr>
          <t xml:space="preserve">
This number s/b Negative</t>
        </r>
      </text>
    </comment>
    <comment ref="G127" authorId="1" shapeId="0" xr:uid="{00000000-0006-0000-0100-00000A000000}">
      <text>
        <r>
          <rPr>
            <b/>
            <sz val="9"/>
            <color indexed="81"/>
            <rFont val="Tahoma"/>
            <family val="2"/>
          </rPr>
          <t>Scott Schmuck:</t>
        </r>
        <r>
          <rPr>
            <sz val="9"/>
            <color indexed="81"/>
            <rFont val="Tahoma"/>
            <family val="2"/>
          </rPr>
          <t xml:space="preserve">
This is FK Director positon</t>
        </r>
      </text>
    </comment>
    <comment ref="G130" authorId="1" shapeId="0" xr:uid="{00000000-0006-0000-0100-00000B000000}">
      <text>
        <r>
          <rPr>
            <b/>
            <sz val="9"/>
            <color indexed="81"/>
            <rFont val="Tahoma"/>
            <family val="2"/>
          </rPr>
          <t>Scott Schmuck:</t>
        </r>
        <r>
          <rPr>
            <sz val="9"/>
            <color indexed="81"/>
            <rFont val="Tahoma"/>
            <family val="2"/>
          </rPr>
          <t xml:space="preserve">
This is FK Director position
</t>
        </r>
      </text>
    </comment>
    <comment ref="F138" authorId="0" shapeId="0" xr:uid="{00000000-0006-0000-0100-00000C000000}">
      <text>
        <r>
          <rPr>
            <b/>
            <sz val="9"/>
            <color indexed="81"/>
            <rFont val="Tahoma"/>
            <family val="2"/>
          </rPr>
          <t>sschmuck:</t>
        </r>
        <r>
          <rPr>
            <sz val="9"/>
            <color indexed="81"/>
            <rFont val="Tahoma"/>
            <family val="2"/>
          </rPr>
          <t xml:space="preserve">
This number s/b Negative</t>
        </r>
      </text>
    </comment>
    <comment ref="F158" authorId="0" shapeId="0" xr:uid="{00000000-0006-0000-0100-00000D000000}">
      <text>
        <r>
          <rPr>
            <b/>
            <sz val="9"/>
            <color indexed="81"/>
            <rFont val="Tahoma"/>
            <family val="2"/>
          </rPr>
          <t>sschmuck:</t>
        </r>
        <r>
          <rPr>
            <sz val="9"/>
            <color indexed="81"/>
            <rFont val="Tahoma"/>
            <family val="2"/>
          </rPr>
          <t xml:space="preserve">
This number s/b Negative</t>
        </r>
      </text>
    </comment>
    <comment ref="F168" authorId="0" shapeId="0" xr:uid="{00000000-0006-0000-0100-00000E000000}">
      <text>
        <r>
          <rPr>
            <b/>
            <sz val="9"/>
            <color indexed="81"/>
            <rFont val="Tahoma"/>
            <family val="2"/>
          </rPr>
          <t>sschmuck:</t>
        </r>
        <r>
          <rPr>
            <sz val="9"/>
            <color indexed="81"/>
            <rFont val="Tahoma"/>
            <family val="2"/>
          </rPr>
          <t xml:space="preserve">
This number s/b Negative</t>
        </r>
      </text>
    </comment>
    <comment ref="F181" authorId="0" shapeId="0" xr:uid="{00000000-0006-0000-0100-00000F000000}">
      <text>
        <r>
          <rPr>
            <b/>
            <sz val="9"/>
            <color indexed="81"/>
            <rFont val="Tahoma"/>
            <family val="2"/>
          </rPr>
          <t>sschmuck:</t>
        </r>
        <r>
          <rPr>
            <sz val="9"/>
            <color indexed="81"/>
            <rFont val="Tahoma"/>
            <family val="2"/>
          </rPr>
          <t xml:space="preserve">
This number s/b Negative</t>
        </r>
      </text>
    </comment>
    <comment ref="F191" authorId="0" shapeId="0" xr:uid="{00000000-0006-0000-0100-000010000000}">
      <text>
        <r>
          <rPr>
            <b/>
            <sz val="9"/>
            <color indexed="81"/>
            <rFont val="Tahoma"/>
            <family val="2"/>
          </rPr>
          <t>sschmuck:</t>
        </r>
        <r>
          <rPr>
            <sz val="9"/>
            <color indexed="81"/>
            <rFont val="Tahoma"/>
            <family val="2"/>
          </rPr>
          <t xml:space="preserve">
This number s/b Negative</t>
        </r>
      </text>
    </comment>
  </commentList>
</comments>
</file>

<file path=xl/sharedStrings.xml><?xml version="1.0" encoding="utf-8"?>
<sst xmlns="http://schemas.openxmlformats.org/spreadsheetml/2006/main" count="4521" uniqueCount="1138">
  <si>
    <t>807 KAR 5:071 Section 3(2)(c)  &amp; 807 KAR 5:001 Section 16(9)(t)(1-3)</t>
  </si>
  <si>
    <t>Labor</t>
  </si>
  <si>
    <t>Generally based upon estimates of how much time each employee spends working for Funds other than their home department.</t>
  </si>
  <si>
    <t>Methodology</t>
  </si>
  <si>
    <t>Commissioner</t>
  </si>
  <si>
    <t>Labor Allocation</t>
  </si>
  <si>
    <t xml:space="preserve">For Budgeting Purposes, after each employee's Labor and Benefits are calculated for the year, approved salary increases and </t>
  </si>
  <si>
    <t>known and/or projected insurance increases are then applied.  Once total Labor and Benefits are calculated, Labor is then</t>
  </si>
  <si>
    <t>allocated to each Department within each Fund based upon the allocations described above.  Once the total by Department</t>
  </si>
  <si>
    <t>for each Fund is calculated, the Percent to Total is calculated and used to Allocate actual Labor and Benefit dollars monthly.</t>
  </si>
  <si>
    <t>Capitalized</t>
  </si>
  <si>
    <t>% Labor</t>
  </si>
  <si>
    <t>Position</t>
  </si>
  <si>
    <t>Accountant</t>
  </si>
  <si>
    <t>Accounting Specialist</t>
  </si>
  <si>
    <t>Finance &amp; Accounting Mgr</t>
  </si>
  <si>
    <t>Project Coordinater</t>
  </si>
  <si>
    <t>General Manager</t>
  </si>
  <si>
    <t>GIS/Planning Specialist</t>
  </si>
  <si>
    <t>2023 Labor Allocation Methodologies:</t>
  </si>
  <si>
    <t>TITLE</t>
  </si>
  <si>
    <t>%_WAT</t>
  </si>
  <si>
    <t>%_RASAD</t>
  </si>
  <si>
    <t>%_RASCO</t>
  </si>
  <si>
    <t>%_RASWT</t>
  </si>
  <si>
    <t>%_FKSAWT</t>
  </si>
  <si>
    <t>%_FKSACO</t>
  </si>
  <si>
    <t>%_FKST</t>
  </si>
  <si>
    <t>%_FKSEWAD</t>
  </si>
  <si>
    <t>%_FKSTMAD</t>
  </si>
  <si>
    <t>%_FK  WAT</t>
  </si>
  <si>
    <t xml:space="preserve">However, some employees, such as meter readers and Customer Service Representatives (CSR's), are based upon Average Number </t>
  </si>
  <si>
    <t>Civil Engineer</t>
  </si>
  <si>
    <t>County Systems Manager</t>
  </si>
  <si>
    <t>Dist. System GIS/Planning Specialist</t>
  </si>
  <si>
    <t>Engineering Manager</t>
  </si>
  <si>
    <t>Executive Assistant</t>
  </si>
  <si>
    <t>F&amp;A/Admin Intern</t>
  </si>
  <si>
    <t>Finance &amp; Accouting Manager</t>
  </si>
  <si>
    <t>Ft. Knox Systems Director</t>
  </si>
  <si>
    <t xml:space="preserve">GIS Intern </t>
  </si>
  <si>
    <t>Human Resource Specialist</t>
  </si>
  <si>
    <t>Project Coordinator</t>
  </si>
  <si>
    <t>CSR Intern</t>
  </si>
  <si>
    <t>Customer Service Supervisor</t>
  </si>
  <si>
    <t>Customer Service Representative</t>
  </si>
  <si>
    <t>Utility Billing Specialist</t>
  </si>
  <si>
    <t>Building Attendant</t>
  </si>
  <si>
    <t>Dist Summer Intern</t>
  </si>
  <si>
    <t>Distribution Operator - I</t>
  </si>
  <si>
    <t>Distribution Operator - I - Meter Reader</t>
  </si>
  <si>
    <t>Distribution Operator - IV</t>
  </si>
  <si>
    <t>Distribution Operator - I (Tim B. old position)</t>
  </si>
  <si>
    <t>Distribution Supervisor</t>
  </si>
  <si>
    <t>Heavy Equipment Operator - IV</t>
  </si>
  <si>
    <t>Administrative Specialist</t>
  </si>
  <si>
    <t>Muldraugh WTP Supervisor</t>
  </si>
  <si>
    <t>Muldraugh WTP Operator IV</t>
  </si>
  <si>
    <t>Muldraugh WTP Operator I</t>
  </si>
  <si>
    <t>Muldraugh WTP Operator III</t>
  </si>
  <si>
    <t>WW Collection Operator III</t>
  </si>
  <si>
    <t>WW Collection Operator I</t>
  </si>
  <si>
    <t>Wastewater System Supervisor</t>
  </si>
  <si>
    <t>WWTP Operator - Class I</t>
  </si>
  <si>
    <t>WWTP Operator - Class III</t>
  </si>
  <si>
    <t>WWTP Operator - Class IV</t>
  </si>
  <si>
    <t>FK WWTP Summer Intern</t>
  </si>
  <si>
    <t>Attorney</t>
  </si>
  <si>
    <t>Maint. &amp; Controls Specialist</t>
  </si>
  <si>
    <t>Water Treatment Plant Supervisor</t>
  </si>
  <si>
    <t>WQ / Measurement Specialist</t>
  </si>
  <si>
    <t>WTP Operator - Class IV</t>
  </si>
  <si>
    <t>WTP Operator - Operator Trainee</t>
  </si>
  <si>
    <t>WTP Operator - Class III</t>
  </si>
  <si>
    <t>WTP Summer Intern</t>
  </si>
  <si>
    <t>WW Collection Operator IV</t>
  </si>
  <si>
    <t>DIV</t>
  </si>
  <si>
    <t>ADM</t>
  </si>
  <si>
    <t>COMM</t>
  </si>
  <si>
    <t>CS</t>
  </si>
  <si>
    <t>DIST</t>
  </si>
  <si>
    <t>FK WAT-Dist</t>
  </si>
  <si>
    <t>FK WAT-Treat</t>
  </si>
  <si>
    <t>FKS-Collect</t>
  </si>
  <si>
    <t>FKS-Treat</t>
  </si>
  <si>
    <t>LEG</t>
  </si>
  <si>
    <t>MAINT</t>
  </si>
  <si>
    <t>PIRTLE</t>
  </si>
  <si>
    <t>RAD-Collect</t>
  </si>
  <si>
    <t>RAD-Treat</t>
  </si>
  <si>
    <t>Allocation Method</t>
  </si>
  <si>
    <t>Total 2021 Audited Operating Expense by Fund</t>
  </si>
  <si>
    <t>upon the prior years Topics of Discussion and Motions made.  Following is a breakdown by position of how labor is Allocated:</t>
  </si>
  <si>
    <t>% of 2023 Budgeted Uses from 5-Yr 2022 Budget</t>
  </si>
  <si>
    <t>See Notes in Each Field</t>
  </si>
  <si>
    <t>Number of Board Motions Oct 2021 - Sept 2022</t>
  </si>
  <si>
    <t># of FTE's by Fund from 2022 Wage Budget Summary Tab</t>
  </si>
  <si>
    <t>2022 Operating Expense + Other Capital Uses by Fund from 5-Yr 2022 Plan</t>
  </si>
  <si>
    <t>Avgerage Total # of Bills for Co Water &amp; Radcliff Jan -  Aug 2022</t>
  </si>
  <si>
    <t>Not Funded for 2023</t>
  </si>
  <si>
    <t>Avgerage Total # of Bills for Co Water &amp; Radcliff Jan -  Aug 2022 + WAWF FK Utilities Mthly Billings</t>
  </si>
  <si>
    <t>100% Co Water per Operations Mgr</t>
  </si>
  <si>
    <t>2% Allocated for Call Outs &amp; Main Repairs, Balance to Co Water</t>
  </si>
  <si>
    <t>Avgerage Total # of Bills for Co Water &amp; Radcliff Jan -  Aug 2022 + 2% to FK Wat for Call outs/Main Rprs</t>
  </si>
  <si>
    <t>Avgerage Total # of Bills for Co Water &amp; Radcliff Jan -  Aug 2022 + 2% to FK Wat for Call outs/Main Rprs + 1% for FK Wat Meter Testing</t>
  </si>
  <si>
    <t>Based on 2021 Approved Operating Expenses for FK Utilities Only</t>
  </si>
  <si>
    <t>100 % MWTP per Operations Mgr</t>
  </si>
  <si>
    <t>100% FKWWTP per Operations Mgr</t>
  </si>
  <si>
    <t>100 % Co Water</t>
  </si>
  <si>
    <t>Engineering Mgr &amp;</t>
  </si>
  <si>
    <t xml:space="preserve">Civil Engineer Labor </t>
  </si>
  <si>
    <t>Progress Accounts (CIP) manually, they will keep track of their time spent on each project per month at which time the total Labor</t>
  </si>
  <si>
    <t>and Benefits is credited to Operation Expense and Capitalized to each CIP Projectd worked on.</t>
  </si>
  <si>
    <t>Part of eighteen (18) other employees Labor are Capitalized.  The amounts of Labor Capitalized are calculated by Department and include nine (9) Administration, one (1) Co Water Distribution, one (1) FK Water</t>
  </si>
  <si>
    <t>Distribtion, one (1) FK Water Treatment, one  (1) FK Sewer Treatment, three (3) Maintenance/Control Speacialist, one (1) Pirtle Water Treatment Plant and one (1) Radcliff Sewer employees.  The yearly amounts</t>
  </si>
  <si>
    <t>for each Department is broken down into months.  The Engineering Mgr and Civil Engineer monthly capitalized labor is subtracted from each monthly Adminstration total.  The resulting factor is then credited to</t>
  </si>
  <si>
    <t>Operations and capitalized to each CIP project that had activity  for the month.  The positions and percent of labor capitalized are as follows:</t>
  </si>
  <si>
    <t>Other Labor Capitalized</t>
  </si>
  <si>
    <t>County Systems Mgr</t>
  </si>
  <si>
    <t>General Mgr</t>
  </si>
  <si>
    <t>GIS Intern</t>
  </si>
  <si>
    <t>Co Water Distribution Spvsr</t>
  </si>
  <si>
    <t>FK Water Distribution Spvsr</t>
  </si>
  <si>
    <t>FK Sewer WW Treatment Spvsr</t>
  </si>
  <si>
    <t>Maintenance/Control Specialist</t>
  </si>
  <si>
    <t>Pirtle Water Treatment  Plant Spvsr</t>
  </si>
  <si>
    <t>Radcliff Sewer Treatment Plant Spvsr</t>
  </si>
  <si>
    <t>FK Water Muldraugh Treat Plant Spvsr</t>
  </si>
  <si>
    <t xml:space="preserve">of Bills for County Water and Radcliff Sewer(53%/47%).  The Engineering Manager &amp; Civil Engineer are 100% capitalized to each open project </t>
  </si>
  <si>
    <t xml:space="preserve">for the month by tracking the number of hours spent on overseeing these projects.  The Board of Commissioners and Legal Counsel are based </t>
  </si>
  <si>
    <t>The Engineering Mgr &amp; Civil Engineer Labor is initially coded to Operations.  Since these positions are 100% Capitalized to the Construction-in-</t>
  </si>
  <si>
    <t>Depreciation Monthly Allocation</t>
  </si>
  <si>
    <t>Depreciation Split</t>
  </si>
  <si>
    <t>Class</t>
  </si>
  <si>
    <t>Water Current Mth</t>
  </si>
  <si>
    <t>%</t>
  </si>
  <si>
    <t>Water</t>
  </si>
  <si>
    <t>Radcliff</t>
  </si>
  <si>
    <t>Ft. Knox</t>
  </si>
  <si>
    <t>Total</t>
  </si>
  <si>
    <t>AB</t>
  </si>
  <si>
    <t>AD</t>
  </si>
  <si>
    <t>AM</t>
  </si>
  <si>
    <t>FM</t>
  </si>
  <si>
    <t>GI</t>
  </si>
  <si>
    <t>GS</t>
  </si>
  <si>
    <t>MT</t>
  </si>
  <si>
    <t>PC</t>
  </si>
  <si>
    <t>Allocated Deprec Adj Entry</t>
  </si>
  <si>
    <t>AJE Needed</t>
  </si>
  <si>
    <t>Cr</t>
  </si>
  <si>
    <t>1.06.40301</t>
  </si>
  <si>
    <t>Dr</t>
  </si>
  <si>
    <t>4.06.40301</t>
  </si>
  <si>
    <t>2.00.40301</t>
  </si>
  <si>
    <t>Based on 2009 Customer Svc Spvsr &amp; Utility Billing Specialist Salary &amp; Benefits</t>
  </si>
  <si>
    <t>Based on 2009 Total Salaries &amp; Benefits All Employees</t>
  </si>
  <si>
    <t>Based on 2009 Budgeted Salaries &amp; Benefits for General Manager</t>
  </si>
  <si>
    <t>Based on Number of Billings - March 2009 Y-T-D</t>
  </si>
  <si>
    <t>Estimated usage per Operations Mgr - 2009</t>
  </si>
  <si>
    <t>Evenly split between Water &amp; Radcliff per Engineering Mgr</t>
  </si>
  <si>
    <t>Based on # of Megabites System uses per Engineering Mgr - W=344 mb; R=90mb</t>
  </si>
  <si>
    <t>Total Lrg Meters=23; 11=Meters in Radcliff (11/23 = 48%) - 2009</t>
  </si>
  <si>
    <t>Based on 2009 Budgeted Salaries &amp; Benefits for Project Coordinator</t>
  </si>
  <si>
    <t>Assets SPLIT Between Funds</t>
  </si>
  <si>
    <t>Purchase of New Assets</t>
  </si>
  <si>
    <t>After 2009/2010, if it is deemed that the purchase of a new asset should be "shared" between more than one fund,</t>
  </si>
  <si>
    <t>the purchase price of the asset is "split" between the funds and entered seperately on the depreciation schedules.</t>
  </si>
  <si>
    <t>The methodology used in determing the split of costs between funds is very similar in nature as that of the "shared</t>
  </si>
  <si>
    <t xml:space="preserve">assets" in that it is determined how much of the asset will be used in the other funds.  This may be based on the </t>
  </si>
  <si>
    <t>budgeted time of the employee using the asset, for example purchasing a new computer for Customer Service.</t>
  </si>
  <si>
    <t>Service is based on Average number of bills per the Labor Allocation.</t>
  </si>
  <si>
    <t>In this case, the asset would be "split" as follows: 53% to County Water and 47% to Radcliff Sewer as Customer</t>
  </si>
  <si>
    <t>Asset ID</t>
  </si>
  <si>
    <t>Asset Description</t>
  </si>
  <si>
    <t>Acquisition Date</t>
  </si>
  <si>
    <t>Place in Service Date</t>
  </si>
  <si>
    <t>Acquisition Cost</t>
  </si>
  <si>
    <t>Depreciation Method</t>
  </si>
  <si>
    <t>Original Life Years</t>
  </si>
  <si>
    <t>Depreciated to Date</t>
  </si>
  <si>
    <t>Current Run Depreciation Amount</t>
  </si>
  <si>
    <t>YTD Depreciation Amount</t>
  </si>
  <si>
    <t>LTD Depreciation Amount</t>
  </si>
  <si>
    <t>Net Book Value</t>
  </si>
  <si>
    <t>Asset Class ID</t>
  </si>
  <si>
    <t>Location ID</t>
  </si>
  <si>
    <t>Asset Status</t>
  </si>
  <si>
    <t>Asset Cost Account Index</t>
  </si>
  <si>
    <t>000015</t>
  </si>
  <si>
    <t>Service Center</t>
  </si>
  <si>
    <t>Straight-Line Orig Life</t>
  </si>
  <si>
    <t>1-BUILDINGS</t>
  </si>
  <si>
    <t>Active</t>
  </si>
  <si>
    <t>1.00.30400</t>
  </si>
  <si>
    <t>000025</t>
  </si>
  <si>
    <t>FlagPole</t>
  </si>
  <si>
    <t>000026</t>
  </si>
  <si>
    <t>Heat Detectors</t>
  </si>
  <si>
    <t>1-HVAC</t>
  </si>
  <si>
    <t>000029</t>
  </si>
  <si>
    <t>Re-do Restroom floors</t>
  </si>
  <si>
    <t>000031</t>
  </si>
  <si>
    <t>Ice Blockers for Service Center Roof</t>
  </si>
  <si>
    <t>1-ROOF</t>
  </si>
  <si>
    <t>000034</t>
  </si>
  <si>
    <t>3 Heat Pumps in Service Center</t>
  </si>
  <si>
    <t>000035</t>
  </si>
  <si>
    <t>Carpet &amp; Ceramic tile-40% Svc Ctr</t>
  </si>
  <si>
    <t>000048</t>
  </si>
  <si>
    <t>Vinyl Fence at Service Center</t>
  </si>
  <si>
    <t>000057</t>
  </si>
  <si>
    <t>Exterior Signs for New Parking Lot</t>
  </si>
  <si>
    <t>1-PARKING LOT</t>
  </si>
  <si>
    <t>000065</t>
  </si>
  <si>
    <t>Service Center Tile Work</t>
  </si>
  <si>
    <t>000067</t>
  </si>
  <si>
    <t>Service Center Expansion Building Const.</t>
  </si>
  <si>
    <t>000068</t>
  </si>
  <si>
    <t>Serv Cent Exp Bath, Kitchen &amp; Misc</t>
  </si>
  <si>
    <t>1-MISC BLDG IMP</t>
  </si>
  <si>
    <t>000069</t>
  </si>
  <si>
    <t>Service Center Expansion Misc Interior</t>
  </si>
  <si>
    <t>000070</t>
  </si>
  <si>
    <t>Service Center Expansion Landscaping</t>
  </si>
  <si>
    <t>1-LANDSCAPING</t>
  </si>
  <si>
    <t>000071</t>
  </si>
  <si>
    <t>Service Center Expansion Smoke Alarms</t>
  </si>
  <si>
    <t>000747</t>
  </si>
  <si>
    <t>30 Stackable Chairs</t>
  </si>
  <si>
    <t>1-FURNITURE</t>
  </si>
  <si>
    <t>1.00.34000</t>
  </si>
  <si>
    <t>000778</t>
  </si>
  <si>
    <t>Service Center Expansion Furniture &amp;</t>
  </si>
  <si>
    <t>000779</t>
  </si>
  <si>
    <t>Service Center Expansion 2 Dell</t>
  </si>
  <si>
    <t>1-COMPUTERS</t>
  </si>
  <si>
    <t>000028</t>
  </si>
  <si>
    <t>Metershop doors</t>
  </si>
  <si>
    <t>000030</t>
  </si>
  <si>
    <t>Meter Shop Air Conditioner</t>
  </si>
  <si>
    <t>000045</t>
  </si>
  <si>
    <t>FSR Office Doors</t>
  </si>
  <si>
    <t>0002578</t>
  </si>
  <si>
    <t>Meters &amp; Erts</t>
  </si>
  <si>
    <t>1-METERS</t>
  </si>
  <si>
    <t>1.00.33400</t>
  </si>
  <si>
    <t>000347</t>
  </si>
  <si>
    <t>Service Lines</t>
  </si>
  <si>
    <t>1-SVC CONNECT</t>
  </si>
  <si>
    <t>1.00.33300</t>
  </si>
  <si>
    <t>000348</t>
  </si>
  <si>
    <t>000349</t>
  </si>
  <si>
    <t>000350</t>
  </si>
  <si>
    <t>000351</t>
  </si>
  <si>
    <t>Payroll</t>
  </si>
  <si>
    <t>000352</t>
  </si>
  <si>
    <t>000353</t>
  </si>
  <si>
    <t>000354</t>
  </si>
  <si>
    <t>000355</t>
  </si>
  <si>
    <t>000356</t>
  </si>
  <si>
    <t>000357</t>
  </si>
  <si>
    <t>000358</t>
  </si>
  <si>
    <t>000359</t>
  </si>
  <si>
    <t>000360</t>
  </si>
  <si>
    <t>000361</t>
  </si>
  <si>
    <t>000362</t>
  </si>
  <si>
    <t>000363</t>
  </si>
  <si>
    <t>000364</t>
  </si>
  <si>
    <t>000365</t>
  </si>
  <si>
    <t>Capitalized Labor</t>
  </si>
  <si>
    <t>000366</t>
  </si>
  <si>
    <t>000367</t>
  </si>
  <si>
    <t>Installation Line</t>
  </si>
  <si>
    <t>000368</t>
  </si>
  <si>
    <t>000369</t>
  </si>
  <si>
    <t>000370</t>
  </si>
  <si>
    <t>000371</t>
  </si>
  <si>
    <t>000372</t>
  </si>
  <si>
    <t>000373</t>
  </si>
  <si>
    <t>000374</t>
  </si>
  <si>
    <t>000375</t>
  </si>
  <si>
    <t>000376</t>
  </si>
  <si>
    <t>Equipment</t>
  </si>
  <si>
    <t>000377</t>
  </si>
  <si>
    <t>Capitalized Payroll</t>
  </si>
  <si>
    <t>000378</t>
  </si>
  <si>
    <t>000379</t>
  </si>
  <si>
    <t>Setter &amp; Saddles</t>
  </si>
  <si>
    <t>000380</t>
  </si>
  <si>
    <t>000381</t>
  </si>
  <si>
    <t>000382</t>
  </si>
  <si>
    <t>000383</t>
  </si>
  <si>
    <t>000384</t>
  </si>
  <si>
    <t>000385</t>
  </si>
  <si>
    <t>000386</t>
  </si>
  <si>
    <t>000387</t>
  </si>
  <si>
    <t>000388</t>
  </si>
  <si>
    <t>Setters</t>
  </si>
  <si>
    <t>000389</t>
  </si>
  <si>
    <t>000390</t>
  </si>
  <si>
    <t>Valves Rings Lids</t>
  </si>
  <si>
    <t>000391</t>
  </si>
  <si>
    <t>000392</t>
  </si>
  <si>
    <t>Meter Inv Change</t>
  </si>
  <si>
    <t>000393</t>
  </si>
  <si>
    <t>000394</t>
  </si>
  <si>
    <t>000395</t>
  </si>
  <si>
    <t>Work Order 455</t>
  </si>
  <si>
    <t>000396</t>
  </si>
  <si>
    <t>Work Order 601</t>
  </si>
  <si>
    <t>000397</t>
  </si>
  <si>
    <t>Meter Lids &amp; Rings</t>
  </si>
  <si>
    <t>000398</t>
  </si>
  <si>
    <t>1500 K-Cooper</t>
  </si>
  <si>
    <t>000399</t>
  </si>
  <si>
    <t>000408</t>
  </si>
  <si>
    <t>Meter Inventory</t>
  </si>
  <si>
    <t>000412</t>
  </si>
  <si>
    <t>Inventory-1996</t>
  </si>
  <si>
    <t>000413</t>
  </si>
  <si>
    <t>Inventory Installation-1996</t>
  </si>
  <si>
    <t>000414</t>
  </si>
  <si>
    <t>000416</t>
  </si>
  <si>
    <t>Inventory-1997</t>
  </si>
  <si>
    <t>000417</t>
  </si>
  <si>
    <t>000418</t>
  </si>
  <si>
    <t>Inventory Installation-1998</t>
  </si>
  <si>
    <t>000419</t>
  </si>
  <si>
    <t>Inventory-1998</t>
  </si>
  <si>
    <t>000420</t>
  </si>
  <si>
    <t>000421</t>
  </si>
  <si>
    <t>Inventory-1999</t>
  </si>
  <si>
    <t>000423</t>
  </si>
  <si>
    <t>000424</t>
  </si>
  <si>
    <t>Inventory</t>
  </si>
  <si>
    <t>Straight-Line Rem Life</t>
  </si>
  <si>
    <t>000435</t>
  </si>
  <si>
    <t>2004 Capitalized Labor</t>
  </si>
  <si>
    <t>000436</t>
  </si>
  <si>
    <t>AMR Meters installed 2005 (1003#)</t>
  </si>
  <si>
    <t>000443</t>
  </si>
  <si>
    <t>New Service Capitalization</t>
  </si>
  <si>
    <t>000444</t>
  </si>
  <si>
    <t>000445</t>
  </si>
  <si>
    <t>000446</t>
  </si>
  <si>
    <t>000447</t>
  </si>
  <si>
    <t>000448</t>
  </si>
  <si>
    <t>000449</t>
  </si>
  <si>
    <t>000450</t>
  </si>
  <si>
    <t>000451</t>
  </si>
  <si>
    <t>000452</t>
  </si>
  <si>
    <t>Water Line Design-Horseshoe Court</t>
  </si>
  <si>
    <t>000453</t>
  </si>
  <si>
    <t>NewService Capitalization</t>
  </si>
  <si>
    <t>000454</t>
  </si>
  <si>
    <t>000455</t>
  </si>
  <si>
    <t>New Service Installations</t>
  </si>
  <si>
    <t>000456</t>
  </si>
  <si>
    <t>000457</t>
  </si>
  <si>
    <t>000458</t>
  </si>
  <si>
    <t>000459</t>
  </si>
  <si>
    <t>New Services</t>
  </si>
  <si>
    <t>000460</t>
  </si>
  <si>
    <t>New Service installations</t>
  </si>
  <si>
    <t>000462</t>
  </si>
  <si>
    <t>000463</t>
  </si>
  <si>
    <t>New Service Installation</t>
  </si>
  <si>
    <t>000464</t>
  </si>
  <si>
    <t>000465</t>
  </si>
  <si>
    <t>000466</t>
  </si>
  <si>
    <t>000467</t>
  </si>
  <si>
    <t>000468</t>
  </si>
  <si>
    <t>000469</t>
  </si>
  <si>
    <t>000470</t>
  </si>
  <si>
    <t>000471</t>
  </si>
  <si>
    <t>000472</t>
  </si>
  <si>
    <t>000473</t>
  </si>
  <si>
    <t>000474</t>
  </si>
  <si>
    <t>000475</t>
  </si>
  <si>
    <t>000476</t>
  </si>
  <si>
    <t>000477</t>
  </si>
  <si>
    <t>000478</t>
  </si>
  <si>
    <t>000479</t>
  </si>
  <si>
    <t>000480</t>
  </si>
  <si>
    <t>000481</t>
  </si>
  <si>
    <t>000482</t>
  </si>
  <si>
    <t>000483</t>
  </si>
  <si>
    <t>000484</t>
  </si>
  <si>
    <t>000485</t>
  </si>
  <si>
    <t>000486</t>
  </si>
  <si>
    <t>000487</t>
  </si>
  <si>
    <t>000488</t>
  </si>
  <si>
    <t>000490</t>
  </si>
  <si>
    <t>Sheltonwoods Service Lines</t>
  </si>
  <si>
    <t>000491</t>
  </si>
  <si>
    <t>000492</t>
  </si>
  <si>
    <t>HWY 1500 Wtr Line Relocation 1 service</t>
  </si>
  <si>
    <t>000493</t>
  </si>
  <si>
    <t>000494</t>
  </si>
  <si>
    <t>000495</t>
  </si>
  <si>
    <t>000496</t>
  </si>
  <si>
    <t>000497</t>
  </si>
  <si>
    <t>000498</t>
  </si>
  <si>
    <t>000499</t>
  </si>
  <si>
    <t>NEW SERVICE INSTALLATIONS</t>
  </si>
  <si>
    <t>000500</t>
  </si>
  <si>
    <t>000501</t>
  </si>
  <si>
    <t>000502</t>
  </si>
  <si>
    <t>000503</t>
  </si>
  <si>
    <t>000504</t>
  </si>
  <si>
    <t>000505</t>
  </si>
  <si>
    <t>000506</t>
  </si>
  <si>
    <t>000507</t>
  </si>
  <si>
    <t>HWY 1500 Relocation Service Lines</t>
  </si>
  <si>
    <t>000508</t>
  </si>
  <si>
    <t>2012 Apt Building Relocations</t>
  </si>
  <si>
    <t>000509</t>
  </si>
  <si>
    <t>000510</t>
  </si>
  <si>
    <t>000511</t>
  </si>
  <si>
    <t>000512</t>
  </si>
  <si>
    <t>000513</t>
  </si>
  <si>
    <t>000514</t>
  </si>
  <si>
    <t>000515</t>
  </si>
  <si>
    <t>000516</t>
  </si>
  <si>
    <t>000517</t>
  </si>
  <si>
    <t>New Service Installations for Wilson Rd</t>
  </si>
  <si>
    <t>000518</t>
  </si>
  <si>
    <t>000519</t>
  </si>
  <si>
    <t>New Service Installaions</t>
  </si>
  <si>
    <t>000520</t>
  </si>
  <si>
    <t>000521</t>
  </si>
  <si>
    <t>000522</t>
  </si>
  <si>
    <t>2013 Apt Building Service Line</t>
  </si>
  <si>
    <t>000523</t>
  </si>
  <si>
    <t>New Service Connections</t>
  </si>
  <si>
    <t>000524</t>
  </si>
  <si>
    <t>000525</t>
  </si>
  <si>
    <t>000526</t>
  </si>
  <si>
    <t>000527</t>
  </si>
  <si>
    <t>000528</t>
  </si>
  <si>
    <t>000529</t>
  </si>
  <si>
    <t>000532</t>
  </si>
  <si>
    <t>Meters</t>
  </si>
  <si>
    <t>000533</t>
  </si>
  <si>
    <t>000534</t>
  </si>
  <si>
    <t>000541</t>
  </si>
  <si>
    <t>Meters &amp; Labor</t>
  </si>
  <si>
    <t>000544</t>
  </si>
  <si>
    <t>Meters &amp; Services installed 2005 (275#)</t>
  </si>
  <si>
    <t>000545</t>
  </si>
  <si>
    <t>Meters Moved from NSCR Proj.</t>
  </si>
  <si>
    <t>000546</t>
  </si>
  <si>
    <t>Meters installed</t>
  </si>
  <si>
    <t>000547</t>
  </si>
  <si>
    <t>000548</t>
  </si>
  <si>
    <t>33 Meter Installations</t>
  </si>
  <si>
    <t>000549</t>
  </si>
  <si>
    <t>29 Meter Installations</t>
  </si>
  <si>
    <t>000550</t>
  </si>
  <si>
    <t>Meter installations</t>
  </si>
  <si>
    <t>000551</t>
  </si>
  <si>
    <t>000552</t>
  </si>
  <si>
    <t>000553</t>
  </si>
  <si>
    <t>000555</t>
  </si>
  <si>
    <t>000556</t>
  </si>
  <si>
    <t>Meter &amp; Service Installations</t>
  </si>
  <si>
    <t>000558</t>
  </si>
  <si>
    <t>000559</t>
  </si>
  <si>
    <t>000560</t>
  </si>
  <si>
    <t>000561</t>
  </si>
  <si>
    <t>000562</t>
  </si>
  <si>
    <t>000563</t>
  </si>
  <si>
    <t>000564</t>
  </si>
  <si>
    <t>000565</t>
  </si>
  <si>
    <t>000566</t>
  </si>
  <si>
    <t>000567</t>
  </si>
  <si>
    <t>000568</t>
  </si>
  <si>
    <t>000568B</t>
  </si>
  <si>
    <t>meters installed 12.1.2017</t>
  </si>
  <si>
    <t>000569</t>
  </si>
  <si>
    <t>000570</t>
  </si>
  <si>
    <t>000577</t>
  </si>
  <si>
    <t>Meter Installations</t>
  </si>
  <si>
    <t>000579</t>
  </si>
  <si>
    <t>000580</t>
  </si>
  <si>
    <t>000592</t>
  </si>
  <si>
    <t>Meters &amp; ERTs installed</t>
  </si>
  <si>
    <t>000593</t>
  </si>
  <si>
    <t>Meter Installation</t>
  </si>
  <si>
    <t>000596</t>
  </si>
  <si>
    <t>000597</t>
  </si>
  <si>
    <t>000598</t>
  </si>
  <si>
    <t>000599</t>
  </si>
  <si>
    <t>000602</t>
  </si>
  <si>
    <t>000605</t>
  </si>
  <si>
    <t>Radcliff Place Apts. Meter</t>
  </si>
  <si>
    <t>000607</t>
  </si>
  <si>
    <t>000608</t>
  </si>
  <si>
    <t>000609</t>
  </si>
  <si>
    <t>000610</t>
  </si>
  <si>
    <t>000611</t>
  </si>
  <si>
    <t>000612</t>
  </si>
  <si>
    <t>000613</t>
  </si>
  <si>
    <t>000614</t>
  </si>
  <si>
    <t>000615</t>
  </si>
  <si>
    <t>000621</t>
  </si>
  <si>
    <t>000627</t>
  </si>
  <si>
    <t>000628</t>
  </si>
  <si>
    <t>000629</t>
  </si>
  <si>
    <t>METERS</t>
  </si>
  <si>
    <t>000631</t>
  </si>
  <si>
    <t>000632</t>
  </si>
  <si>
    <t>000633</t>
  </si>
  <si>
    <t>000634</t>
  </si>
  <si>
    <t>000637</t>
  </si>
  <si>
    <t>000638</t>
  </si>
  <si>
    <t>Remaining Life</t>
  </si>
  <si>
    <t>000639</t>
  </si>
  <si>
    <t>000640</t>
  </si>
  <si>
    <t>000641</t>
  </si>
  <si>
    <t>000642</t>
  </si>
  <si>
    <t>000643</t>
  </si>
  <si>
    <t>000644</t>
  </si>
  <si>
    <t>000645</t>
  </si>
  <si>
    <t>Meter &amp; Ert Installations</t>
  </si>
  <si>
    <t>000646</t>
  </si>
  <si>
    <t>000647</t>
  </si>
  <si>
    <t>000648</t>
  </si>
  <si>
    <t>Meter &amp; Erts</t>
  </si>
  <si>
    <t>000740</t>
  </si>
  <si>
    <t>Furniture for C/S Manager's Office</t>
  </si>
  <si>
    <t>000742</t>
  </si>
  <si>
    <t>Credit Card Swipe / Software</t>
  </si>
  <si>
    <t>1-SOFTWARE</t>
  </si>
  <si>
    <t>000906</t>
  </si>
  <si>
    <t>AMR System purchased in 2005</t>
  </si>
  <si>
    <t>1-MISC COMM EQ</t>
  </si>
  <si>
    <t>1.00.34600</t>
  </si>
  <si>
    <t>001804</t>
  </si>
  <si>
    <t>001805</t>
  </si>
  <si>
    <t>001806</t>
  </si>
  <si>
    <t>001826</t>
  </si>
  <si>
    <t>001827</t>
  </si>
  <si>
    <t>001838</t>
  </si>
  <si>
    <t>001839</t>
  </si>
  <si>
    <t>001858</t>
  </si>
  <si>
    <t>001860</t>
  </si>
  <si>
    <t>Elm Road Service Lines</t>
  </si>
  <si>
    <t>001861</t>
  </si>
  <si>
    <t>001865</t>
  </si>
  <si>
    <t>001866</t>
  </si>
  <si>
    <t>001892</t>
  </si>
  <si>
    <t>91 New Services Spring, Blackjack, Cent</t>
  </si>
  <si>
    <t>001893</t>
  </si>
  <si>
    <t>2014 Apt Building Meter Relocations</t>
  </si>
  <si>
    <t>001894</t>
  </si>
  <si>
    <t>001908</t>
  </si>
  <si>
    <t>001916</t>
  </si>
  <si>
    <t>001917</t>
  </si>
  <si>
    <t>001941</t>
  </si>
  <si>
    <t>001942</t>
  </si>
  <si>
    <t>Meters &amp; Ert Installations</t>
  </si>
  <si>
    <t>001957</t>
  </si>
  <si>
    <t>001958</t>
  </si>
  <si>
    <t>001962</t>
  </si>
  <si>
    <t>001963</t>
  </si>
  <si>
    <t>001993</t>
  </si>
  <si>
    <t>001994</t>
  </si>
  <si>
    <t>Meters and ERTs</t>
  </si>
  <si>
    <t>001999</t>
  </si>
  <si>
    <t>002000</t>
  </si>
  <si>
    <t>Meters &amp; ERTS</t>
  </si>
  <si>
    <t>002025</t>
  </si>
  <si>
    <t>Meters &amp; ERTs</t>
  </si>
  <si>
    <t>002026</t>
  </si>
  <si>
    <t>002036</t>
  </si>
  <si>
    <t>002039</t>
  </si>
  <si>
    <t>002044</t>
  </si>
  <si>
    <t>002045</t>
  </si>
  <si>
    <t>002052</t>
  </si>
  <si>
    <t>002053</t>
  </si>
  <si>
    <t>002070</t>
  </si>
  <si>
    <t>2015 Apt Bld Meter Relocation</t>
  </si>
  <si>
    <t>002071</t>
  </si>
  <si>
    <t>002072</t>
  </si>
  <si>
    <t>Meters &amp; Ertrs</t>
  </si>
  <si>
    <t>002106</t>
  </si>
  <si>
    <t>002126</t>
  </si>
  <si>
    <t>002127</t>
  </si>
  <si>
    <t>002188</t>
  </si>
  <si>
    <t>002189</t>
  </si>
  <si>
    <t>002202</t>
  </si>
  <si>
    <t>002203</t>
  </si>
  <si>
    <t>002225</t>
  </si>
  <si>
    <t>002226</t>
  </si>
  <si>
    <t>002235</t>
  </si>
  <si>
    <t>002236</t>
  </si>
  <si>
    <t>002242</t>
  </si>
  <si>
    <t>002243</t>
  </si>
  <si>
    <t>002254</t>
  </si>
  <si>
    <t>002255</t>
  </si>
  <si>
    <t>002265</t>
  </si>
  <si>
    <t>002266</t>
  </si>
  <si>
    <t>002290</t>
  </si>
  <si>
    <t>002329</t>
  </si>
  <si>
    <t>002338</t>
  </si>
  <si>
    <t>002339</t>
  </si>
  <si>
    <t>2016 Apt Bldg Service Relocations</t>
  </si>
  <si>
    <t>002340</t>
  </si>
  <si>
    <t>002351</t>
  </si>
  <si>
    <t>002352</t>
  </si>
  <si>
    <t>002364</t>
  </si>
  <si>
    <t>002378</t>
  </si>
  <si>
    <t>002379</t>
  </si>
  <si>
    <t>002383</t>
  </si>
  <si>
    <t>002384</t>
  </si>
  <si>
    <t>002390</t>
  </si>
  <si>
    <t>002391</t>
  </si>
  <si>
    <t>4" Meter - VA Nursing Home</t>
  </si>
  <si>
    <t>002392</t>
  </si>
  <si>
    <t>002402</t>
  </si>
  <si>
    <t>002403</t>
  </si>
  <si>
    <t>002425</t>
  </si>
  <si>
    <t>002426</t>
  </si>
  <si>
    <t>002432</t>
  </si>
  <si>
    <t>002433</t>
  </si>
  <si>
    <t>002442</t>
  </si>
  <si>
    <t>002443</t>
  </si>
  <si>
    <t>002464</t>
  </si>
  <si>
    <t>Bojangles New Service Connection</t>
  </si>
  <si>
    <t>002465</t>
  </si>
  <si>
    <t>002483</t>
  </si>
  <si>
    <t>002484</t>
  </si>
  <si>
    <t>002513</t>
  </si>
  <si>
    <t>002514</t>
  </si>
  <si>
    <t>002517</t>
  </si>
  <si>
    <t>002518</t>
  </si>
  <si>
    <t>002525</t>
  </si>
  <si>
    <t>002526</t>
  </si>
  <si>
    <t>002535</t>
  </si>
  <si>
    <t>002536</t>
  </si>
  <si>
    <t>002543</t>
  </si>
  <si>
    <t>002544</t>
  </si>
  <si>
    <t>002558</t>
  </si>
  <si>
    <t>002559</t>
  </si>
  <si>
    <t>002575</t>
  </si>
  <si>
    <t>002593</t>
  </si>
  <si>
    <t>002594</t>
  </si>
  <si>
    <t>002600</t>
  </si>
  <si>
    <t>002601</t>
  </si>
  <si>
    <t>002626</t>
  </si>
  <si>
    <t>002627</t>
  </si>
  <si>
    <t>002650</t>
  </si>
  <si>
    <t>Meters/Erts</t>
  </si>
  <si>
    <t>002651</t>
  </si>
  <si>
    <t>002659</t>
  </si>
  <si>
    <t>002660</t>
  </si>
  <si>
    <t>002682</t>
  </si>
  <si>
    <t>002683</t>
  </si>
  <si>
    <t>002690</t>
  </si>
  <si>
    <t>002691</t>
  </si>
  <si>
    <t>002706</t>
  </si>
  <si>
    <t>002707</t>
  </si>
  <si>
    <t>002720</t>
  </si>
  <si>
    <t>002721</t>
  </si>
  <si>
    <t>002726</t>
  </si>
  <si>
    <t>002727</t>
  </si>
  <si>
    <t>002743</t>
  </si>
  <si>
    <t>Meters &amp; Ert's</t>
  </si>
  <si>
    <t>002766</t>
  </si>
  <si>
    <t>002767</t>
  </si>
  <si>
    <t>002777</t>
  </si>
  <si>
    <t>002778</t>
  </si>
  <si>
    <t>002792</t>
  </si>
  <si>
    <t>002793</t>
  </si>
  <si>
    <t>2019 Apt Bldg Meter Relocations</t>
  </si>
  <si>
    <t>002794</t>
  </si>
  <si>
    <t>002816</t>
  </si>
  <si>
    <t>002817</t>
  </si>
  <si>
    <t>002845</t>
  </si>
  <si>
    <t>002846</t>
  </si>
  <si>
    <t>002856</t>
  </si>
  <si>
    <t>New Service Instaallations</t>
  </si>
  <si>
    <t>002857</t>
  </si>
  <si>
    <t>002860</t>
  </si>
  <si>
    <t>002861</t>
  </si>
  <si>
    <t>002863</t>
  </si>
  <si>
    <t>HWY 144 Trans Main Phase 2</t>
  </si>
  <si>
    <t>002868</t>
  </si>
  <si>
    <t>002873</t>
  </si>
  <si>
    <t>002879</t>
  </si>
  <si>
    <t>002880</t>
  </si>
  <si>
    <t>002884</t>
  </si>
  <si>
    <t>002885</t>
  </si>
  <si>
    <t>002891</t>
  </si>
  <si>
    <t>002892</t>
  </si>
  <si>
    <t>002904</t>
  </si>
  <si>
    <t>002911</t>
  </si>
  <si>
    <t>002912</t>
  </si>
  <si>
    <t>Meters/ERTs</t>
  </si>
  <si>
    <t>002926</t>
  </si>
  <si>
    <t>002927</t>
  </si>
  <si>
    <t>2020 Apt Bldg Meter Relocation</t>
  </si>
  <si>
    <t>002928</t>
  </si>
  <si>
    <t>002929</t>
  </si>
  <si>
    <t>Fixed Based Meter Reader Phase I Meters</t>
  </si>
  <si>
    <t>002930</t>
  </si>
  <si>
    <t>Fixed Based Meter Reader Phase I Softwar</t>
  </si>
  <si>
    <t>002931</t>
  </si>
  <si>
    <t>Fixed Base Meter Reader Phase I Radios</t>
  </si>
  <si>
    <t>1-RADIOS</t>
  </si>
  <si>
    <t>002938</t>
  </si>
  <si>
    <t>002939</t>
  </si>
  <si>
    <t>002948</t>
  </si>
  <si>
    <t>002949</t>
  </si>
  <si>
    <t>002956</t>
  </si>
  <si>
    <t>002957</t>
  </si>
  <si>
    <t>002962</t>
  </si>
  <si>
    <t>002963</t>
  </si>
  <si>
    <t>002965</t>
  </si>
  <si>
    <t>002966</t>
  </si>
  <si>
    <t>002973</t>
  </si>
  <si>
    <t>002974</t>
  </si>
  <si>
    <t>002982</t>
  </si>
  <si>
    <t>002983</t>
  </si>
  <si>
    <t>002993</t>
  </si>
  <si>
    <t>002994</t>
  </si>
  <si>
    <t>002998</t>
  </si>
  <si>
    <t>002999</t>
  </si>
  <si>
    <t>New Service Intallations</t>
  </si>
  <si>
    <t>003015</t>
  </si>
  <si>
    <t>MCWD CLARKSON ROAD INTERCONNECT</t>
  </si>
  <si>
    <t>003016</t>
  </si>
  <si>
    <t>003017</t>
  </si>
  <si>
    <t>METERS &amp; ERTS</t>
  </si>
  <si>
    <t>003018</t>
  </si>
  <si>
    <t>003028</t>
  </si>
  <si>
    <t>003029</t>
  </si>
  <si>
    <t>003046</t>
  </si>
  <si>
    <t>NEW SERVICE INSTALLATION</t>
  </si>
  <si>
    <t>003047</t>
  </si>
  <si>
    <t>003064</t>
  </si>
  <si>
    <t>003065</t>
  </si>
  <si>
    <t>METERS AND ERTS</t>
  </si>
  <si>
    <t>003074</t>
  </si>
  <si>
    <t>003084</t>
  </si>
  <si>
    <t>003085</t>
  </si>
  <si>
    <t>003087</t>
  </si>
  <si>
    <t>003088</t>
  </si>
  <si>
    <t>003100</t>
  </si>
  <si>
    <t>S.Wilson &amp; Millcreek Water Line Tie In</t>
  </si>
  <si>
    <t>003101</t>
  </si>
  <si>
    <t>003102</t>
  </si>
  <si>
    <t>Meters and Erts</t>
  </si>
  <si>
    <t>003162</t>
  </si>
  <si>
    <t>003163</t>
  </si>
  <si>
    <t>NEW SERVICE &amp; INSTALLATIONS</t>
  </si>
  <si>
    <t>003164</t>
  </si>
  <si>
    <t>003165</t>
  </si>
  <si>
    <t>003187</t>
  </si>
  <si>
    <t>003188</t>
  </si>
  <si>
    <t>003202</t>
  </si>
  <si>
    <t>003203</t>
  </si>
  <si>
    <t>003212</t>
  </si>
  <si>
    <t>WEST POINT VALUATION STUDY</t>
  </si>
  <si>
    <t>003213</t>
  </si>
  <si>
    <t>003214</t>
  </si>
  <si>
    <t>003215</t>
  </si>
  <si>
    <t>2022 FIXED BASE METERS PHASE III</t>
  </si>
  <si>
    <t>003216</t>
  </si>
  <si>
    <t>2022 APT BLDG METER RELOCATION</t>
  </si>
  <si>
    <t>003233</t>
  </si>
  <si>
    <t>003234</t>
  </si>
  <si>
    <t>003242</t>
  </si>
  <si>
    <t>003243</t>
  </si>
  <si>
    <t>3" METER FOR LINCOLN TRAIL</t>
  </si>
  <si>
    <t>003244</t>
  </si>
  <si>
    <t>003249</t>
  </si>
  <si>
    <t>003250</t>
  </si>
  <si>
    <t>003255</t>
  </si>
  <si>
    <t>BATCH PAY APC SMART UPS SMT 1500C COMPUT</t>
  </si>
  <si>
    <t>003267</t>
  </si>
  <si>
    <t>003268</t>
  </si>
  <si>
    <t>003273</t>
  </si>
  <si>
    <t>003274</t>
  </si>
  <si>
    <t>003283</t>
  </si>
  <si>
    <t>003284</t>
  </si>
  <si>
    <t>003703</t>
  </si>
  <si>
    <t>006578</t>
  </si>
  <si>
    <t>006579</t>
  </si>
  <si>
    <t>006597</t>
  </si>
  <si>
    <t>006613</t>
  </si>
  <si>
    <t>006614</t>
  </si>
  <si>
    <t>Acct. Allocated to</t>
  </si>
  <si>
    <t>Water Account</t>
  </si>
  <si>
    <t>Account to Look at</t>
  </si>
  <si>
    <t>Allocation</t>
  </si>
  <si>
    <t>Based on 2023 Budgeted Wages</t>
  </si>
  <si>
    <t>Debit</t>
  </si>
  <si>
    <t>Credit</t>
  </si>
  <si>
    <t>Approved 11/17/22</t>
  </si>
  <si>
    <t>FT. KNOX SEWER</t>
  </si>
  <si>
    <t>2.00.90301</t>
  </si>
  <si>
    <t>1.04.60101</t>
  </si>
  <si>
    <t>Sal + OH  allocate to other funds</t>
  </si>
  <si>
    <t>2.00.92000</t>
  </si>
  <si>
    <t>1.06.60101</t>
  </si>
  <si>
    <t xml:space="preserve">Commissioners' Salary </t>
  </si>
  <si>
    <t>2.00.42700</t>
  </si>
  <si>
    <t>*1.06.42723</t>
  </si>
  <si>
    <t>1.06.42722</t>
  </si>
  <si>
    <t>Variable Rate Interest on Long Term Debt</t>
  </si>
  <si>
    <t>Paid Off 09/01/22</t>
  </si>
  <si>
    <t>RADCLIFF SEWER</t>
  </si>
  <si>
    <t>Distribution</t>
  </si>
  <si>
    <t>4.03.40812</t>
  </si>
  <si>
    <t>1.03.60101</t>
  </si>
  <si>
    <t>1.03.40812</t>
  </si>
  <si>
    <t>OASDI</t>
  </si>
  <si>
    <t>4.03.70100</t>
  </si>
  <si>
    <t>1.03.60100</t>
  </si>
  <si>
    <t>Salary &amp; Wages</t>
  </si>
  <si>
    <t>4.03.70101</t>
  </si>
  <si>
    <t>Salary &amp; Wages - Contra</t>
  </si>
  <si>
    <t>4.03.70102</t>
  </si>
  <si>
    <t>1.03.60102</t>
  </si>
  <si>
    <t>Overtime</t>
  </si>
  <si>
    <t>4.03.70107</t>
  </si>
  <si>
    <t>1.03.60107</t>
  </si>
  <si>
    <t>P/T Salary &amp; Wages</t>
  </si>
  <si>
    <t>4.03.70400</t>
  </si>
  <si>
    <t>1.03.60400</t>
  </si>
  <si>
    <t>Pension Expense</t>
  </si>
  <si>
    <t>4.03.70401</t>
  </si>
  <si>
    <t>1.03.60401</t>
  </si>
  <si>
    <t>Hlth, Life &amp; Disab Insurance</t>
  </si>
  <si>
    <t>4.03.70402</t>
  </si>
  <si>
    <t>1.03.60402</t>
  </si>
  <si>
    <t>Flexible Benefits</t>
  </si>
  <si>
    <t>4.03.75800</t>
  </si>
  <si>
    <t>1.03.65800</t>
  </si>
  <si>
    <t>Work Comp Expense</t>
  </si>
  <si>
    <t>Customer Service</t>
  </si>
  <si>
    <t>4.04.40812</t>
  </si>
  <si>
    <t>1.04.40812</t>
  </si>
  <si>
    <t>4.04.70100</t>
  </si>
  <si>
    <t>1.04.60100</t>
  </si>
  <si>
    <t>4.04.70101</t>
  </si>
  <si>
    <t>4.04.70102</t>
  </si>
  <si>
    <t>1.04.60102</t>
  </si>
  <si>
    <t>4.04.70107</t>
  </si>
  <si>
    <t>1.04.60107</t>
  </si>
  <si>
    <t>4.04.70400</t>
  </si>
  <si>
    <t>1.04.60400</t>
  </si>
  <si>
    <t>4.04.70401</t>
  </si>
  <si>
    <t>1.04.60401</t>
  </si>
  <si>
    <t>4.04.70402</t>
  </si>
  <si>
    <t>1.04.60402</t>
  </si>
  <si>
    <t>4.04.75800</t>
  </si>
  <si>
    <t>1.04.65800</t>
  </si>
  <si>
    <t>Maint Labor</t>
  </si>
  <si>
    <t>4.05.40812</t>
  </si>
  <si>
    <t>1.05.60101</t>
  </si>
  <si>
    <t>1.05.40812</t>
  </si>
  <si>
    <t>4.05.70100</t>
  </si>
  <si>
    <t>1.05.60100/04/05/06</t>
  </si>
  <si>
    <t>Also include Dist, C/S &amp; PWTP Maint Labor</t>
  </si>
  <si>
    <t>4.05.70101</t>
  </si>
  <si>
    <t>4.05.70102</t>
  </si>
  <si>
    <t>1.05.60102</t>
  </si>
  <si>
    <t>4.05.70400</t>
  </si>
  <si>
    <t>1.05.60400</t>
  </si>
  <si>
    <t>4.05.70401</t>
  </si>
  <si>
    <t>1.05.60401</t>
  </si>
  <si>
    <t>4.05.70402</t>
  </si>
  <si>
    <t>1.05.60402</t>
  </si>
  <si>
    <t>4.05.75800</t>
  </si>
  <si>
    <t>1.05.65800</t>
  </si>
  <si>
    <t>Admin Labor</t>
  </si>
  <si>
    <t>4.06.40812</t>
  </si>
  <si>
    <t>1.06.40812</t>
  </si>
  <si>
    <t>4.06.70100</t>
  </si>
  <si>
    <t>1.06.60100</t>
  </si>
  <si>
    <t>4.06.70101</t>
  </si>
  <si>
    <t>4.06.70102</t>
  </si>
  <si>
    <t>1.06.60102</t>
  </si>
  <si>
    <t>4.06.70107</t>
  </si>
  <si>
    <t>1.06.60107</t>
  </si>
  <si>
    <t>4.06.70400</t>
  </si>
  <si>
    <t>1.06.60400</t>
  </si>
  <si>
    <t>4.06.70401</t>
  </si>
  <si>
    <t>1.06.60401</t>
  </si>
  <si>
    <t>4.06.70402</t>
  </si>
  <si>
    <t>1.06.60402</t>
  </si>
  <si>
    <t>4.06.75800</t>
  </si>
  <si>
    <t>1.06.65800</t>
  </si>
  <si>
    <t>Commissioners Labor</t>
  </si>
  <si>
    <t>4.07.40812</t>
  </si>
  <si>
    <t>1.07.40812</t>
  </si>
  <si>
    <t>4.07.70300</t>
  </si>
  <si>
    <t>1.07.60300</t>
  </si>
  <si>
    <t>4.07.70400</t>
  </si>
  <si>
    <t>1.07.60400</t>
  </si>
  <si>
    <t>4.07.70401</t>
  </si>
  <si>
    <t>1.07.60401</t>
  </si>
  <si>
    <t>4.07.75800</t>
  </si>
  <si>
    <t>1.07.65800</t>
  </si>
  <si>
    <t>4.06.42701</t>
  </si>
  <si>
    <t>1.06.42723</t>
  </si>
  <si>
    <t>STORMWATER ALLOCATION</t>
  </si>
  <si>
    <t>3.00.92000</t>
  </si>
  <si>
    <t>3.00.90301</t>
  </si>
  <si>
    <t>FT. KNOX WATER</t>
  </si>
  <si>
    <t>5.06.60108</t>
  </si>
  <si>
    <t>Commissioners' Salary</t>
  </si>
  <si>
    <t>5.06.60109</t>
  </si>
  <si>
    <t>5.06.60110</t>
  </si>
  <si>
    <t>5.06.60111</t>
  </si>
  <si>
    <t>Add up Dept 05 Lab/Benefits</t>
  </si>
  <si>
    <t>5.06.60112</t>
  </si>
  <si>
    <t>5.06.60113</t>
  </si>
  <si>
    <t>1.02.60101</t>
  </si>
  <si>
    <t>Add up Dept 02 Lab/Benefits</t>
  </si>
  <si>
    <t>(WQS) Time</t>
  </si>
  <si>
    <t>COUNTY WATER</t>
  </si>
  <si>
    <t>5.03.60101</t>
  </si>
  <si>
    <t>5.03.40812</t>
  </si>
  <si>
    <t>Oasdi</t>
  </si>
  <si>
    <t>5.03.60100</t>
  </si>
  <si>
    <t>5.03.60102</t>
  </si>
  <si>
    <t>5.03.60400</t>
  </si>
  <si>
    <t>5.03.60401</t>
  </si>
  <si>
    <t>5.03.60402</t>
  </si>
  <si>
    <t>5.03.65800</t>
  </si>
  <si>
    <t>RADCLIFF COLLECTION</t>
  </si>
  <si>
    <t>4.02.40812</t>
  </si>
  <si>
    <t>4.02.70100</t>
  </si>
  <si>
    <t>4.02.70101</t>
  </si>
  <si>
    <t>4.02.70102</t>
  </si>
  <si>
    <t>4.02.70107</t>
  </si>
  <si>
    <t>4.02.70400</t>
  </si>
  <si>
    <t>4.02.70401</t>
  </si>
  <si>
    <t>4.02.70402</t>
  </si>
  <si>
    <t>4.02.75800</t>
  </si>
  <si>
    <t>2.03.40812</t>
  </si>
  <si>
    <t>2.03.70100</t>
  </si>
  <si>
    <t>2.03.70101</t>
  </si>
  <si>
    <t>2.03.70102</t>
  </si>
  <si>
    <t>2.03.70400</t>
  </si>
  <si>
    <t>2.03.70401</t>
  </si>
  <si>
    <t>2.03.70402</t>
  </si>
  <si>
    <t>2.03.75800</t>
  </si>
  <si>
    <t>5.06.60116</t>
  </si>
  <si>
    <t>$0 Allocated in 2023</t>
  </si>
  <si>
    <t>RADCLIFF TREATMENT</t>
  </si>
  <si>
    <t>FK SEWER ADMIN =&gt; FK STORMWATER ADMIN</t>
  </si>
  <si>
    <t>2.00.70101</t>
  </si>
  <si>
    <t>Add up FK SWR ADMIN Direct Lab/Benefits</t>
  </si>
  <si>
    <t>Sal + OH  allocate to FK STORM ADMIN</t>
  </si>
  <si>
    <t>All 2.00.40812/701XX/704XX/75800 Accts</t>
  </si>
  <si>
    <t>FK Director Position</t>
  </si>
  <si>
    <t>FK SEWER ADMIN =&gt; FK WATER ADMIN</t>
  </si>
  <si>
    <t>Not Fillled in 2023</t>
  </si>
  <si>
    <t>5.06.60115</t>
  </si>
  <si>
    <t>Sal + OH  allocate to FK WATER ADMIN</t>
  </si>
  <si>
    <t>MAINT =&gt; FT. KNOX SEWER</t>
  </si>
  <si>
    <t>2.00.71001</t>
  </si>
  <si>
    <t>Maint Sal + OH  allocate to other funds</t>
  </si>
  <si>
    <t>FK WATER =&gt; FK SEWER COLLECTIONS</t>
  </si>
  <si>
    <t>FK WATER =&gt; FK STORMWATER COLLECTIONS</t>
  </si>
  <si>
    <t>3.03.40812</t>
  </si>
  <si>
    <t>3.03.70100</t>
  </si>
  <si>
    <t>3.03.70101</t>
  </si>
  <si>
    <t>3.03.70102</t>
  </si>
  <si>
    <t>3.03.70400</t>
  </si>
  <si>
    <t>3.03.70401</t>
  </si>
  <si>
    <t>3.03.70402</t>
  </si>
  <si>
    <t>3.03.75800</t>
  </si>
  <si>
    <t>FK SEWER COLLECTIONS =&gt; RADCLIFF COLLECTIONS</t>
  </si>
  <si>
    <t>FK SEWER COLLECTIONS =&gt; FK STORMWATER COLLECTIONS</t>
  </si>
  <si>
    <t>FK SEWER COLLECTIONS =&gt; FK WATER ADMIN</t>
  </si>
  <si>
    <t>5.06.60114</t>
  </si>
  <si>
    <t>FK SEWER TREATMENT =&gt; FK SEWER COLLECTIONS</t>
  </si>
  <si>
    <t>2.02.70101</t>
  </si>
  <si>
    <t>2.02.40812</t>
  </si>
  <si>
    <t>2.02.70100</t>
  </si>
  <si>
    <t>2.02.70102</t>
  </si>
  <si>
    <t>2.02.70400</t>
  </si>
  <si>
    <t>2.02.70401</t>
  </si>
  <si>
    <t>2.02.70402</t>
  </si>
  <si>
    <t>2.02.75800</t>
  </si>
  <si>
    <t>FK SEWER TREATMENT =&gt; FK STORMWATER COLLECTIONS</t>
  </si>
  <si>
    <t>K. Horn to oversee</t>
  </si>
  <si>
    <t>Misc Repairs per</t>
  </si>
  <si>
    <t xml:space="preserve">Justin 09/23/22 on </t>
  </si>
  <si>
    <t>2023 Labor S/S</t>
  </si>
  <si>
    <t>Other Cost Allocations Methodologies</t>
  </si>
  <si>
    <t>Other Direct Costs</t>
  </si>
  <si>
    <t>After assessing that Labor, Assets and Depreciation should be shared or split between Funds, it was deteremined</t>
  </si>
  <si>
    <t>that other costs should be shared as well especially in the areas of Customer Service and Administration Costs.</t>
  </si>
  <si>
    <t>The methodology used to determine the percentage of cost to be split to other Funds is very similar to the Labor</t>
  </si>
  <si>
    <t>Allocation and Asset Allocation methodologies in that an overall average of an employees time and square footage</t>
  </si>
  <si>
    <t xml:space="preserve">of office space etc. was used to calculate some of the Allocations.  Other determing factors include the percent of </t>
  </si>
  <si>
    <t xml:space="preserve">total revenues between County Water and Radcliff Sewer, square feet of the Service Center attributable to the </t>
  </si>
  <si>
    <t>refinance of existing debt to the 2002 Variable rate debt with the Bank of New York (BoNY), etc.</t>
  </si>
  <si>
    <t>Since we have gone to a new accounting software, MicroSoft Dynamics - GP, we can automically set up allocations</t>
  </si>
  <si>
    <t>to take effect immediately by coding to a specific general ledger number.  Below are the accounts that are allocated</t>
  </si>
  <si>
    <t>and the percentages allocted to other Funds - FK Sewer, FK Storm and Radcliff Sewer along with the Allocation Method used:</t>
  </si>
  <si>
    <t>Legend</t>
  </si>
  <si>
    <t>Allocation Methodology Description</t>
  </si>
  <si>
    <t>A</t>
  </si>
  <si>
    <t>Total Personnel Costs by Utility from 2010 Budgeted Wages</t>
  </si>
  <si>
    <t>B</t>
  </si>
  <si>
    <t>% of Total Dollar Revenues Billed with $0 for FK Sewer &amp; Storm</t>
  </si>
  <si>
    <t>C</t>
  </si>
  <si>
    <t>Based upon the occupancy % of Personnel Devoted to Radcliff Swr.  This was based on</t>
  </si>
  <si>
    <t>Square Footage of Office Space and Amount of Time Employees Designate to Radcliff Swr</t>
  </si>
  <si>
    <t>D</t>
  </si>
  <si>
    <t>Total Personnel Costs for Radcliff from 2010 Budgeted Wages with Balance to County Water</t>
  </si>
  <si>
    <t>E</t>
  </si>
  <si>
    <t>Number of Meter Readers as % of Total Employees with Uniforms multiplied by number</t>
  </si>
  <si>
    <t>of Meters read by Utility, none for FK Swr &amp; Storm</t>
  </si>
  <si>
    <t>GL Account</t>
  </si>
  <si>
    <t>Account Description</t>
  </si>
  <si>
    <t>Methodolgy</t>
  </si>
  <si>
    <t>1.94.62000</t>
  </si>
  <si>
    <t>Water.Allocated C/S. Material &amp; Supplies-Misc</t>
  </si>
  <si>
    <t>1.04.62000</t>
  </si>
  <si>
    <t>County Water</t>
  </si>
  <si>
    <t>2.00.92100</t>
  </si>
  <si>
    <t>Fort Knox Sewer</t>
  </si>
  <si>
    <t>3.00.92100</t>
  </si>
  <si>
    <t>Fort Knox Storm</t>
  </si>
  <si>
    <t>4.04.92100</t>
  </si>
  <si>
    <t>Radcliff Sewer</t>
  </si>
  <si>
    <t>1.94.62300</t>
  </si>
  <si>
    <t>Water.Allocated C/S.Miscellaneous Customer Exp</t>
  </si>
  <si>
    <t>1.04.62300</t>
  </si>
  <si>
    <t>4.04.90301</t>
  </si>
  <si>
    <t>1.94.63600</t>
  </si>
  <si>
    <t>Water.Allocated C/S.Contractual Services</t>
  </si>
  <si>
    <t>1.04.63600</t>
  </si>
  <si>
    <t>4.04.92303</t>
  </si>
  <si>
    <t>1.94.63800</t>
  </si>
  <si>
    <t>Water.Allocated C/S.Bill Printing/Mailing Contract</t>
  </si>
  <si>
    <t>1.04.63800</t>
  </si>
  <si>
    <t>1.94.63900</t>
  </si>
  <si>
    <t>Water.Allocated C/S.Contracted Security Service</t>
  </si>
  <si>
    <t>1.04.63900</t>
  </si>
  <si>
    <t>1.94.67900</t>
  </si>
  <si>
    <t>Water.Allocated C/S.Cash Over/Short</t>
  </si>
  <si>
    <t>1.04.67900</t>
  </si>
  <si>
    <t>1.96.42705</t>
  </si>
  <si>
    <t>Water.Allocated Admin.Remarket &amp; Other Bond Fees</t>
  </si>
  <si>
    <t>1.06.42705</t>
  </si>
  <si>
    <t>4.06.93006</t>
  </si>
  <si>
    <t>1.96.61500</t>
  </si>
  <si>
    <t>Water.Allocated Admin.Utilities</t>
  </si>
  <si>
    <t>1.06.61500</t>
  </si>
  <si>
    <t>2.00.93004</t>
  </si>
  <si>
    <t>3.00.93004</t>
  </si>
  <si>
    <t>4.06.93004</t>
  </si>
  <si>
    <t>1.96.62000</t>
  </si>
  <si>
    <t>Water.Allocated Admin.Material &amp; Supplies - Misc</t>
  </si>
  <si>
    <t>1.06.62000</t>
  </si>
  <si>
    <t>4.06.92100</t>
  </si>
  <si>
    <t>1.96.62100</t>
  </si>
  <si>
    <t>Water.Allocated Admin.Computer Supplies</t>
  </si>
  <si>
    <t>1.06.62100</t>
  </si>
  <si>
    <t>1.96.63600</t>
  </si>
  <si>
    <t>Water.Allocated Admin.Contractual Services</t>
  </si>
  <si>
    <t>1.06.63600</t>
  </si>
  <si>
    <t>4.06.92303</t>
  </si>
  <si>
    <t>1.96.63700</t>
  </si>
  <si>
    <t>Water.Allocated Admin.Uniform Expense</t>
  </si>
  <si>
    <t>1.06.63700</t>
  </si>
  <si>
    <t>4.03.71000</t>
  </si>
  <si>
    <t>1.96.65000</t>
  </si>
  <si>
    <t>Water.Allocated Admin.Transport Fuel &amp; Repairs</t>
  </si>
  <si>
    <t>1.06.65000</t>
  </si>
  <si>
    <t>2.00.92901</t>
  </si>
  <si>
    <t>3.00.92901</t>
  </si>
  <si>
    <t>4.06.92901</t>
  </si>
  <si>
    <t>1.96.67500</t>
  </si>
  <si>
    <t>Water.Allocated Admin.Miscellaneous Expense</t>
  </si>
  <si>
    <t>1.06.67500</t>
  </si>
  <si>
    <t>1.96.67600</t>
  </si>
  <si>
    <t>Water.Allocated Admin.Phone Expense</t>
  </si>
  <si>
    <t>1.06.67600</t>
  </si>
  <si>
    <t>1.96.67700</t>
  </si>
  <si>
    <t>Water.Allocated Admin.Dues &amp; Subscriptions</t>
  </si>
  <si>
    <t>1.06.67700</t>
  </si>
  <si>
    <t>1.96.67800</t>
  </si>
  <si>
    <t>Water.Allocated Admin.Postage &amp; Mailing</t>
  </si>
  <si>
    <t>1.06.67800</t>
  </si>
  <si>
    <t>1.96.68000</t>
  </si>
  <si>
    <t>Water.Allocated Admin.Safety Expense</t>
  </si>
  <si>
    <t>1.06.68000</t>
  </si>
  <si>
    <t>1.96.68100</t>
  </si>
  <si>
    <t>Water.Allocated Admin.Information Technology Exp</t>
  </si>
  <si>
    <t>1.06.68100</t>
  </si>
  <si>
    <t>2.00.93000</t>
  </si>
  <si>
    <t>3.00.93000</t>
  </si>
  <si>
    <t>4.06.93000</t>
  </si>
  <si>
    <t>1.96.68300</t>
  </si>
  <si>
    <t>Water.Allocated Admin.Certification &amp; Training</t>
  </si>
  <si>
    <t>1.06.68300</t>
  </si>
  <si>
    <t>2.00.93005</t>
  </si>
  <si>
    <t>3.00.93005</t>
  </si>
  <si>
    <t>4.06.93005</t>
  </si>
  <si>
    <t>1.96.68400</t>
  </si>
  <si>
    <t>Water.Allocated Admin.Travel &amp; Lodging</t>
  </si>
  <si>
    <t>1.06.68400</t>
  </si>
  <si>
    <t>2.00.92900</t>
  </si>
  <si>
    <t>3.00.92900</t>
  </si>
  <si>
    <t>4.06.92900</t>
  </si>
  <si>
    <t>1.96.68500</t>
  </si>
  <si>
    <t>Water.Allocated Admin.Education &amp; Conferences</t>
  </si>
  <si>
    <t>1.06.68500</t>
  </si>
  <si>
    <t>2.00.93010</t>
  </si>
  <si>
    <t>3.00.93010</t>
  </si>
  <si>
    <t>4.06.93010</t>
  </si>
  <si>
    <t>1.97.68200</t>
  </si>
  <si>
    <t>Water.Allocated Commission.Commission Expense</t>
  </si>
  <si>
    <t>1.07.68200</t>
  </si>
  <si>
    <t>4.06.92000</t>
  </si>
  <si>
    <t>1.96.62300</t>
  </si>
  <si>
    <t>1.06.62300</t>
  </si>
  <si>
    <t>4.06.93009</t>
  </si>
  <si>
    <t>5.06.62000</t>
  </si>
  <si>
    <t>Water.Allocated Admin.Maint &amp; Repair</t>
  </si>
  <si>
    <t>FK Water</t>
  </si>
  <si>
    <t>F</t>
  </si>
  <si>
    <t>Total Personnel Costs by Utility from 2015 Budgeted Wages</t>
  </si>
  <si>
    <t xml:space="preserve">the FK Water fund gets a part of the Alloacation.  For Example, account 1.96.62000 may be be entered as 85% to 1.96.62000 and </t>
  </si>
  <si>
    <t>15% to 5.06.62000 thereby making the allocation of expense as follows:  68% to 1.06.62000, 17% to 4.06.92100 &amp; 15% to 5.06.62000, etc.</t>
  </si>
  <si>
    <t>Since the takeover of Ownership and Operation of the FK Water fund in 2012, some of the below accounts may be adjusted to ensure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</si>
</sst>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0.0%"/>
    <numFmt numFmtId="165"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b/>
      <sz val="9"/>
      <color indexed="81"/>
      <name val="Tahoma"/>
      <family val="2"/>
    </font>
    <font>
      <sz val="9"/>
      <color indexed="81"/>
      <name val="Tahoma"/>
      <family val="2"/>
    </font>
    <font>
      <sz val="9"/>
      <name val="Segoe UI"/>
      <family val="2"/>
    </font>
    <font>
      <b/>
      <sz val="9"/>
      <name val="Segoe UI"/>
      <family val="2"/>
    </font>
    <font>
      <b/>
      <u/>
      <sz val="10"/>
      <color theme="1"/>
      <name val="Arial"/>
      <family val="2"/>
    </font>
    <font>
      <b/>
      <sz val="10"/>
      <color theme="1"/>
      <name val="Arial"/>
      <family val="2"/>
    </font>
    <font>
      <sz val="11"/>
      <name val="Calibri"/>
      <family val="2"/>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lignment vertical="center"/>
    </xf>
  </cellStyleXfs>
  <cellXfs count="111">
    <xf numFmtId="0" fontId="0" fillId="0" borderId="0" xfId="0"/>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0" xfId="0" applyBorder="1" applyAlignment="1">
      <alignment horizontal="right"/>
    </xf>
    <xf numFmtId="0" fontId="0" fillId="0" borderId="3" xfId="0" applyBorder="1" applyAlignment="1">
      <alignment horizontal="center"/>
    </xf>
    <xf numFmtId="0" fontId="0" fillId="0" borderId="8" xfId="0" applyFont="1" applyBorder="1"/>
    <xf numFmtId="0" fontId="0" fillId="0" borderId="5" xfId="0" applyBorder="1" applyAlignment="1">
      <alignment horizontal="center"/>
    </xf>
    <xf numFmtId="9" fontId="0" fillId="0" borderId="15" xfId="2" applyFont="1" applyBorder="1"/>
    <xf numFmtId="0" fontId="4" fillId="0" borderId="0" xfId="0" applyFont="1" applyFill="1"/>
    <xf numFmtId="0" fontId="3" fillId="0" borderId="0" xfId="0" applyFont="1" applyFill="1"/>
    <xf numFmtId="0" fontId="3" fillId="2" borderId="0" xfId="0" applyFont="1" applyFill="1"/>
    <xf numFmtId="0" fontId="3" fillId="3" borderId="0" xfId="0" applyFont="1" applyFill="1"/>
    <xf numFmtId="0" fontId="3" fillId="4" borderId="0" xfId="0" applyFont="1" applyFill="1"/>
    <xf numFmtId="0" fontId="4" fillId="3" borderId="0" xfId="0" applyFont="1" applyFill="1"/>
    <xf numFmtId="0" fontId="3" fillId="0" borderId="0" xfId="0" applyFont="1" applyFill="1" applyAlignment="1"/>
    <xf numFmtId="0" fontId="3" fillId="2"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xf numFmtId="0" fontId="3" fillId="0" borderId="7" xfId="0" applyFont="1" applyFill="1" applyBorder="1" applyAlignment="1">
      <alignment horizontal="right"/>
    </xf>
    <xf numFmtId="164" fontId="3" fillId="0" borderId="0" xfId="0" applyNumberFormat="1" applyFont="1" applyFill="1"/>
    <xf numFmtId="164" fontId="3" fillId="0" borderId="0" xfId="2" applyNumberFormat="1" applyFont="1" applyFill="1"/>
    <xf numFmtId="164" fontId="3" fillId="0" borderId="0" xfId="0" applyNumberFormat="1" applyFont="1" applyFill="1" applyBorder="1"/>
    <xf numFmtId="0" fontId="3" fillId="0" borderId="0" xfId="0" applyFont="1" applyFill="1" applyBorder="1" applyAlignment="1">
      <alignment horizontal="left"/>
    </xf>
    <xf numFmtId="0" fontId="0" fillId="0" borderId="5" xfId="0" applyFill="1" applyBorder="1" applyAlignment="1">
      <alignment horizontal="right"/>
    </xf>
    <xf numFmtId="0" fontId="0" fillId="0" borderId="13" xfId="0" applyFill="1" applyBorder="1"/>
    <xf numFmtId="0" fontId="0" fillId="0" borderId="14" xfId="0" applyFill="1" applyBorder="1"/>
    <xf numFmtId="17" fontId="0" fillId="0" borderId="0" xfId="0" applyNumberFormat="1"/>
    <xf numFmtId="0" fontId="0" fillId="0" borderId="0" xfId="0" applyAlignment="1">
      <alignment horizontal="center"/>
    </xf>
    <xf numFmtId="0" fontId="0" fillId="0" borderId="0" xfId="0" applyAlignment="1">
      <alignment horizontal="center" wrapText="1"/>
    </xf>
    <xf numFmtId="44" fontId="0" fillId="0" borderId="0" xfId="1" applyFont="1"/>
    <xf numFmtId="9" fontId="0" fillId="0" borderId="0" xfId="0" applyNumberFormat="1"/>
    <xf numFmtId="9" fontId="0" fillId="0" borderId="0" xfId="2" applyFont="1"/>
    <xf numFmtId="44" fontId="0" fillId="0" borderId="0" xfId="0" applyNumberFormat="1"/>
    <xf numFmtId="0" fontId="0" fillId="2" borderId="0" xfId="0" applyFill="1" applyAlignment="1">
      <alignment horizontal="center" wrapText="1"/>
    </xf>
    <xf numFmtId="44" fontId="0" fillId="2" borderId="0" xfId="1" applyFont="1" applyFill="1"/>
    <xf numFmtId="44" fontId="0" fillId="2" borderId="0" xfId="0" applyNumberFormat="1" applyFill="1"/>
    <xf numFmtId="0" fontId="0" fillId="0" borderId="0" xfId="0" applyAlignment="1">
      <alignment horizontal="left"/>
    </xf>
    <xf numFmtId="0" fontId="0" fillId="0" borderId="1" xfId="0" applyBorder="1" applyAlignment="1">
      <alignment wrapText="1"/>
    </xf>
    <xf numFmtId="0" fontId="7" fillId="0" borderId="0" xfId="3">
      <alignment vertical="center"/>
    </xf>
    <xf numFmtId="165" fontId="7" fillId="0" borderId="0" xfId="3" applyNumberFormat="1">
      <alignment vertical="center"/>
    </xf>
    <xf numFmtId="14" fontId="7" fillId="0" borderId="0" xfId="3" applyNumberFormat="1" applyAlignment="1">
      <alignment vertical="center"/>
    </xf>
    <xf numFmtId="165" fontId="7" fillId="0" borderId="0" xfId="3" applyNumberFormat="1" applyAlignment="1">
      <alignment vertical="center"/>
    </xf>
    <xf numFmtId="1" fontId="7" fillId="0" borderId="0" xfId="3" applyNumberFormat="1" applyAlignment="1">
      <alignment vertical="center"/>
    </xf>
    <xf numFmtId="165" fontId="8" fillId="0" borderId="0" xfId="3" applyNumberFormat="1" applyFont="1" applyAlignment="1">
      <alignment vertical="center"/>
    </xf>
    <xf numFmtId="0" fontId="9" fillId="0" borderId="15" xfId="0" applyFont="1" applyFill="1" applyBorder="1" applyAlignment="1">
      <alignment horizontal="left"/>
    </xf>
    <xf numFmtId="0" fontId="9" fillId="0" borderId="15" xfId="0" applyFont="1" applyFill="1" applyBorder="1" applyAlignment="1">
      <alignment horizontal="center"/>
    </xf>
    <xf numFmtId="16" fontId="9" fillId="0" borderId="15" xfId="0" applyNumberFormat="1" applyFont="1" applyFill="1" applyBorder="1" applyAlignment="1">
      <alignment horizontal="center"/>
    </xf>
    <xf numFmtId="0" fontId="9" fillId="2" borderId="15" xfId="0" applyFont="1" applyFill="1" applyBorder="1" applyAlignment="1">
      <alignment horizontal="left"/>
    </xf>
    <xf numFmtId="0" fontId="9" fillId="2" borderId="15" xfId="0" applyFont="1" applyFill="1" applyBorder="1" applyAlignment="1">
      <alignment horizontal="center"/>
    </xf>
    <xf numFmtId="0" fontId="0" fillId="0" borderId="15" xfId="0" applyFill="1" applyBorder="1"/>
    <xf numFmtId="0" fontId="9" fillId="5" borderId="15" xfId="0" applyFont="1" applyFill="1" applyBorder="1" applyAlignment="1">
      <alignment horizontal="center"/>
    </xf>
    <xf numFmtId="0" fontId="0" fillId="0" borderId="15" xfId="0" applyFill="1" applyBorder="1" applyAlignment="1">
      <alignment horizontal="left"/>
    </xf>
    <xf numFmtId="0" fontId="10" fillId="0" borderId="15" xfId="0" applyFont="1" applyFill="1" applyBorder="1" applyAlignment="1">
      <alignment horizontal="left"/>
    </xf>
    <xf numFmtId="43" fontId="0" fillId="0" borderId="15" xfId="0" applyNumberFormat="1" applyFill="1" applyBorder="1"/>
    <xf numFmtId="10" fontId="0" fillId="0" borderId="15" xfId="2" applyNumberFormat="1" applyFont="1" applyFill="1" applyBorder="1"/>
    <xf numFmtId="44" fontId="0" fillId="0" borderId="15" xfId="0" applyNumberFormat="1" applyFill="1" applyBorder="1"/>
    <xf numFmtId="0" fontId="0" fillId="0" borderId="15" xfId="0" applyFill="1" applyBorder="1" applyAlignment="1">
      <alignment horizontal="center"/>
    </xf>
    <xf numFmtId="43" fontId="0" fillId="2" borderId="15" xfId="0" applyNumberFormat="1" applyFill="1" applyBorder="1"/>
    <xf numFmtId="0" fontId="0" fillId="2" borderId="15" xfId="0" applyFill="1" applyBorder="1"/>
    <xf numFmtId="0" fontId="0" fillId="0" borderId="15" xfId="0" applyBorder="1" applyAlignment="1">
      <alignment horizontal="left"/>
    </xf>
    <xf numFmtId="0" fontId="0" fillId="0" borderId="15" xfId="0" applyBorder="1"/>
    <xf numFmtId="10" fontId="0" fillId="0" borderId="15" xfId="0" applyNumberFormat="1" applyFill="1" applyBorder="1"/>
    <xf numFmtId="0" fontId="2" fillId="0" borderId="15" xfId="0" applyFont="1" applyFill="1" applyBorder="1" applyAlignment="1">
      <alignment horizontal="left"/>
    </xf>
    <xf numFmtId="43" fontId="0" fillId="0" borderId="15" xfId="0" applyNumberFormat="1" applyBorder="1"/>
    <xf numFmtId="0" fontId="10" fillId="0" borderId="15" xfId="0" applyFont="1" applyBorder="1" applyAlignment="1">
      <alignment horizontal="left"/>
    </xf>
    <xf numFmtId="9" fontId="0" fillId="0" borderId="15" xfId="2" applyFont="1" applyFill="1" applyBorder="1"/>
    <xf numFmtId="0" fontId="0" fillId="0" borderId="15" xfId="0" applyBorder="1" applyAlignment="1">
      <alignment horizontal="center"/>
    </xf>
    <xf numFmtId="0" fontId="0" fillId="0" borderId="15" xfId="0" applyFill="1" applyBorder="1" applyAlignment="1">
      <alignment horizontal="center" wrapText="1"/>
    </xf>
    <xf numFmtId="10" fontId="0" fillId="2" borderId="15" xfId="2" applyNumberFormat="1" applyFont="1" applyFill="1" applyBorder="1"/>
    <xf numFmtId="0" fontId="0" fillId="2" borderId="15" xfId="0" applyFill="1" applyBorder="1" applyAlignment="1">
      <alignment horizontal="center" wrapText="1"/>
    </xf>
    <xf numFmtId="0" fontId="0" fillId="0" borderId="0" xfId="0" applyFill="1"/>
    <xf numFmtId="0" fontId="2" fillId="0" borderId="15" xfId="0" applyFont="1" applyBorder="1" applyAlignment="1">
      <alignment horizontal="left"/>
    </xf>
    <xf numFmtId="42" fontId="11" fillId="0" borderId="0" xfId="0" applyNumberFormat="1" applyFont="1" applyFill="1" applyAlignment="1">
      <alignment horizontal="left"/>
    </xf>
    <xf numFmtId="0" fontId="0" fillId="0" borderId="1" xfId="0" applyFill="1" applyBorder="1" applyAlignment="1">
      <alignment horizontal="center"/>
    </xf>
    <xf numFmtId="0" fontId="0" fillId="0" borderId="2" xfId="0" applyFill="1" applyBorder="1"/>
    <xf numFmtId="0" fontId="0" fillId="0" borderId="6" xfId="0" applyFill="1" applyBorder="1" applyAlignment="1">
      <alignment horizontal="center"/>
    </xf>
    <xf numFmtId="0" fontId="0" fillId="0" borderId="7" xfId="0" applyFill="1" applyBorder="1"/>
    <xf numFmtId="0" fontId="0" fillId="0" borderId="11" xfId="0" applyFill="1" applyBorder="1"/>
    <xf numFmtId="0" fontId="0" fillId="0" borderId="6" xfId="0" applyBorder="1" applyAlignment="1">
      <alignment horizontal="center"/>
    </xf>
    <xf numFmtId="0" fontId="0" fillId="0" borderId="8" xfId="0" applyFill="1" applyBorder="1" applyAlignment="1">
      <alignment horizontal="center"/>
    </xf>
    <xf numFmtId="10" fontId="0" fillId="0" borderId="5" xfId="0" applyNumberFormat="1" applyBorder="1" applyAlignment="1">
      <alignment horizontal="right"/>
    </xf>
    <xf numFmtId="0" fontId="0" fillId="0" borderId="4" xfId="0" applyBorder="1" applyAlignment="1">
      <alignment horizontal="center"/>
    </xf>
    <xf numFmtId="0" fontId="0" fillId="0" borderId="4" xfId="0" applyBorder="1" applyAlignment="1"/>
    <xf numFmtId="10" fontId="0" fillId="0" borderId="8" xfId="0" applyNumberFormat="1" applyBorder="1"/>
    <xf numFmtId="10" fontId="0" fillId="0" borderId="5" xfId="0" applyNumberFormat="1" applyBorder="1"/>
    <xf numFmtId="10" fontId="0" fillId="0" borderId="6" xfId="0" applyNumberFormat="1" applyBorder="1"/>
    <xf numFmtId="0" fontId="0" fillId="0" borderId="4" xfId="0" applyFill="1" applyBorder="1" applyAlignment="1">
      <alignment horizontal="center"/>
    </xf>
    <xf numFmtId="0" fontId="0" fillId="0" borderId="4" xfId="0" applyFill="1" applyBorder="1"/>
    <xf numFmtId="0" fontId="0" fillId="0" borderId="12" xfId="0" applyFill="1" applyBorder="1"/>
    <xf numFmtId="0" fontId="0" fillId="2" borderId="9" xfId="0" applyFill="1" applyBorder="1" applyAlignment="1">
      <alignment horizontal="left" vertical="top" wrapText="1"/>
    </xf>
    <xf numFmtId="0" fontId="0" fillId="0" borderId="10" xfId="0"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2" xfId="0" applyBorder="1" applyAlignment="1"/>
    <xf numFmtId="0" fontId="0" fillId="0" borderId="3" xfId="0" applyBorder="1" applyAlignment="1"/>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oseidon\shared\Users\SSchmuck\My%20Documents\Allocations\Allocation%20Methodolog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
      <sheetName val="2012 Labor Budget Allocation"/>
      <sheetName val="2012 Labor Budget Summary"/>
      <sheetName val="Assets - Shared"/>
      <sheetName val="Deprec Allocation-Shared Assets"/>
      <sheetName val="New Assets - Split"/>
      <sheetName val="2012 Depreciation - Split Asset"/>
      <sheetName val="Other Direct Costs"/>
      <sheetName val="2012 Allocated Costs"/>
    </sheetNames>
    <sheetDataSet>
      <sheetData sheetId="0">
        <row r="1">
          <cell r="C1" t="str">
            <v>807 KAR 5:071 Section 3(2)(c)  &amp; 807 KAR 5:001 Section 16(9)(t)(1-3)</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3"/>
  <sheetViews>
    <sheetView topLeftCell="A7" zoomScaleNormal="100" workbookViewId="0">
      <selection activeCell="B2" sqref="B2"/>
    </sheetView>
  </sheetViews>
  <sheetFormatPr defaultRowHeight="15" x14ac:dyDescent="0.25"/>
  <cols>
    <col min="1" max="1" width="23.7109375" customWidth="1"/>
    <col min="2" max="2" width="34.5703125" customWidth="1"/>
    <col min="3" max="3" width="12.85546875" customWidth="1"/>
    <col min="4" max="4" width="10.140625" customWidth="1"/>
    <col min="5" max="6" width="10.42578125" customWidth="1"/>
    <col min="7" max="7" width="10.5703125" customWidth="1"/>
    <col min="8" max="8" width="11.85546875" customWidth="1"/>
    <col min="9" max="9" width="11.28515625" customWidth="1"/>
    <col min="10" max="10" width="10.140625" customWidth="1"/>
    <col min="11" max="11" width="12.7109375" customWidth="1"/>
    <col min="12" max="12" width="12.140625" customWidth="1"/>
    <col min="13" max="13" width="11" customWidth="1"/>
  </cols>
  <sheetData>
    <row r="1" spans="1:13" x14ac:dyDescent="0.25">
      <c r="A1" s="1" t="s">
        <v>19</v>
      </c>
      <c r="C1" s="1" t="s">
        <v>0</v>
      </c>
    </row>
    <row r="3" spans="1:13" x14ac:dyDescent="0.25">
      <c r="A3" s="2" t="s">
        <v>1</v>
      </c>
      <c r="B3" s="3" t="s">
        <v>2</v>
      </c>
      <c r="C3" s="3"/>
      <c r="D3" s="3"/>
      <c r="E3" s="3"/>
      <c r="F3" s="3"/>
      <c r="G3" s="3"/>
      <c r="H3" s="3"/>
      <c r="I3" s="3"/>
      <c r="J3" s="3"/>
      <c r="K3" s="4"/>
      <c r="L3" s="6"/>
      <c r="M3" s="6"/>
    </row>
    <row r="4" spans="1:13" x14ac:dyDescent="0.25">
      <c r="A4" s="5"/>
      <c r="B4" s="6" t="s">
        <v>31</v>
      </c>
      <c r="C4" s="6"/>
      <c r="D4" s="6"/>
      <c r="E4" s="6"/>
      <c r="F4" s="6"/>
      <c r="G4" s="6"/>
      <c r="H4" s="6"/>
      <c r="I4" s="6"/>
      <c r="J4" s="6"/>
      <c r="K4" s="7"/>
      <c r="L4" s="6"/>
      <c r="M4" s="6"/>
    </row>
    <row r="5" spans="1:13" x14ac:dyDescent="0.25">
      <c r="A5" s="5"/>
      <c r="B5" s="6" t="s">
        <v>128</v>
      </c>
      <c r="C5" s="6"/>
      <c r="D5" s="6"/>
      <c r="E5" s="6"/>
      <c r="F5" s="6"/>
      <c r="G5" s="6"/>
      <c r="H5" s="6"/>
      <c r="I5" s="6"/>
      <c r="J5" s="6"/>
      <c r="K5" s="7"/>
      <c r="L5" s="6"/>
      <c r="M5" s="6"/>
    </row>
    <row r="6" spans="1:13" x14ac:dyDescent="0.25">
      <c r="A6" s="5"/>
      <c r="B6" s="6" t="s">
        <v>129</v>
      </c>
      <c r="C6" s="6"/>
      <c r="D6" s="6"/>
      <c r="E6" s="6"/>
      <c r="F6" s="6"/>
      <c r="G6" s="6"/>
      <c r="H6" s="6"/>
      <c r="I6" s="6"/>
      <c r="J6" s="6"/>
      <c r="K6" s="7"/>
      <c r="L6" s="6"/>
      <c r="M6" s="6"/>
    </row>
    <row r="7" spans="1:13" x14ac:dyDescent="0.25">
      <c r="A7" s="8"/>
      <c r="B7" s="9" t="s">
        <v>92</v>
      </c>
      <c r="C7" s="9"/>
      <c r="D7" s="9"/>
      <c r="E7" s="9"/>
      <c r="F7" s="9"/>
      <c r="G7" s="9"/>
      <c r="H7" s="9"/>
      <c r="I7" s="9"/>
      <c r="J7" s="9"/>
      <c r="K7" s="10"/>
      <c r="L7" s="6"/>
      <c r="M7" s="6"/>
    </row>
    <row r="9" spans="1:13" x14ac:dyDescent="0.25">
      <c r="A9" s="32" t="s">
        <v>76</v>
      </c>
      <c r="B9" s="33" t="s">
        <v>20</v>
      </c>
      <c r="C9" s="34" t="s">
        <v>21</v>
      </c>
      <c r="D9" s="34" t="s">
        <v>22</v>
      </c>
      <c r="E9" s="34" t="s">
        <v>23</v>
      </c>
      <c r="F9" s="34" t="s">
        <v>24</v>
      </c>
      <c r="G9" s="34" t="s">
        <v>25</v>
      </c>
      <c r="H9" s="34" t="s">
        <v>26</v>
      </c>
      <c r="I9" s="34" t="s">
        <v>27</v>
      </c>
      <c r="J9" s="34" t="s">
        <v>28</v>
      </c>
      <c r="K9" s="34" t="s">
        <v>29</v>
      </c>
      <c r="L9" s="34" t="s">
        <v>30</v>
      </c>
      <c r="M9" s="38" t="s">
        <v>90</v>
      </c>
    </row>
    <row r="10" spans="1:13" x14ac:dyDescent="0.25">
      <c r="A10" s="30" t="s">
        <v>77</v>
      </c>
      <c r="B10" s="22" t="s">
        <v>13</v>
      </c>
      <c r="C10" s="35">
        <v>0.38</v>
      </c>
      <c r="D10" s="35">
        <v>0.19</v>
      </c>
      <c r="E10" s="35">
        <v>0</v>
      </c>
      <c r="F10" s="35">
        <v>0</v>
      </c>
      <c r="G10" s="35">
        <v>0</v>
      </c>
      <c r="H10" s="35">
        <v>0</v>
      </c>
      <c r="I10" s="35">
        <v>0</v>
      </c>
      <c r="J10" s="35">
        <v>0.09</v>
      </c>
      <c r="K10" s="35">
        <v>0.01</v>
      </c>
      <c r="L10" s="35">
        <f t="shared" ref="L10:L24" si="0">1-SUM(C10:K10)</f>
        <v>0.32999999999999996</v>
      </c>
      <c r="M10" t="s">
        <v>91</v>
      </c>
    </row>
    <row r="11" spans="1:13" x14ac:dyDescent="0.25">
      <c r="A11" s="30" t="s">
        <v>77</v>
      </c>
      <c r="B11" s="23" t="s">
        <v>14</v>
      </c>
      <c r="C11" s="35">
        <v>0.38</v>
      </c>
      <c r="D11" s="35">
        <v>0.19</v>
      </c>
      <c r="E11" s="35">
        <v>0</v>
      </c>
      <c r="F11" s="35">
        <v>0</v>
      </c>
      <c r="G11" s="35">
        <v>0</v>
      </c>
      <c r="H11" s="35">
        <v>0</v>
      </c>
      <c r="I11" s="35">
        <v>0</v>
      </c>
      <c r="J11" s="35">
        <v>0.09</v>
      </c>
      <c r="K11" s="35">
        <v>0.01</v>
      </c>
      <c r="L11" s="35">
        <f t="shared" ref="L11:L12" si="1">1-SUM(C11:K11)</f>
        <v>0.32999999999999996</v>
      </c>
      <c r="M11" t="s">
        <v>91</v>
      </c>
    </row>
    <row r="12" spans="1:13" x14ac:dyDescent="0.25">
      <c r="A12" s="30" t="s">
        <v>77</v>
      </c>
      <c r="B12" s="23" t="s">
        <v>14</v>
      </c>
      <c r="C12" s="35">
        <v>0.38</v>
      </c>
      <c r="D12" s="35">
        <v>0.19</v>
      </c>
      <c r="E12" s="35">
        <v>0</v>
      </c>
      <c r="F12" s="35">
        <v>0</v>
      </c>
      <c r="G12" s="35">
        <v>0</v>
      </c>
      <c r="H12" s="35">
        <v>0</v>
      </c>
      <c r="I12" s="35">
        <v>0</v>
      </c>
      <c r="J12" s="35">
        <v>0.09</v>
      </c>
      <c r="K12" s="35">
        <v>0.01</v>
      </c>
      <c r="L12" s="35">
        <f t="shared" si="1"/>
        <v>0.32999999999999996</v>
      </c>
      <c r="M12" t="s">
        <v>91</v>
      </c>
    </row>
    <row r="13" spans="1:13" x14ac:dyDescent="0.25">
      <c r="A13" s="30" t="s">
        <v>77</v>
      </c>
      <c r="B13" s="22" t="s">
        <v>32</v>
      </c>
      <c r="C13" s="35">
        <v>0.41</v>
      </c>
      <c r="D13" s="35">
        <v>0.22</v>
      </c>
      <c r="E13" s="35">
        <v>0</v>
      </c>
      <c r="F13" s="35">
        <v>0</v>
      </c>
      <c r="G13" s="35">
        <v>0</v>
      </c>
      <c r="H13" s="35">
        <v>0</v>
      </c>
      <c r="I13" s="35">
        <v>0</v>
      </c>
      <c r="J13" s="35">
        <v>0.15</v>
      </c>
      <c r="K13" s="35">
        <v>0.06</v>
      </c>
      <c r="L13" s="35">
        <f t="shared" si="0"/>
        <v>0.15999999999999992</v>
      </c>
      <c r="M13" t="s">
        <v>93</v>
      </c>
    </row>
    <row r="14" spans="1:13" x14ac:dyDescent="0.25">
      <c r="A14" s="30" t="s">
        <v>77</v>
      </c>
      <c r="B14" s="23" t="s">
        <v>33</v>
      </c>
      <c r="C14" s="35">
        <v>0.3</v>
      </c>
      <c r="D14" s="35">
        <v>0.25</v>
      </c>
      <c r="E14" s="35">
        <v>0</v>
      </c>
      <c r="F14" s="35">
        <v>0</v>
      </c>
      <c r="G14" s="35">
        <v>0</v>
      </c>
      <c r="H14" s="35">
        <v>0</v>
      </c>
      <c r="I14" s="35">
        <v>0</v>
      </c>
      <c r="J14" s="35">
        <v>0.13</v>
      </c>
      <c r="K14" s="35">
        <v>0.02</v>
      </c>
      <c r="L14" s="35">
        <f t="shared" si="0"/>
        <v>0.29999999999999993</v>
      </c>
      <c r="M14" t="s">
        <v>94</v>
      </c>
    </row>
    <row r="15" spans="1:13" x14ac:dyDescent="0.25">
      <c r="A15" s="30" t="s">
        <v>77</v>
      </c>
      <c r="B15" s="22" t="s">
        <v>34</v>
      </c>
      <c r="C15" s="35">
        <v>0.22500000000000001</v>
      </c>
      <c r="D15" s="35">
        <v>0.22500000000000001</v>
      </c>
      <c r="E15" s="35">
        <v>0</v>
      </c>
      <c r="F15" s="35">
        <v>0</v>
      </c>
      <c r="G15" s="35">
        <v>0</v>
      </c>
      <c r="H15" s="35">
        <v>0</v>
      </c>
      <c r="I15" s="35">
        <v>0</v>
      </c>
      <c r="J15" s="35">
        <v>0.22500000000000001</v>
      </c>
      <c r="K15" s="35">
        <v>0.1</v>
      </c>
      <c r="L15" s="35">
        <f t="shared" si="0"/>
        <v>0.22499999999999998</v>
      </c>
      <c r="M15" t="s">
        <v>94</v>
      </c>
    </row>
    <row r="16" spans="1:13" x14ac:dyDescent="0.25">
      <c r="A16" s="30" t="s">
        <v>77</v>
      </c>
      <c r="B16" s="23" t="s">
        <v>35</v>
      </c>
      <c r="C16" s="35">
        <v>0.41</v>
      </c>
      <c r="D16" s="35">
        <v>0.22</v>
      </c>
      <c r="E16" s="35">
        <v>0</v>
      </c>
      <c r="F16" s="35">
        <v>0</v>
      </c>
      <c r="G16" s="35">
        <v>0</v>
      </c>
      <c r="H16" s="35">
        <v>0</v>
      </c>
      <c r="I16" s="35">
        <v>0</v>
      </c>
      <c r="J16" s="35">
        <v>0.15</v>
      </c>
      <c r="K16" s="35">
        <v>0.06</v>
      </c>
      <c r="L16" s="35">
        <f t="shared" ref="L16" si="2">1-SUM(C16:K16)</f>
        <v>0.15999999999999992</v>
      </c>
      <c r="M16" t="s">
        <v>93</v>
      </c>
    </row>
    <row r="17" spans="1:13" x14ac:dyDescent="0.25">
      <c r="A17" s="30" t="s">
        <v>77</v>
      </c>
      <c r="B17" s="24" t="s">
        <v>36</v>
      </c>
      <c r="C17" s="35">
        <v>0.24</v>
      </c>
      <c r="D17" s="35">
        <v>0.24</v>
      </c>
      <c r="E17" s="35">
        <v>0</v>
      </c>
      <c r="F17" s="35">
        <v>0</v>
      </c>
      <c r="G17" s="35">
        <v>0</v>
      </c>
      <c r="H17" s="35">
        <v>0</v>
      </c>
      <c r="I17" s="35">
        <v>0</v>
      </c>
      <c r="J17" s="35">
        <v>0.19</v>
      </c>
      <c r="K17" s="35">
        <v>0.14000000000000001</v>
      </c>
      <c r="L17" s="35">
        <f t="shared" si="0"/>
        <v>0.19000000000000006</v>
      </c>
      <c r="M17" t="s">
        <v>95</v>
      </c>
    </row>
    <row r="18" spans="1:13" x14ac:dyDescent="0.25">
      <c r="A18" s="30" t="s">
        <v>77</v>
      </c>
      <c r="B18" s="25" t="s">
        <v>37</v>
      </c>
      <c r="C18" s="35">
        <v>0.38</v>
      </c>
      <c r="D18" s="35">
        <v>0.19</v>
      </c>
      <c r="E18" s="35">
        <v>0</v>
      </c>
      <c r="F18" s="35">
        <v>0</v>
      </c>
      <c r="G18" s="35">
        <v>0</v>
      </c>
      <c r="H18" s="35">
        <v>0</v>
      </c>
      <c r="I18" s="35">
        <v>0</v>
      </c>
      <c r="J18" s="35">
        <v>0.09</v>
      </c>
      <c r="K18" s="35">
        <v>0.01</v>
      </c>
      <c r="L18" s="35">
        <f t="shared" si="0"/>
        <v>0.32999999999999996</v>
      </c>
      <c r="M18" t="s">
        <v>91</v>
      </c>
    </row>
    <row r="19" spans="1:13" x14ac:dyDescent="0.25">
      <c r="A19" s="30" t="s">
        <v>77</v>
      </c>
      <c r="B19" s="23" t="s">
        <v>38</v>
      </c>
      <c r="C19" s="35">
        <v>0.38</v>
      </c>
      <c r="D19" s="35">
        <v>0.19</v>
      </c>
      <c r="E19" s="35">
        <v>0</v>
      </c>
      <c r="F19" s="35">
        <v>0</v>
      </c>
      <c r="G19" s="35">
        <v>0</v>
      </c>
      <c r="H19" s="35">
        <v>0</v>
      </c>
      <c r="I19" s="35">
        <v>0</v>
      </c>
      <c r="J19" s="35">
        <v>0.09</v>
      </c>
      <c r="K19" s="35">
        <v>0.01</v>
      </c>
      <c r="L19" s="35">
        <f t="shared" si="0"/>
        <v>0.32999999999999996</v>
      </c>
      <c r="M19" t="s">
        <v>91</v>
      </c>
    </row>
    <row r="20" spans="1:13" x14ac:dyDescent="0.25">
      <c r="A20" s="30" t="s">
        <v>77</v>
      </c>
      <c r="B20" s="26" t="s">
        <v>39</v>
      </c>
      <c r="C20" s="35">
        <v>0</v>
      </c>
      <c r="D20" s="35">
        <v>0</v>
      </c>
      <c r="E20" s="35">
        <v>0</v>
      </c>
      <c r="F20" s="35">
        <v>0</v>
      </c>
      <c r="G20" s="35">
        <v>0</v>
      </c>
      <c r="H20" s="35">
        <v>0</v>
      </c>
      <c r="I20" s="35">
        <v>0</v>
      </c>
      <c r="J20" s="35">
        <v>0.37</v>
      </c>
      <c r="K20" s="35">
        <v>0.04</v>
      </c>
      <c r="L20" s="35">
        <f t="shared" ref="L20" si="3">1-SUM(C20:K20)</f>
        <v>0.59000000000000008</v>
      </c>
      <c r="M20" t="s">
        <v>99</v>
      </c>
    </row>
    <row r="21" spans="1:13" x14ac:dyDescent="0.25">
      <c r="A21" s="30" t="s">
        <v>77</v>
      </c>
      <c r="B21" s="23" t="s">
        <v>17</v>
      </c>
      <c r="C21" s="35">
        <v>0.38</v>
      </c>
      <c r="D21" s="35">
        <v>0.19</v>
      </c>
      <c r="E21" s="35">
        <v>0</v>
      </c>
      <c r="F21" s="35">
        <v>0</v>
      </c>
      <c r="G21" s="35">
        <v>0</v>
      </c>
      <c r="H21" s="35">
        <v>0</v>
      </c>
      <c r="I21" s="35">
        <v>0</v>
      </c>
      <c r="J21" s="35">
        <v>0.09</v>
      </c>
      <c r="K21" s="35">
        <v>0.01</v>
      </c>
      <c r="L21" s="35">
        <f t="shared" ref="L21:L22" si="4">1-SUM(C21:K21)</f>
        <v>0.32999999999999996</v>
      </c>
      <c r="M21" t="s">
        <v>91</v>
      </c>
    </row>
    <row r="22" spans="1:13" x14ac:dyDescent="0.25">
      <c r="A22" s="30" t="s">
        <v>77</v>
      </c>
      <c r="B22" s="27" t="s">
        <v>40</v>
      </c>
      <c r="C22" s="35">
        <v>0.22500000000000001</v>
      </c>
      <c r="D22" s="35">
        <v>0.22500000000000001</v>
      </c>
      <c r="E22" s="35">
        <v>0</v>
      </c>
      <c r="F22" s="35">
        <v>0</v>
      </c>
      <c r="G22" s="35">
        <v>0</v>
      </c>
      <c r="H22" s="35">
        <v>0</v>
      </c>
      <c r="I22" s="35">
        <v>0</v>
      </c>
      <c r="J22" s="35">
        <v>0.22500000000000001</v>
      </c>
      <c r="K22" s="35">
        <v>0.1</v>
      </c>
      <c r="L22" s="35">
        <f t="shared" si="4"/>
        <v>0.22499999999999998</v>
      </c>
      <c r="M22" t="s">
        <v>94</v>
      </c>
    </row>
    <row r="23" spans="1:13" x14ac:dyDescent="0.25">
      <c r="A23" s="30" t="s">
        <v>77</v>
      </c>
      <c r="B23" s="23" t="s">
        <v>41</v>
      </c>
      <c r="C23" s="35">
        <v>0.34</v>
      </c>
      <c r="D23" s="35">
        <v>0.23</v>
      </c>
      <c r="E23" s="35">
        <v>0</v>
      </c>
      <c r="F23" s="35">
        <v>0</v>
      </c>
      <c r="G23" s="35">
        <v>0</v>
      </c>
      <c r="H23" s="35">
        <v>0</v>
      </c>
      <c r="I23" s="35">
        <v>0</v>
      </c>
      <c r="J23" s="35">
        <v>0.17</v>
      </c>
      <c r="K23" s="35">
        <v>0.02</v>
      </c>
      <c r="L23" s="36">
        <f t="shared" si="0"/>
        <v>0.23999999999999988</v>
      </c>
      <c r="M23" t="s">
        <v>96</v>
      </c>
    </row>
    <row r="24" spans="1:13" x14ac:dyDescent="0.25">
      <c r="A24" s="30" t="s">
        <v>77</v>
      </c>
      <c r="B24" s="23" t="s">
        <v>42</v>
      </c>
      <c r="C24" s="35">
        <v>0.3</v>
      </c>
      <c r="D24" s="35">
        <v>0.24</v>
      </c>
      <c r="E24" s="35">
        <v>0</v>
      </c>
      <c r="F24" s="35">
        <v>0</v>
      </c>
      <c r="G24" s="35">
        <v>0</v>
      </c>
      <c r="H24" s="35">
        <v>0</v>
      </c>
      <c r="I24" s="35">
        <v>0</v>
      </c>
      <c r="J24" s="35">
        <v>0.11</v>
      </c>
      <c r="K24" s="35">
        <v>0.02</v>
      </c>
      <c r="L24" s="36">
        <f t="shared" si="0"/>
        <v>0.32999999999999996</v>
      </c>
      <c r="M24" t="s">
        <v>97</v>
      </c>
    </row>
    <row r="25" spans="1:13" x14ac:dyDescent="0.25">
      <c r="A25" s="30" t="s">
        <v>78</v>
      </c>
      <c r="B25" s="23" t="s">
        <v>4</v>
      </c>
      <c r="C25" s="35">
        <v>0.24</v>
      </c>
      <c r="D25" s="35">
        <v>0.24</v>
      </c>
      <c r="E25" s="35">
        <v>0</v>
      </c>
      <c r="F25" s="35">
        <v>0</v>
      </c>
      <c r="G25" s="35">
        <v>0</v>
      </c>
      <c r="H25" s="35">
        <v>0</v>
      </c>
      <c r="I25" s="35">
        <v>0</v>
      </c>
      <c r="J25" s="35">
        <v>0.19</v>
      </c>
      <c r="K25" s="35">
        <v>0.14000000000000001</v>
      </c>
      <c r="L25" s="35">
        <f t="shared" ref="L25:L29" si="5">1-SUM(C25:K25)</f>
        <v>0.19000000000000006</v>
      </c>
      <c r="M25" t="s">
        <v>95</v>
      </c>
    </row>
    <row r="26" spans="1:13" x14ac:dyDescent="0.25">
      <c r="A26" s="30" t="s">
        <v>78</v>
      </c>
      <c r="B26" s="23" t="s">
        <v>4</v>
      </c>
      <c r="C26" s="35">
        <v>0.24</v>
      </c>
      <c r="D26" s="35">
        <v>0.24</v>
      </c>
      <c r="E26" s="35">
        <v>0</v>
      </c>
      <c r="F26" s="35">
        <v>0</v>
      </c>
      <c r="G26" s="35">
        <v>0</v>
      </c>
      <c r="H26" s="35">
        <v>0</v>
      </c>
      <c r="I26" s="35">
        <v>0</v>
      </c>
      <c r="J26" s="35">
        <v>0.19</v>
      </c>
      <c r="K26" s="35">
        <v>0.14000000000000001</v>
      </c>
      <c r="L26" s="35">
        <f t="shared" si="5"/>
        <v>0.19000000000000006</v>
      </c>
      <c r="M26" t="s">
        <v>95</v>
      </c>
    </row>
    <row r="27" spans="1:13" x14ac:dyDescent="0.25">
      <c r="A27" s="30" t="s">
        <v>78</v>
      </c>
      <c r="B27" s="23" t="s">
        <v>4</v>
      </c>
      <c r="C27" s="35">
        <v>0.24</v>
      </c>
      <c r="D27" s="35">
        <v>0.24</v>
      </c>
      <c r="E27" s="35">
        <v>0</v>
      </c>
      <c r="F27" s="35">
        <v>0</v>
      </c>
      <c r="G27" s="35">
        <v>0</v>
      </c>
      <c r="H27" s="35">
        <v>0</v>
      </c>
      <c r="I27" s="35">
        <v>0</v>
      </c>
      <c r="J27" s="35">
        <v>0.19</v>
      </c>
      <c r="K27" s="35">
        <v>0.14000000000000001</v>
      </c>
      <c r="L27" s="35">
        <f t="shared" si="5"/>
        <v>0.19000000000000006</v>
      </c>
      <c r="M27" t="s">
        <v>95</v>
      </c>
    </row>
    <row r="28" spans="1:13" x14ac:dyDescent="0.25">
      <c r="A28" s="30" t="s">
        <v>78</v>
      </c>
      <c r="B28" s="23" t="s">
        <v>4</v>
      </c>
      <c r="C28" s="35">
        <v>0.24</v>
      </c>
      <c r="D28" s="35">
        <v>0.24</v>
      </c>
      <c r="E28" s="35">
        <v>0</v>
      </c>
      <c r="F28" s="35">
        <v>0</v>
      </c>
      <c r="G28" s="35">
        <v>0</v>
      </c>
      <c r="H28" s="35">
        <v>0</v>
      </c>
      <c r="I28" s="35">
        <v>0</v>
      </c>
      <c r="J28" s="35">
        <v>0.19</v>
      </c>
      <c r="K28" s="35">
        <v>0.14000000000000001</v>
      </c>
      <c r="L28" s="35">
        <f t="shared" si="5"/>
        <v>0.19000000000000006</v>
      </c>
      <c r="M28" t="s">
        <v>95</v>
      </c>
    </row>
    <row r="29" spans="1:13" x14ac:dyDescent="0.25">
      <c r="A29" s="30" t="s">
        <v>78</v>
      </c>
      <c r="B29" s="23" t="s">
        <v>4</v>
      </c>
      <c r="C29" s="35">
        <v>0.24</v>
      </c>
      <c r="D29" s="35">
        <v>0.24</v>
      </c>
      <c r="E29" s="35">
        <v>0</v>
      </c>
      <c r="F29" s="35">
        <v>0</v>
      </c>
      <c r="G29" s="35">
        <v>0</v>
      </c>
      <c r="H29" s="35">
        <v>0</v>
      </c>
      <c r="I29" s="35">
        <v>0</v>
      </c>
      <c r="J29" s="35">
        <v>0.19</v>
      </c>
      <c r="K29" s="35">
        <v>0.14000000000000001</v>
      </c>
      <c r="L29" s="35">
        <f t="shared" si="5"/>
        <v>0.19000000000000006</v>
      </c>
      <c r="M29" t="s">
        <v>95</v>
      </c>
    </row>
    <row r="30" spans="1:13" x14ac:dyDescent="0.25">
      <c r="A30" s="30" t="s">
        <v>79</v>
      </c>
      <c r="B30" s="25" t="s">
        <v>43</v>
      </c>
      <c r="C30" s="35">
        <f t="shared" ref="C30" si="6">1-SUM(D30:L30)</f>
        <v>0.53</v>
      </c>
      <c r="D30" s="35">
        <v>0.47</v>
      </c>
      <c r="E30" s="35">
        <v>0</v>
      </c>
      <c r="F30" s="35">
        <v>0</v>
      </c>
      <c r="G30" s="35">
        <v>0</v>
      </c>
      <c r="H30" s="35">
        <v>0</v>
      </c>
      <c r="I30" s="35">
        <v>0</v>
      </c>
      <c r="J30" s="35">
        <v>0</v>
      </c>
      <c r="K30" s="35">
        <v>0</v>
      </c>
      <c r="L30" s="35">
        <v>0</v>
      </c>
      <c r="M30" t="s">
        <v>98</v>
      </c>
    </row>
    <row r="31" spans="1:13" x14ac:dyDescent="0.25">
      <c r="A31" s="30" t="s">
        <v>79</v>
      </c>
      <c r="B31" s="23" t="s">
        <v>44</v>
      </c>
      <c r="C31" s="35">
        <f>1-SUM(D31:L31)</f>
        <v>0.52</v>
      </c>
      <c r="D31" s="35">
        <v>0.45</v>
      </c>
      <c r="E31" s="35">
        <v>0</v>
      </c>
      <c r="F31" s="35">
        <v>0</v>
      </c>
      <c r="G31" s="35">
        <v>0</v>
      </c>
      <c r="H31" s="35">
        <v>0</v>
      </c>
      <c r="I31" s="35">
        <v>0</v>
      </c>
      <c r="J31" s="35">
        <v>0.01</v>
      </c>
      <c r="K31" s="35">
        <v>5.0000000000000001E-3</v>
      </c>
      <c r="L31" s="35">
        <v>1.4999999999999999E-2</v>
      </c>
      <c r="M31" t="s">
        <v>100</v>
      </c>
    </row>
    <row r="32" spans="1:13" x14ac:dyDescent="0.25">
      <c r="A32" s="30" t="s">
        <v>79</v>
      </c>
      <c r="B32" s="23" t="s">
        <v>45</v>
      </c>
      <c r="C32" s="35">
        <f t="shared" ref="C32:C36" si="7">1-SUM(D32:L32)</f>
        <v>0.53</v>
      </c>
      <c r="D32" s="35">
        <v>0.47</v>
      </c>
      <c r="E32" s="35">
        <v>0</v>
      </c>
      <c r="F32" s="35">
        <v>0</v>
      </c>
      <c r="G32" s="35">
        <v>0</v>
      </c>
      <c r="H32" s="35">
        <v>0</v>
      </c>
      <c r="I32" s="35">
        <v>0</v>
      </c>
      <c r="J32" s="35">
        <v>0</v>
      </c>
      <c r="K32" s="35">
        <v>0</v>
      </c>
      <c r="L32" s="35">
        <v>0</v>
      </c>
      <c r="M32" t="s">
        <v>98</v>
      </c>
    </row>
    <row r="33" spans="1:13" x14ac:dyDescent="0.25">
      <c r="A33" s="30" t="s">
        <v>79</v>
      </c>
      <c r="B33" s="23" t="s">
        <v>45</v>
      </c>
      <c r="C33" s="35">
        <f t="shared" si="7"/>
        <v>0.53</v>
      </c>
      <c r="D33" s="35">
        <v>0.47</v>
      </c>
      <c r="E33" s="35">
        <v>0</v>
      </c>
      <c r="F33" s="35">
        <v>0</v>
      </c>
      <c r="G33" s="35">
        <v>0</v>
      </c>
      <c r="H33" s="35">
        <v>0</v>
      </c>
      <c r="I33" s="35">
        <v>0</v>
      </c>
      <c r="J33" s="35">
        <v>0</v>
      </c>
      <c r="K33" s="35">
        <v>0</v>
      </c>
      <c r="L33" s="35">
        <v>0</v>
      </c>
      <c r="M33" t="s">
        <v>98</v>
      </c>
    </row>
    <row r="34" spans="1:13" x14ac:dyDescent="0.25">
      <c r="A34" s="30" t="s">
        <v>79</v>
      </c>
      <c r="B34" s="24" t="s">
        <v>45</v>
      </c>
      <c r="C34" s="35">
        <f t="shared" si="7"/>
        <v>0.53</v>
      </c>
      <c r="D34" s="35">
        <v>0.47</v>
      </c>
      <c r="E34" s="35">
        <v>0</v>
      </c>
      <c r="F34" s="35">
        <v>0</v>
      </c>
      <c r="G34" s="35">
        <v>0</v>
      </c>
      <c r="H34" s="35">
        <v>0</v>
      </c>
      <c r="I34" s="35">
        <v>0</v>
      </c>
      <c r="J34" s="35">
        <v>0</v>
      </c>
      <c r="K34" s="35">
        <v>0</v>
      </c>
      <c r="L34" s="35">
        <v>0</v>
      </c>
      <c r="M34" t="s">
        <v>98</v>
      </c>
    </row>
    <row r="35" spans="1:13" x14ac:dyDescent="0.25">
      <c r="A35" s="30" t="s">
        <v>79</v>
      </c>
      <c r="B35" s="26" t="s">
        <v>45</v>
      </c>
      <c r="C35" s="35">
        <f t="shared" si="7"/>
        <v>0.53</v>
      </c>
      <c r="D35" s="35">
        <v>0.47</v>
      </c>
      <c r="E35" s="35">
        <v>0</v>
      </c>
      <c r="F35" s="35">
        <v>0</v>
      </c>
      <c r="G35" s="35">
        <v>0</v>
      </c>
      <c r="H35" s="35">
        <v>0</v>
      </c>
      <c r="I35" s="35">
        <v>0</v>
      </c>
      <c r="J35" s="35">
        <v>0</v>
      </c>
      <c r="K35" s="35">
        <v>0</v>
      </c>
      <c r="L35" s="35">
        <v>0</v>
      </c>
      <c r="M35" t="s">
        <v>99</v>
      </c>
    </row>
    <row r="36" spans="1:13" x14ac:dyDescent="0.25">
      <c r="A36" s="30" t="s">
        <v>79</v>
      </c>
      <c r="B36" s="23" t="s">
        <v>45</v>
      </c>
      <c r="C36" s="35">
        <f t="shared" si="7"/>
        <v>0.53</v>
      </c>
      <c r="D36" s="35">
        <v>0.47</v>
      </c>
      <c r="E36" s="35">
        <v>0</v>
      </c>
      <c r="F36" s="35">
        <v>0</v>
      </c>
      <c r="G36" s="35">
        <v>0</v>
      </c>
      <c r="H36" s="35">
        <v>0</v>
      </c>
      <c r="I36" s="35">
        <v>0</v>
      </c>
      <c r="J36" s="35">
        <v>0</v>
      </c>
      <c r="K36" s="35">
        <v>0</v>
      </c>
      <c r="L36" s="35">
        <v>0</v>
      </c>
      <c r="M36" t="s">
        <v>98</v>
      </c>
    </row>
    <row r="37" spans="1:13" x14ac:dyDescent="0.25">
      <c r="A37" s="30" t="s">
        <v>79</v>
      </c>
      <c r="B37" s="23" t="s">
        <v>46</v>
      </c>
      <c r="C37" s="35">
        <f>1-SUM(D37:L37)</f>
        <v>0.52</v>
      </c>
      <c r="D37" s="35">
        <v>0.45</v>
      </c>
      <c r="E37" s="35">
        <v>0</v>
      </c>
      <c r="F37" s="35">
        <v>0</v>
      </c>
      <c r="G37" s="35">
        <v>0</v>
      </c>
      <c r="H37" s="35">
        <v>0</v>
      </c>
      <c r="I37" s="35">
        <v>0</v>
      </c>
      <c r="J37" s="35">
        <v>0.01</v>
      </c>
      <c r="K37" s="35">
        <v>5.0000000000000001E-3</v>
      </c>
      <c r="L37" s="35">
        <v>1.4999999999999999E-2</v>
      </c>
      <c r="M37" t="s">
        <v>100</v>
      </c>
    </row>
    <row r="38" spans="1:13" x14ac:dyDescent="0.25">
      <c r="A38" s="30" t="s">
        <v>80</v>
      </c>
      <c r="B38" s="26" t="s">
        <v>47</v>
      </c>
      <c r="C38" s="35">
        <v>0</v>
      </c>
      <c r="D38" s="35">
        <v>0</v>
      </c>
      <c r="E38" s="35">
        <v>0</v>
      </c>
      <c r="F38" s="35">
        <v>0</v>
      </c>
      <c r="G38" s="35">
        <v>0</v>
      </c>
      <c r="H38" s="35">
        <v>0</v>
      </c>
      <c r="I38" s="35">
        <v>0</v>
      </c>
      <c r="J38" s="35">
        <v>0</v>
      </c>
      <c r="K38" s="35">
        <v>0</v>
      </c>
      <c r="L38" s="35">
        <v>0</v>
      </c>
      <c r="M38" t="s">
        <v>99</v>
      </c>
    </row>
    <row r="39" spans="1:13" x14ac:dyDescent="0.25">
      <c r="A39" s="30" t="s">
        <v>80</v>
      </c>
      <c r="B39" s="25" t="s">
        <v>48</v>
      </c>
      <c r="C39" s="35">
        <v>1</v>
      </c>
      <c r="D39" s="35">
        <v>0</v>
      </c>
      <c r="E39" s="35">
        <v>0</v>
      </c>
      <c r="F39" s="35">
        <v>0</v>
      </c>
      <c r="G39" s="35">
        <v>0</v>
      </c>
      <c r="H39" s="35">
        <v>0</v>
      </c>
      <c r="I39" s="35">
        <v>0</v>
      </c>
      <c r="J39" s="35">
        <v>0</v>
      </c>
      <c r="K39" s="35">
        <v>0</v>
      </c>
      <c r="L39" s="35">
        <f>1-SUM(C39:K39)</f>
        <v>0</v>
      </c>
      <c r="M39" t="s">
        <v>101</v>
      </c>
    </row>
    <row r="40" spans="1:13" x14ac:dyDescent="0.25">
      <c r="A40" s="30" t="s">
        <v>80</v>
      </c>
      <c r="B40" s="23" t="s">
        <v>49</v>
      </c>
      <c r="C40" s="35">
        <f>1-SUM(D40:L40)</f>
        <v>0.98</v>
      </c>
      <c r="D40" s="35">
        <v>0</v>
      </c>
      <c r="E40" s="35">
        <v>0</v>
      </c>
      <c r="F40" s="35">
        <v>0</v>
      </c>
      <c r="G40" s="35">
        <v>0</v>
      </c>
      <c r="H40" s="35">
        <v>0</v>
      </c>
      <c r="I40" s="35">
        <v>0</v>
      </c>
      <c r="J40" s="35">
        <v>0</v>
      </c>
      <c r="K40" s="35">
        <v>0</v>
      </c>
      <c r="L40" s="35">
        <v>0.02</v>
      </c>
      <c r="M40" t="s">
        <v>102</v>
      </c>
    </row>
    <row r="41" spans="1:13" x14ac:dyDescent="0.25">
      <c r="A41" s="30" t="s">
        <v>80</v>
      </c>
      <c r="B41" s="23" t="s">
        <v>50</v>
      </c>
      <c r="C41" s="35">
        <f t="shared" ref="C41" si="8">1-SUM(D41:L41)</f>
        <v>0.52</v>
      </c>
      <c r="D41" s="35">
        <v>0.46</v>
      </c>
      <c r="E41" s="35">
        <v>0</v>
      </c>
      <c r="F41" s="35">
        <v>0</v>
      </c>
      <c r="G41" s="35">
        <v>0</v>
      </c>
      <c r="H41" s="35">
        <v>0</v>
      </c>
      <c r="I41" s="35">
        <v>0</v>
      </c>
      <c r="J41" s="35">
        <v>0</v>
      </c>
      <c r="K41" s="35">
        <v>0</v>
      </c>
      <c r="L41" s="35">
        <v>0.02</v>
      </c>
      <c r="M41" t="s">
        <v>103</v>
      </c>
    </row>
    <row r="42" spans="1:13" x14ac:dyDescent="0.25">
      <c r="A42" s="30" t="s">
        <v>80</v>
      </c>
      <c r="B42" s="23" t="s">
        <v>50</v>
      </c>
      <c r="C42" s="35">
        <f t="shared" ref="C42" si="9">1-SUM(D42:L42)</f>
        <v>0.52</v>
      </c>
      <c r="D42" s="35">
        <v>0.46</v>
      </c>
      <c r="E42" s="35">
        <v>0</v>
      </c>
      <c r="F42" s="35">
        <v>0</v>
      </c>
      <c r="G42" s="35">
        <v>0</v>
      </c>
      <c r="H42" s="35">
        <v>0</v>
      </c>
      <c r="I42" s="35">
        <v>0</v>
      </c>
      <c r="J42" s="35">
        <v>0</v>
      </c>
      <c r="K42" s="35">
        <v>0</v>
      </c>
      <c r="L42" s="35">
        <v>0.02</v>
      </c>
      <c r="M42" t="s">
        <v>103</v>
      </c>
    </row>
    <row r="43" spans="1:13" x14ac:dyDescent="0.25">
      <c r="A43" s="30" t="s">
        <v>80</v>
      </c>
      <c r="B43" s="23" t="s">
        <v>51</v>
      </c>
      <c r="C43" s="35">
        <f t="shared" ref="C43" si="10">1-SUM(D43:L43)</f>
        <v>0.51</v>
      </c>
      <c r="D43" s="35">
        <v>0.46</v>
      </c>
      <c r="E43" s="35">
        <v>0</v>
      </c>
      <c r="F43" s="35">
        <v>0</v>
      </c>
      <c r="G43" s="35">
        <v>0</v>
      </c>
      <c r="H43" s="35">
        <v>0</v>
      </c>
      <c r="I43" s="35">
        <v>0</v>
      </c>
      <c r="J43" s="35">
        <v>0</v>
      </c>
      <c r="K43" s="35">
        <v>0</v>
      </c>
      <c r="L43" s="35">
        <v>0.03</v>
      </c>
      <c r="M43" t="s">
        <v>104</v>
      </c>
    </row>
    <row r="44" spans="1:13" x14ac:dyDescent="0.25">
      <c r="A44" s="30" t="s">
        <v>80</v>
      </c>
      <c r="B44" s="23" t="s">
        <v>50</v>
      </c>
      <c r="C44" s="35">
        <f t="shared" ref="C44" si="11">1-SUM(D44:L44)</f>
        <v>0.52</v>
      </c>
      <c r="D44" s="35">
        <v>0.46</v>
      </c>
      <c r="E44" s="35">
        <v>0</v>
      </c>
      <c r="F44" s="35">
        <v>0</v>
      </c>
      <c r="G44" s="35">
        <v>0</v>
      </c>
      <c r="H44" s="35">
        <v>0</v>
      </c>
      <c r="I44" s="35">
        <v>0</v>
      </c>
      <c r="J44" s="35">
        <v>0</v>
      </c>
      <c r="K44" s="35">
        <v>0</v>
      </c>
      <c r="L44" s="35">
        <v>0.02</v>
      </c>
      <c r="M44" t="s">
        <v>103</v>
      </c>
    </row>
    <row r="45" spans="1:13" x14ac:dyDescent="0.25">
      <c r="A45" s="30" t="s">
        <v>80</v>
      </c>
      <c r="B45" s="23" t="s">
        <v>51</v>
      </c>
      <c r="C45" s="35">
        <f t="shared" ref="C45:C47" si="12">1-SUM(D45:L45)</f>
        <v>0.51</v>
      </c>
      <c r="D45" s="35">
        <v>0.46</v>
      </c>
      <c r="E45" s="35">
        <v>0</v>
      </c>
      <c r="F45" s="35">
        <v>0</v>
      </c>
      <c r="G45" s="35">
        <v>0</v>
      </c>
      <c r="H45" s="35">
        <v>0</v>
      </c>
      <c r="I45" s="35">
        <v>0</v>
      </c>
      <c r="J45" s="35">
        <v>0</v>
      </c>
      <c r="K45" s="35">
        <v>0</v>
      </c>
      <c r="L45" s="35">
        <v>0.03</v>
      </c>
      <c r="M45" t="s">
        <v>104</v>
      </c>
    </row>
    <row r="46" spans="1:13" x14ac:dyDescent="0.25">
      <c r="A46" s="30" t="s">
        <v>80</v>
      </c>
      <c r="B46" s="24" t="s">
        <v>52</v>
      </c>
      <c r="C46" s="35">
        <f t="shared" si="12"/>
        <v>0.98</v>
      </c>
      <c r="D46" s="35">
        <v>0</v>
      </c>
      <c r="E46" s="35">
        <v>0</v>
      </c>
      <c r="F46" s="35">
        <v>0</v>
      </c>
      <c r="G46" s="35">
        <v>0</v>
      </c>
      <c r="H46" s="35">
        <v>0</v>
      </c>
      <c r="I46" s="35">
        <v>0</v>
      </c>
      <c r="J46" s="35">
        <v>0</v>
      </c>
      <c r="K46" s="35">
        <v>0</v>
      </c>
      <c r="L46" s="35">
        <v>0.02</v>
      </c>
      <c r="M46" t="s">
        <v>102</v>
      </c>
    </row>
    <row r="47" spans="1:13" x14ac:dyDescent="0.25">
      <c r="A47" s="30" t="s">
        <v>80</v>
      </c>
      <c r="B47" s="23" t="s">
        <v>49</v>
      </c>
      <c r="C47" s="35">
        <f t="shared" si="12"/>
        <v>0.98</v>
      </c>
      <c r="D47" s="35">
        <v>0</v>
      </c>
      <c r="E47" s="35">
        <v>0</v>
      </c>
      <c r="F47" s="35">
        <v>0</v>
      </c>
      <c r="G47" s="35">
        <v>0</v>
      </c>
      <c r="H47" s="35">
        <v>0</v>
      </c>
      <c r="I47" s="35">
        <v>0</v>
      </c>
      <c r="J47" s="35">
        <v>0</v>
      </c>
      <c r="K47" s="35">
        <v>0</v>
      </c>
      <c r="L47" s="35">
        <v>0.02</v>
      </c>
      <c r="M47" t="s">
        <v>102</v>
      </c>
    </row>
    <row r="48" spans="1:13" x14ac:dyDescent="0.25">
      <c r="A48" s="30" t="s">
        <v>80</v>
      </c>
      <c r="B48" s="23" t="s">
        <v>53</v>
      </c>
      <c r="C48" s="35">
        <v>1</v>
      </c>
      <c r="D48" s="35">
        <v>0</v>
      </c>
      <c r="E48" s="35">
        <v>0</v>
      </c>
      <c r="F48" s="35">
        <v>0</v>
      </c>
      <c r="G48" s="35">
        <v>0</v>
      </c>
      <c r="H48" s="35">
        <v>0</v>
      </c>
      <c r="I48" s="35">
        <v>0</v>
      </c>
      <c r="J48" s="35">
        <v>0</v>
      </c>
      <c r="K48" s="35">
        <v>0</v>
      </c>
      <c r="L48" s="35">
        <f>1-SUM(C48:K48)</f>
        <v>0</v>
      </c>
      <c r="M48" t="s">
        <v>101</v>
      </c>
    </row>
    <row r="49" spans="1:13" x14ac:dyDescent="0.25">
      <c r="A49" s="30" t="s">
        <v>80</v>
      </c>
      <c r="B49" s="23" t="s">
        <v>54</v>
      </c>
      <c r="C49" s="35">
        <f t="shared" ref="C49:C50" si="13">1-SUM(D49:L49)</f>
        <v>0.98</v>
      </c>
      <c r="D49" s="35">
        <v>0</v>
      </c>
      <c r="E49" s="35">
        <v>0</v>
      </c>
      <c r="F49" s="35">
        <v>0</v>
      </c>
      <c r="G49" s="35">
        <v>0</v>
      </c>
      <c r="H49" s="35">
        <v>0</v>
      </c>
      <c r="I49" s="35">
        <v>0</v>
      </c>
      <c r="J49" s="35">
        <v>0</v>
      </c>
      <c r="K49" s="35">
        <v>0</v>
      </c>
      <c r="L49" s="35">
        <v>0.02</v>
      </c>
      <c r="M49" t="s">
        <v>102</v>
      </c>
    </row>
    <row r="50" spans="1:13" x14ac:dyDescent="0.25">
      <c r="A50" s="30" t="s">
        <v>80</v>
      </c>
      <c r="B50" s="23" t="s">
        <v>54</v>
      </c>
      <c r="C50" s="35">
        <f t="shared" si="13"/>
        <v>0.98</v>
      </c>
      <c r="D50" s="35">
        <v>0</v>
      </c>
      <c r="E50" s="35">
        <v>0</v>
      </c>
      <c r="F50" s="35">
        <v>0</v>
      </c>
      <c r="G50" s="35">
        <v>0</v>
      </c>
      <c r="H50" s="35">
        <v>0</v>
      </c>
      <c r="I50" s="35">
        <v>0</v>
      </c>
      <c r="J50" s="35">
        <v>0</v>
      </c>
      <c r="K50" s="35">
        <v>0</v>
      </c>
      <c r="L50" s="35">
        <v>0.02</v>
      </c>
      <c r="M50" t="s">
        <v>102</v>
      </c>
    </row>
    <row r="51" spans="1:13" x14ac:dyDescent="0.25">
      <c r="A51" s="30" t="s">
        <v>81</v>
      </c>
      <c r="B51" s="24" t="s">
        <v>49</v>
      </c>
      <c r="C51" s="35">
        <v>0.02</v>
      </c>
      <c r="D51" s="35">
        <v>0</v>
      </c>
      <c r="E51" s="35">
        <v>0</v>
      </c>
      <c r="F51" s="35">
        <v>0</v>
      </c>
      <c r="G51" s="35">
        <v>0</v>
      </c>
      <c r="H51" s="35">
        <v>0.02</v>
      </c>
      <c r="I51" s="35">
        <v>0.02</v>
      </c>
      <c r="J51" s="35">
        <v>0</v>
      </c>
      <c r="K51" s="35">
        <v>0</v>
      </c>
      <c r="L51" s="35">
        <f t="shared" ref="L51:L72" si="14">1-SUM(C51:K51)</f>
        <v>0.94</v>
      </c>
      <c r="M51" t="s">
        <v>94</v>
      </c>
    </row>
    <row r="52" spans="1:13" x14ac:dyDescent="0.25">
      <c r="A52" s="30" t="s">
        <v>81</v>
      </c>
      <c r="B52" s="23" t="s">
        <v>51</v>
      </c>
      <c r="C52" s="35">
        <v>0.02</v>
      </c>
      <c r="D52" s="35">
        <v>0</v>
      </c>
      <c r="E52" s="35">
        <v>0</v>
      </c>
      <c r="F52" s="35">
        <v>0</v>
      </c>
      <c r="G52" s="35">
        <v>0</v>
      </c>
      <c r="H52" s="35">
        <v>0.02</v>
      </c>
      <c r="I52" s="35">
        <v>0.02</v>
      </c>
      <c r="J52" s="35">
        <v>0</v>
      </c>
      <c r="K52" s="35">
        <v>0</v>
      </c>
      <c r="L52" s="35">
        <f t="shared" si="14"/>
        <v>0.94</v>
      </c>
      <c r="M52" t="s">
        <v>94</v>
      </c>
    </row>
    <row r="53" spans="1:13" x14ac:dyDescent="0.25">
      <c r="A53" s="30" t="s">
        <v>81</v>
      </c>
      <c r="B53" s="23" t="s">
        <v>49</v>
      </c>
      <c r="C53" s="35">
        <v>0.02</v>
      </c>
      <c r="D53" s="35">
        <v>0</v>
      </c>
      <c r="E53" s="35">
        <v>0</v>
      </c>
      <c r="F53" s="35">
        <v>0</v>
      </c>
      <c r="G53" s="35">
        <v>0</v>
      </c>
      <c r="H53" s="35">
        <v>0.02</v>
      </c>
      <c r="I53" s="35">
        <v>0.02</v>
      </c>
      <c r="J53" s="35">
        <v>0</v>
      </c>
      <c r="K53" s="35">
        <v>0</v>
      </c>
      <c r="L53" s="35">
        <f t="shared" si="14"/>
        <v>0.94</v>
      </c>
      <c r="M53" t="s">
        <v>94</v>
      </c>
    </row>
    <row r="54" spans="1:13" x14ac:dyDescent="0.25">
      <c r="A54" s="30" t="s">
        <v>81</v>
      </c>
      <c r="B54" s="24" t="s">
        <v>49</v>
      </c>
      <c r="C54" s="35">
        <v>0.02</v>
      </c>
      <c r="D54" s="35">
        <v>0</v>
      </c>
      <c r="E54" s="35">
        <v>0</v>
      </c>
      <c r="F54" s="35">
        <v>0</v>
      </c>
      <c r="G54" s="35">
        <v>0</v>
      </c>
      <c r="H54" s="35">
        <v>0.02</v>
      </c>
      <c r="I54" s="35">
        <v>0.02</v>
      </c>
      <c r="J54" s="35">
        <v>0</v>
      </c>
      <c r="K54" s="35">
        <v>0</v>
      </c>
      <c r="L54" s="35">
        <f t="shared" si="14"/>
        <v>0.94</v>
      </c>
      <c r="M54" t="s">
        <v>94</v>
      </c>
    </row>
    <row r="55" spans="1:13" x14ac:dyDescent="0.25">
      <c r="A55" s="30" t="s">
        <v>81</v>
      </c>
      <c r="B55" s="23" t="s">
        <v>51</v>
      </c>
      <c r="C55" s="35">
        <v>0.02</v>
      </c>
      <c r="D55" s="35">
        <v>0</v>
      </c>
      <c r="E55" s="35">
        <v>0</v>
      </c>
      <c r="F55" s="35">
        <v>0</v>
      </c>
      <c r="G55" s="35">
        <v>0</v>
      </c>
      <c r="H55" s="35">
        <v>0.02</v>
      </c>
      <c r="I55" s="35">
        <v>0.02</v>
      </c>
      <c r="J55" s="35">
        <v>0</v>
      </c>
      <c r="K55" s="35">
        <v>0</v>
      </c>
      <c r="L55" s="35">
        <f t="shared" si="14"/>
        <v>0.94</v>
      </c>
      <c r="M55" t="s">
        <v>94</v>
      </c>
    </row>
    <row r="56" spans="1:13" x14ac:dyDescent="0.25">
      <c r="A56" s="30" t="s">
        <v>81</v>
      </c>
      <c r="B56" s="23" t="s">
        <v>53</v>
      </c>
      <c r="C56" s="35">
        <v>0</v>
      </c>
      <c r="D56" s="35">
        <v>0</v>
      </c>
      <c r="E56" s="35">
        <v>0</v>
      </c>
      <c r="F56" s="35">
        <v>0</v>
      </c>
      <c r="G56" s="35">
        <v>0</v>
      </c>
      <c r="H56" s="35">
        <v>0.02</v>
      </c>
      <c r="I56" s="35">
        <v>0.02</v>
      </c>
      <c r="J56" s="35">
        <v>0</v>
      </c>
      <c r="K56" s="35">
        <v>0</v>
      </c>
      <c r="L56" s="35">
        <f t="shared" si="14"/>
        <v>0.96</v>
      </c>
      <c r="M56" t="s">
        <v>94</v>
      </c>
    </row>
    <row r="57" spans="1:13" x14ac:dyDescent="0.25">
      <c r="A57" s="30" t="s">
        <v>81</v>
      </c>
      <c r="B57" s="23" t="s">
        <v>54</v>
      </c>
      <c r="C57" s="35">
        <v>0.02</v>
      </c>
      <c r="D57" s="35">
        <v>0</v>
      </c>
      <c r="E57" s="35">
        <v>0</v>
      </c>
      <c r="F57" s="35">
        <v>0</v>
      </c>
      <c r="G57" s="35">
        <v>0</v>
      </c>
      <c r="H57" s="35">
        <v>0.02</v>
      </c>
      <c r="I57" s="35">
        <v>0.02</v>
      </c>
      <c r="J57" s="35">
        <v>0</v>
      </c>
      <c r="K57" s="35">
        <v>0</v>
      </c>
      <c r="L57" s="35">
        <f t="shared" si="14"/>
        <v>0.94</v>
      </c>
      <c r="M57" t="s">
        <v>94</v>
      </c>
    </row>
    <row r="58" spans="1:13" x14ac:dyDescent="0.25">
      <c r="A58" s="30" t="s">
        <v>81</v>
      </c>
      <c r="B58" s="23" t="s">
        <v>54</v>
      </c>
      <c r="C58" s="35">
        <v>0.02</v>
      </c>
      <c r="D58" s="35">
        <v>0</v>
      </c>
      <c r="E58" s="35">
        <v>0</v>
      </c>
      <c r="F58" s="35">
        <v>0</v>
      </c>
      <c r="G58" s="35">
        <v>0</v>
      </c>
      <c r="H58" s="35">
        <v>0.02</v>
      </c>
      <c r="I58" s="35">
        <v>0.02</v>
      </c>
      <c r="J58" s="35">
        <v>0</v>
      </c>
      <c r="K58" s="35">
        <v>0</v>
      </c>
      <c r="L58" s="35">
        <f t="shared" si="14"/>
        <v>0.94</v>
      </c>
      <c r="M58" t="s">
        <v>94</v>
      </c>
    </row>
    <row r="59" spans="1:13" x14ac:dyDescent="0.25">
      <c r="A59" s="30" t="s">
        <v>81</v>
      </c>
      <c r="B59" s="28" t="s">
        <v>55</v>
      </c>
      <c r="C59" s="35">
        <v>0</v>
      </c>
      <c r="D59" s="35">
        <v>0</v>
      </c>
      <c r="E59" s="35">
        <v>0</v>
      </c>
      <c r="F59" s="35">
        <v>0</v>
      </c>
      <c r="G59" s="35">
        <v>0</v>
      </c>
      <c r="H59" s="35">
        <v>0</v>
      </c>
      <c r="I59" s="35">
        <v>0</v>
      </c>
      <c r="J59" s="35">
        <v>0.4</v>
      </c>
      <c r="K59" s="35">
        <v>0.04</v>
      </c>
      <c r="L59" s="35">
        <f t="shared" ref="L59" si="15">1-SUM(C59:K59)</f>
        <v>0.56000000000000005</v>
      </c>
      <c r="M59" t="s">
        <v>105</v>
      </c>
    </row>
    <row r="60" spans="1:13" x14ac:dyDescent="0.25">
      <c r="A60" s="30" t="s">
        <v>82</v>
      </c>
      <c r="B60" s="29" t="s">
        <v>56</v>
      </c>
      <c r="C60" s="35">
        <v>0</v>
      </c>
      <c r="D60" s="35">
        <v>0</v>
      </c>
      <c r="E60" s="35">
        <v>0</v>
      </c>
      <c r="F60" s="35">
        <v>0</v>
      </c>
      <c r="G60" s="35">
        <v>0</v>
      </c>
      <c r="H60" s="35">
        <v>0</v>
      </c>
      <c r="I60" s="35">
        <v>0</v>
      </c>
      <c r="J60" s="35">
        <v>0</v>
      </c>
      <c r="K60" s="35">
        <v>0</v>
      </c>
      <c r="L60" s="35">
        <f t="shared" ref="L60:L64" si="16">1-SUM(C60:K60)</f>
        <v>1</v>
      </c>
      <c r="M60" t="s">
        <v>106</v>
      </c>
    </row>
    <row r="61" spans="1:13" x14ac:dyDescent="0.25">
      <c r="A61" s="30" t="s">
        <v>82</v>
      </c>
      <c r="B61" s="28" t="s">
        <v>57</v>
      </c>
      <c r="C61" s="35">
        <v>0</v>
      </c>
      <c r="D61" s="35">
        <v>0</v>
      </c>
      <c r="E61" s="35">
        <v>0</v>
      </c>
      <c r="F61" s="35">
        <v>0</v>
      </c>
      <c r="G61" s="35">
        <v>0</v>
      </c>
      <c r="H61" s="35">
        <v>0</v>
      </c>
      <c r="I61" s="35">
        <v>0</v>
      </c>
      <c r="J61" s="35">
        <v>0</v>
      </c>
      <c r="K61" s="35">
        <v>0</v>
      </c>
      <c r="L61" s="35">
        <f t="shared" si="16"/>
        <v>1</v>
      </c>
      <c r="M61" t="s">
        <v>106</v>
      </c>
    </row>
    <row r="62" spans="1:13" x14ac:dyDescent="0.25">
      <c r="A62" s="30" t="s">
        <v>82</v>
      </c>
      <c r="B62" s="28" t="s">
        <v>58</v>
      </c>
      <c r="C62" s="35">
        <v>0</v>
      </c>
      <c r="D62" s="35">
        <v>0</v>
      </c>
      <c r="E62" s="35">
        <v>0</v>
      </c>
      <c r="F62" s="35">
        <v>0</v>
      </c>
      <c r="G62" s="35">
        <v>0</v>
      </c>
      <c r="H62" s="35">
        <v>0</v>
      </c>
      <c r="I62" s="35">
        <v>0</v>
      </c>
      <c r="J62" s="35">
        <v>0</v>
      </c>
      <c r="K62" s="35">
        <v>0</v>
      </c>
      <c r="L62" s="35">
        <f t="shared" si="16"/>
        <v>1</v>
      </c>
      <c r="M62" t="s">
        <v>106</v>
      </c>
    </row>
    <row r="63" spans="1:13" x14ac:dyDescent="0.25">
      <c r="A63" s="30" t="s">
        <v>82</v>
      </c>
      <c r="B63" s="28" t="s">
        <v>57</v>
      </c>
      <c r="C63" s="35">
        <v>0</v>
      </c>
      <c r="D63" s="35">
        <v>0</v>
      </c>
      <c r="E63" s="35">
        <v>0</v>
      </c>
      <c r="F63" s="35">
        <v>0</v>
      </c>
      <c r="G63" s="35">
        <v>0</v>
      </c>
      <c r="H63" s="35">
        <v>0</v>
      </c>
      <c r="I63" s="35">
        <v>0</v>
      </c>
      <c r="J63" s="35">
        <v>0</v>
      </c>
      <c r="K63" s="35">
        <v>0</v>
      </c>
      <c r="L63" s="35">
        <f t="shared" si="16"/>
        <v>1</v>
      </c>
      <c r="M63" t="s">
        <v>106</v>
      </c>
    </row>
    <row r="64" spans="1:13" x14ac:dyDescent="0.25">
      <c r="A64" s="30" t="s">
        <v>82</v>
      </c>
      <c r="B64" s="29" t="s">
        <v>59</v>
      </c>
      <c r="C64" s="35">
        <v>0</v>
      </c>
      <c r="D64" s="35">
        <v>0</v>
      </c>
      <c r="E64" s="35">
        <v>0</v>
      </c>
      <c r="F64" s="35">
        <v>0</v>
      </c>
      <c r="G64" s="35">
        <v>0</v>
      </c>
      <c r="H64" s="35">
        <v>0</v>
      </c>
      <c r="I64" s="35">
        <v>0</v>
      </c>
      <c r="J64" s="35">
        <v>0</v>
      </c>
      <c r="K64" s="35">
        <v>0</v>
      </c>
      <c r="L64" s="35">
        <f t="shared" si="16"/>
        <v>1</v>
      </c>
      <c r="M64" t="s">
        <v>106</v>
      </c>
    </row>
    <row r="65" spans="1:13" x14ac:dyDescent="0.25">
      <c r="A65" s="30" t="s">
        <v>83</v>
      </c>
      <c r="B65" s="23" t="s">
        <v>60</v>
      </c>
      <c r="C65" s="35">
        <v>0</v>
      </c>
      <c r="D65" s="35">
        <v>0</v>
      </c>
      <c r="E65" s="35">
        <v>0.02</v>
      </c>
      <c r="F65" s="35">
        <v>0</v>
      </c>
      <c r="G65" s="35">
        <v>0</v>
      </c>
      <c r="H65" s="35">
        <v>0.63</v>
      </c>
      <c r="I65" s="35">
        <v>0.15</v>
      </c>
      <c r="J65" s="35">
        <v>0</v>
      </c>
      <c r="K65" s="35">
        <v>0</v>
      </c>
      <c r="L65" s="36">
        <f t="shared" si="14"/>
        <v>0.19999999999999996</v>
      </c>
      <c r="M65" t="s">
        <v>94</v>
      </c>
    </row>
    <row r="66" spans="1:13" x14ac:dyDescent="0.25">
      <c r="A66" s="30" t="s">
        <v>83</v>
      </c>
      <c r="B66" s="23" t="s">
        <v>61</v>
      </c>
      <c r="C66" s="35">
        <v>0</v>
      </c>
      <c r="D66" s="35">
        <v>0</v>
      </c>
      <c r="E66" s="35">
        <v>0.02</v>
      </c>
      <c r="F66" s="35">
        <v>0</v>
      </c>
      <c r="G66" s="35">
        <v>0</v>
      </c>
      <c r="H66" s="35">
        <v>0.63</v>
      </c>
      <c r="I66" s="35">
        <v>0.15</v>
      </c>
      <c r="J66" s="35">
        <v>0</v>
      </c>
      <c r="K66" s="35">
        <v>0</v>
      </c>
      <c r="L66" s="36">
        <f t="shared" si="14"/>
        <v>0.19999999999999996</v>
      </c>
      <c r="M66" t="s">
        <v>94</v>
      </c>
    </row>
    <row r="67" spans="1:13" x14ac:dyDescent="0.25">
      <c r="A67" s="30" t="s">
        <v>83</v>
      </c>
      <c r="B67" s="26" t="s">
        <v>61</v>
      </c>
      <c r="C67" s="35">
        <v>0</v>
      </c>
      <c r="D67" s="35">
        <v>0</v>
      </c>
      <c r="E67" s="35">
        <v>0.02</v>
      </c>
      <c r="F67" s="35">
        <v>0</v>
      </c>
      <c r="G67" s="35">
        <v>0</v>
      </c>
      <c r="H67" s="35">
        <v>0.63</v>
      </c>
      <c r="I67" s="35">
        <v>0.15</v>
      </c>
      <c r="J67" s="35">
        <v>0</v>
      </c>
      <c r="K67" s="35">
        <v>0</v>
      </c>
      <c r="L67" s="36">
        <f t="shared" si="14"/>
        <v>0.19999999999999996</v>
      </c>
      <c r="M67" t="s">
        <v>99</v>
      </c>
    </row>
    <row r="68" spans="1:13" x14ac:dyDescent="0.25">
      <c r="A68" s="30" t="s">
        <v>84</v>
      </c>
      <c r="B68" s="23" t="s">
        <v>62</v>
      </c>
      <c r="C68" s="35">
        <v>0</v>
      </c>
      <c r="D68" s="35">
        <v>0</v>
      </c>
      <c r="E68" s="35">
        <v>0</v>
      </c>
      <c r="F68" s="35">
        <v>0</v>
      </c>
      <c r="G68" s="35">
        <v>0.48</v>
      </c>
      <c r="H68" s="35">
        <v>0.48</v>
      </c>
      <c r="I68" s="35">
        <v>0.04</v>
      </c>
      <c r="J68" s="35">
        <v>0</v>
      </c>
      <c r="K68" s="35">
        <v>0</v>
      </c>
      <c r="L68" s="35">
        <f t="shared" si="14"/>
        <v>0</v>
      </c>
      <c r="M68" t="s">
        <v>94</v>
      </c>
    </row>
    <row r="69" spans="1:13" x14ac:dyDescent="0.25">
      <c r="A69" s="30" t="s">
        <v>84</v>
      </c>
      <c r="B69" s="23" t="s">
        <v>63</v>
      </c>
      <c r="C69" s="35">
        <v>0</v>
      </c>
      <c r="D69" s="35">
        <v>0</v>
      </c>
      <c r="E69" s="35">
        <v>0</v>
      </c>
      <c r="F69" s="35">
        <v>0</v>
      </c>
      <c r="G69" s="35">
        <v>0.98</v>
      </c>
      <c r="H69" s="35">
        <v>0.02</v>
      </c>
      <c r="I69" s="35">
        <v>0</v>
      </c>
      <c r="J69" s="35">
        <v>0</v>
      </c>
      <c r="K69" s="35">
        <v>0</v>
      </c>
      <c r="L69" s="35">
        <f t="shared" si="14"/>
        <v>0</v>
      </c>
      <c r="M69" t="s">
        <v>94</v>
      </c>
    </row>
    <row r="70" spans="1:13" x14ac:dyDescent="0.25">
      <c r="A70" s="30" t="s">
        <v>84</v>
      </c>
      <c r="B70" s="23" t="s">
        <v>64</v>
      </c>
      <c r="C70" s="35">
        <v>0</v>
      </c>
      <c r="D70" s="35">
        <v>0</v>
      </c>
      <c r="E70" s="35">
        <v>0</v>
      </c>
      <c r="F70" s="35">
        <v>0</v>
      </c>
      <c r="G70" s="35">
        <v>0.98</v>
      </c>
      <c r="H70" s="35">
        <v>0.02</v>
      </c>
      <c r="I70" s="35">
        <v>0</v>
      </c>
      <c r="J70" s="35">
        <v>0</v>
      </c>
      <c r="K70" s="35">
        <v>0</v>
      </c>
      <c r="L70" s="35">
        <f t="shared" si="14"/>
        <v>0</v>
      </c>
      <c r="M70" t="s">
        <v>94</v>
      </c>
    </row>
    <row r="71" spans="1:13" x14ac:dyDescent="0.25">
      <c r="A71" s="30" t="s">
        <v>84</v>
      </c>
      <c r="B71" s="23" t="s">
        <v>63</v>
      </c>
      <c r="C71" s="35">
        <v>0</v>
      </c>
      <c r="D71" s="35">
        <v>0</v>
      </c>
      <c r="E71" s="35">
        <v>0</v>
      </c>
      <c r="F71" s="35">
        <v>0</v>
      </c>
      <c r="G71" s="35">
        <v>1</v>
      </c>
      <c r="H71" s="35">
        <v>0</v>
      </c>
      <c r="I71" s="35">
        <v>0</v>
      </c>
      <c r="J71" s="35">
        <v>0</v>
      </c>
      <c r="K71" s="35">
        <v>0</v>
      </c>
      <c r="L71" s="35">
        <f t="shared" si="14"/>
        <v>0</v>
      </c>
      <c r="M71" t="s">
        <v>107</v>
      </c>
    </row>
    <row r="72" spans="1:13" x14ac:dyDescent="0.25">
      <c r="A72" s="30" t="s">
        <v>84</v>
      </c>
      <c r="B72" s="23" t="s">
        <v>64</v>
      </c>
      <c r="C72" s="35">
        <v>0</v>
      </c>
      <c r="D72" s="35">
        <v>0</v>
      </c>
      <c r="E72" s="35">
        <v>0</v>
      </c>
      <c r="F72" s="35">
        <v>0</v>
      </c>
      <c r="G72" s="35">
        <v>0.98</v>
      </c>
      <c r="H72" s="35">
        <v>0.02</v>
      </c>
      <c r="I72" s="35">
        <v>0</v>
      </c>
      <c r="J72" s="35">
        <v>0</v>
      </c>
      <c r="K72" s="35">
        <v>0</v>
      </c>
      <c r="L72" s="35">
        <f t="shared" si="14"/>
        <v>0</v>
      </c>
      <c r="M72" t="s">
        <v>94</v>
      </c>
    </row>
    <row r="73" spans="1:13" x14ac:dyDescent="0.25">
      <c r="A73" s="30" t="s">
        <v>84</v>
      </c>
      <c r="B73" s="23" t="s">
        <v>65</v>
      </c>
      <c r="C73" s="35">
        <v>0</v>
      </c>
      <c r="D73" s="35">
        <v>0</v>
      </c>
      <c r="E73" s="35">
        <v>0</v>
      </c>
      <c r="F73" s="35">
        <v>0</v>
      </c>
      <c r="G73" s="35">
        <v>1</v>
      </c>
      <c r="H73" s="35">
        <v>0</v>
      </c>
      <c r="I73" s="35">
        <v>0</v>
      </c>
      <c r="J73" s="35">
        <v>0</v>
      </c>
      <c r="K73" s="35">
        <v>0</v>
      </c>
      <c r="L73" s="35">
        <f t="shared" ref="L73:L74" si="17">1-SUM(C73:K73)</f>
        <v>0</v>
      </c>
      <c r="M73" t="s">
        <v>107</v>
      </c>
    </row>
    <row r="74" spans="1:13" x14ac:dyDescent="0.25">
      <c r="A74" s="30" t="s">
        <v>84</v>
      </c>
      <c r="B74" s="25" t="s">
        <v>66</v>
      </c>
      <c r="C74" s="35">
        <v>0</v>
      </c>
      <c r="D74" s="35">
        <v>0</v>
      </c>
      <c r="E74" s="35">
        <v>0</v>
      </c>
      <c r="F74" s="35">
        <v>0</v>
      </c>
      <c r="G74" s="35">
        <v>1</v>
      </c>
      <c r="H74" s="35">
        <v>0</v>
      </c>
      <c r="I74" s="35">
        <v>0</v>
      </c>
      <c r="J74" s="35">
        <v>0</v>
      </c>
      <c r="K74" s="35">
        <v>0</v>
      </c>
      <c r="L74" s="35">
        <f t="shared" si="17"/>
        <v>0</v>
      </c>
      <c r="M74" t="s">
        <v>107</v>
      </c>
    </row>
    <row r="75" spans="1:13" x14ac:dyDescent="0.25">
      <c r="A75" s="30" t="s">
        <v>85</v>
      </c>
      <c r="B75" s="23" t="s">
        <v>67</v>
      </c>
      <c r="C75" s="35">
        <v>0.24</v>
      </c>
      <c r="D75" s="35">
        <v>0.24</v>
      </c>
      <c r="E75" s="35">
        <v>0</v>
      </c>
      <c r="F75" s="35">
        <v>0</v>
      </c>
      <c r="G75" s="35">
        <v>0</v>
      </c>
      <c r="H75" s="35">
        <v>0</v>
      </c>
      <c r="I75" s="35">
        <v>0</v>
      </c>
      <c r="J75" s="35">
        <v>0.19</v>
      </c>
      <c r="K75" s="35">
        <v>0.14000000000000001</v>
      </c>
      <c r="L75" s="35">
        <f t="shared" ref="L75" si="18">1-SUM(C75:K75)</f>
        <v>0.19000000000000006</v>
      </c>
      <c r="M75" t="s">
        <v>95</v>
      </c>
    </row>
    <row r="76" spans="1:13" x14ac:dyDescent="0.25">
      <c r="A76" s="30" t="s">
        <v>86</v>
      </c>
      <c r="B76" s="23" t="s">
        <v>68</v>
      </c>
      <c r="C76" s="35">
        <v>0.55000000000000004</v>
      </c>
      <c r="D76" s="35">
        <v>0</v>
      </c>
      <c r="E76" s="35">
        <v>0.01</v>
      </c>
      <c r="F76" s="35">
        <v>0.01</v>
      </c>
      <c r="G76" s="35">
        <v>0</v>
      </c>
      <c r="H76" s="35">
        <v>0.01</v>
      </c>
      <c r="I76" s="35">
        <v>0</v>
      </c>
      <c r="J76" s="35">
        <v>0</v>
      </c>
      <c r="K76" s="35">
        <v>0</v>
      </c>
      <c r="L76" s="35">
        <f>1-SUM(C76:K76)</f>
        <v>0.41999999999999993</v>
      </c>
      <c r="M76" t="s">
        <v>94</v>
      </c>
    </row>
    <row r="77" spans="1:13" x14ac:dyDescent="0.25">
      <c r="A77" s="30" t="s">
        <v>86</v>
      </c>
      <c r="B77" s="23" t="s">
        <v>68</v>
      </c>
      <c r="C77" s="35">
        <v>0.25</v>
      </c>
      <c r="D77" s="35">
        <v>0</v>
      </c>
      <c r="E77" s="35">
        <v>0.15</v>
      </c>
      <c r="F77" s="35">
        <v>0.1</v>
      </c>
      <c r="G77" s="35">
        <v>0.05</v>
      </c>
      <c r="H77" s="35">
        <v>0.15</v>
      </c>
      <c r="I77" s="35">
        <v>0</v>
      </c>
      <c r="J77" s="35">
        <v>0</v>
      </c>
      <c r="K77" s="35">
        <v>0</v>
      </c>
      <c r="L77" s="35">
        <f>1-SUM(C77:K77)</f>
        <v>0.29999999999999993</v>
      </c>
      <c r="M77" t="s">
        <v>94</v>
      </c>
    </row>
    <row r="78" spans="1:13" x14ac:dyDescent="0.25">
      <c r="A78" s="30" t="s">
        <v>86</v>
      </c>
      <c r="B78" s="23" t="s">
        <v>68</v>
      </c>
      <c r="C78" s="35">
        <v>0.02</v>
      </c>
      <c r="D78" s="35">
        <v>0</v>
      </c>
      <c r="E78" s="35">
        <v>0.35</v>
      </c>
      <c r="F78" s="35">
        <v>0.1</v>
      </c>
      <c r="G78" s="35">
        <v>0.1</v>
      </c>
      <c r="H78" s="35">
        <v>0.35</v>
      </c>
      <c r="I78" s="35">
        <v>0</v>
      </c>
      <c r="J78" s="35">
        <v>0</v>
      </c>
      <c r="K78" s="35">
        <v>0</v>
      </c>
      <c r="L78" s="36">
        <f t="shared" ref="L78:L79" si="19">1-SUM(C78:K78)</f>
        <v>8.0000000000000071E-2</v>
      </c>
      <c r="M78" t="s">
        <v>94</v>
      </c>
    </row>
    <row r="79" spans="1:13" x14ac:dyDescent="0.25">
      <c r="A79" s="30" t="s">
        <v>86</v>
      </c>
      <c r="B79" s="26" t="s">
        <v>68</v>
      </c>
      <c r="C79" s="35">
        <v>0.25</v>
      </c>
      <c r="D79" s="35">
        <v>0</v>
      </c>
      <c r="E79" s="35">
        <v>0.15</v>
      </c>
      <c r="F79" s="35">
        <v>0.1</v>
      </c>
      <c r="G79" s="35">
        <v>0.1</v>
      </c>
      <c r="H79" s="35">
        <v>0.15</v>
      </c>
      <c r="I79" s="35">
        <v>0</v>
      </c>
      <c r="J79" s="35">
        <v>0</v>
      </c>
      <c r="K79" s="35">
        <v>0</v>
      </c>
      <c r="L79" s="36">
        <f t="shared" si="19"/>
        <v>0.25</v>
      </c>
      <c r="M79" t="s">
        <v>99</v>
      </c>
    </row>
    <row r="80" spans="1:13" x14ac:dyDescent="0.25">
      <c r="A80" s="30" t="s">
        <v>87</v>
      </c>
      <c r="B80" s="23" t="s">
        <v>69</v>
      </c>
      <c r="C80" s="35">
        <v>0.95</v>
      </c>
      <c r="D80" s="35">
        <v>0</v>
      </c>
      <c r="E80" s="35">
        <v>0</v>
      </c>
      <c r="F80" s="35">
        <v>0</v>
      </c>
      <c r="G80" s="35">
        <v>0</v>
      </c>
      <c r="H80" s="35">
        <v>0</v>
      </c>
      <c r="I80" s="35">
        <v>0</v>
      </c>
      <c r="J80" s="35">
        <v>0</v>
      </c>
      <c r="K80" s="35">
        <v>0</v>
      </c>
      <c r="L80" s="35">
        <f>1-SUM(C80:K80)</f>
        <v>5.0000000000000044E-2</v>
      </c>
      <c r="M80" t="s">
        <v>94</v>
      </c>
    </row>
    <row r="81" spans="1:13" x14ac:dyDescent="0.25">
      <c r="A81" s="30" t="s">
        <v>87</v>
      </c>
      <c r="B81" s="23" t="s">
        <v>70</v>
      </c>
      <c r="C81" s="35">
        <v>0.98</v>
      </c>
      <c r="D81" s="35">
        <v>0</v>
      </c>
      <c r="E81" s="35">
        <v>0</v>
      </c>
      <c r="F81" s="35">
        <v>0</v>
      </c>
      <c r="G81" s="35">
        <v>0</v>
      </c>
      <c r="H81" s="35">
        <v>0</v>
      </c>
      <c r="I81" s="35">
        <v>0</v>
      </c>
      <c r="J81" s="35">
        <v>0</v>
      </c>
      <c r="K81" s="35">
        <v>0</v>
      </c>
      <c r="L81" s="35">
        <f>1-SUM(C81:K81)</f>
        <v>2.0000000000000018E-2</v>
      </c>
      <c r="M81" t="s">
        <v>94</v>
      </c>
    </row>
    <row r="82" spans="1:13" x14ac:dyDescent="0.25">
      <c r="A82" s="30" t="s">
        <v>87</v>
      </c>
      <c r="B82" s="23" t="s">
        <v>71</v>
      </c>
      <c r="C82" s="35">
        <v>0.98</v>
      </c>
      <c r="D82" s="35">
        <v>0</v>
      </c>
      <c r="E82" s="35">
        <v>0</v>
      </c>
      <c r="F82" s="35">
        <v>0</v>
      </c>
      <c r="G82" s="35">
        <v>0</v>
      </c>
      <c r="H82" s="35">
        <v>0</v>
      </c>
      <c r="I82" s="35">
        <v>0</v>
      </c>
      <c r="J82" s="35">
        <v>0</v>
      </c>
      <c r="K82" s="35">
        <v>0</v>
      </c>
      <c r="L82" s="35">
        <f t="shared" ref="L82:L88" si="20">1-SUM(C82:K82)</f>
        <v>2.0000000000000018E-2</v>
      </c>
      <c r="M82" t="s">
        <v>94</v>
      </c>
    </row>
    <row r="83" spans="1:13" x14ac:dyDescent="0.25">
      <c r="A83" s="30" t="s">
        <v>87</v>
      </c>
      <c r="B83" s="23" t="s">
        <v>72</v>
      </c>
      <c r="C83" s="35">
        <v>0.98</v>
      </c>
      <c r="D83" s="35">
        <v>0</v>
      </c>
      <c r="E83" s="35">
        <v>0</v>
      </c>
      <c r="F83" s="35">
        <v>0</v>
      </c>
      <c r="G83" s="35">
        <v>0</v>
      </c>
      <c r="H83" s="35">
        <v>0</v>
      </c>
      <c r="I83" s="35">
        <v>0</v>
      </c>
      <c r="J83" s="35">
        <v>0</v>
      </c>
      <c r="K83" s="35">
        <v>0</v>
      </c>
      <c r="L83" s="35">
        <f t="shared" ref="L83:L87" si="21">1-SUM(C83:K83)</f>
        <v>2.0000000000000018E-2</v>
      </c>
      <c r="M83" t="s">
        <v>94</v>
      </c>
    </row>
    <row r="84" spans="1:13" x14ac:dyDescent="0.25">
      <c r="A84" s="30" t="s">
        <v>87</v>
      </c>
      <c r="B84" s="23" t="s">
        <v>71</v>
      </c>
      <c r="C84" s="35">
        <v>0.98</v>
      </c>
      <c r="D84" s="35">
        <v>0</v>
      </c>
      <c r="E84" s="35">
        <v>0</v>
      </c>
      <c r="F84" s="35">
        <v>0</v>
      </c>
      <c r="G84" s="35">
        <v>0</v>
      </c>
      <c r="H84" s="35">
        <v>0</v>
      </c>
      <c r="I84" s="35">
        <v>0</v>
      </c>
      <c r="J84" s="35">
        <v>0</v>
      </c>
      <c r="K84" s="35">
        <v>0</v>
      </c>
      <c r="L84" s="35">
        <f t="shared" si="21"/>
        <v>2.0000000000000018E-2</v>
      </c>
      <c r="M84" t="s">
        <v>94</v>
      </c>
    </row>
    <row r="85" spans="1:13" x14ac:dyDescent="0.25">
      <c r="A85" s="30" t="s">
        <v>87</v>
      </c>
      <c r="B85" s="23" t="s">
        <v>71</v>
      </c>
      <c r="C85" s="35">
        <v>0.98</v>
      </c>
      <c r="D85" s="35">
        <v>0</v>
      </c>
      <c r="E85" s="35">
        <v>0</v>
      </c>
      <c r="F85" s="35">
        <v>0</v>
      </c>
      <c r="G85" s="35">
        <v>0</v>
      </c>
      <c r="H85" s="35">
        <v>0</v>
      </c>
      <c r="I85" s="35">
        <v>0</v>
      </c>
      <c r="J85" s="35">
        <v>0</v>
      </c>
      <c r="K85" s="35">
        <v>0</v>
      </c>
      <c r="L85" s="35">
        <f t="shared" si="21"/>
        <v>2.0000000000000018E-2</v>
      </c>
      <c r="M85" t="s">
        <v>94</v>
      </c>
    </row>
    <row r="86" spans="1:13" x14ac:dyDescent="0.25">
      <c r="A86" s="30" t="s">
        <v>87</v>
      </c>
      <c r="B86" s="23" t="s">
        <v>72</v>
      </c>
      <c r="C86" s="35">
        <v>0.98</v>
      </c>
      <c r="D86" s="35">
        <v>0</v>
      </c>
      <c r="E86" s="35">
        <v>0</v>
      </c>
      <c r="F86" s="35">
        <v>0</v>
      </c>
      <c r="G86" s="35">
        <v>0</v>
      </c>
      <c r="H86" s="35">
        <v>0</v>
      </c>
      <c r="I86" s="35">
        <v>0</v>
      </c>
      <c r="J86" s="35">
        <v>0</v>
      </c>
      <c r="K86" s="35">
        <v>0</v>
      </c>
      <c r="L86" s="35">
        <f t="shared" si="21"/>
        <v>2.0000000000000018E-2</v>
      </c>
      <c r="M86" t="s">
        <v>94</v>
      </c>
    </row>
    <row r="87" spans="1:13" x14ac:dyDescent="0.25">
      <c r="A87" s="30" t="s">
        <v>87</v>
      </c>
      <c r="B87" s="23" t="s">
        <v>73</v>
      </c>
      <c r="C87" s="35">
        <v>0.98</v>
      </c>
      <c r="D87" s="35">
        <v>0</v>
      </c>
      <c r="E87" s="35">
        <v>0</v>
      </c>
      <c r="F87" s="35">
        <v>0</v>
      </c>
      <c r="G87" s="35">
        <v>0</v>
      </c>
      <c r="H87" s="35">
        <v>0</v>
      </c>
      <c r="I87" s="35">
        <v>0</v>
      </c>
      <c r="J87" s="35">
        <v>0</v>
      </c>
      <c r="K87" s="35">
        <v>0</v>
      </c>
      <c r="L87" s="35">
        <f t="shared" si="21"/>
        <v>2.0000000000000018E-2</v>
      </c>
      <c r="M87" t="s">
        <v>94</v>
      </c>
    </row>
    <row r="88" spans="1:13" x14ac:dyDescent="0.25">
      <c r="A88" s="30" t="s">
        <v>87</v>
      </c>
      <c r="B88" s="25" t="s">
        <v>74</v>
      </c>
      <c r="C88" s="35">
        <v>1</v>
      </c>
      <c r="D88" s="35">
        <v>0</v>
      </c>
      <c r="E88" s="35">
        <v>0</v>
      </c>
      <c r="F88" s="35">
        <v>0</v>
      </c>
      <c r="G88" s="35">
        <v>0</v>
      </c>
      <c r="H88" s="35">
        <v>0</v>
      </c>
      <c r="I88" s="35">
        <v>0</v>
      </c>
      <c r="J88" s="35">
        <v>0</v>
      </c>
      <c r="K88" s="35">
        <v>0</v>
      </c>
      <c r="L88" s="35">
        <f t="shared" si="20"/>
        <v>0</v>
      </c>
      <c r="M88" t="s">
        <v>108</v>
      </c>
    </row>
    <row r="89" spans="1:13" x14ac:dyDescent="0.25">
      <c r="A89" s="30" t="s">
        <v>88</v>
      </c>
      <c r="B89" s="23" t="s">
        <v>75</v>
      </c>
      <c r="C89" s="35">
        <v>0</v>
      </c>
      <c r="D89" s="35">
        <v>0</v>
      </c>
      <c r="E89" s="35">
        <v>0.98</v>
      </c>
      <c r="F89" s="35">
        <v>0</v>
      </c>
      <c r="G89" s="35">
        <v>0</v>
      </c>
      <c r="H89" s="35">
        <v>0.02</v>
      </c>
      <c r="I89" s="35">
        <v>0</v>
      </c>
      <c r="J89" s="35">
        <v>0</v>
      </c>
      <c r="K89" s="35">
        <v>0</v>
      </c>
      <c r="L89" s="35">
        <f>1-SUM(C89:K89)</f>
        <v>0</v>
      </c>
      <c r="M89" t="s">
        <v>94</v>
      </c>
    </row>
    <row r="90" spans="1:13" x14ac:dyDescent="0.25">
      <c r="A90" s="30" t="s">
        <v>88</v>
      </c>
      <c r="B90" s="23" t="s">
        <v>54</v>
      </c>
      <c r="C90" s="35">
        <v>0</v>
      </c>
      <c r="D90" s="35">
        <v>0</v>
      </c>
      <c r="E90" s="35">
        <v>0.96</v>
      </c>
      <c r="F90" s="35">
        <v>0</v>
      </c>
      <c r="G90" s="35">
        <v>0</v>
      </c>
      <c r="H90" s="35">
        <v>0.04</v>
      </c>
      <c r="I90" s="35">
        <v>0</v>
      </c>
      <c r="J90" s="35">
        <v>0</v>
      </c>
      <c r="K90" s="35">
        <v>0</v>
      </c>
      <c r="L90" s="35">
        <f>1-SUM(C90:K90)</f>
        <v>0</v>
      </c>
      <c r="M90" t="s">
        <v>94</v>
      </c>
    </row>
    <row r="91" spans="1:13" x14ac:dyDescent="0.25">
      <c r="A91" s="30" t="s">
        <v>88</v>
      </c>
      <c r="B91" s="23" t="s">
        <v>62</v>
      </c>
      <c r="C91" s="35">
        <v>0</v>
      </c>
      <c r="D91" s="35">
        <v>0</v>
      </c>
      <c r="E91" s="35">
        <v>0.5</v>
      </c>
      <c r="F91" s="35">
        <v>0.5</v>
      </c>
      <c r="G91" s="35">
        <v>0</v>
      </c>
      <c r="H91" s="35">
        <v>0</v>
      </c>
      <c r="I91" s="35">
        <v>0</v>
      </c>
      <c r="J91" s="35">
        <v>0</v>
      </c>
      <c r="K91" s="35">
        <v>0</v>
      </c>
      <c r="L91" s="35">
        <f>1-SUM(C91:K91)</f>
        <v>0</v>
      </c>
      <c r="M91" t="s">
        <v>94</v>
      </c>
    </row>
    <row r="92" spans="1:13" x14ac:dyDescent="0.25">
      <c r="A92" s="30" t="s">
        <v>88</v>
      </c>
      <c r="B92" s="23" t="s">
        <v>60</v>
      </c>
      <c r="C92" s="35">
        <v>0</v>
      </c>
      <c r="D92" s="35">
        <v>0</v>
      </c>
      <c r="E92" s="35">
        <v>0.98</v>
      </c>
      <c r="F92" s="35">
        <v>0</v>
      </c>
      <c r="G92" s="35">
        <v>0</v>
      </c>
      <c r="H92" s="35">
        <v>0.02</v>
      </c>
      <c r="I92" s="35">
        <v>0</v>
      </c>
      <c r="J92" s="35">
        <v>0</v>
      </c>
      <c r="K92" s="35">
        <v>0</v>
      </c>
      <c r="L92" s="35">
        <f t="shared" ref="L92" si="22">1-SUM(C92:K92)</f>
        <v>0</v>
      </c>
      <c r="M92" t="s">
        <v>94</v>
      </c>
    </row>
    <row r="93" spans="1:13" x14ac:dyDescent="0.25">
      <c r="A93" s="30" t="s">
        <v>88</v>
      </c>
      <c r="B93" s="23" t="s">
        <v>54</v>
      </c>
      <c r="C93" s="35">
        <v>0</v>
      </c>
      <c r="D93" s="35">
        <v>0</v>
      </c>
      <c r="E93" s="35">
        <v>0.98</v>
      </c>
      <c r="F93" s="35">
        <v>0</v>
      </c>
      <c r="G93" s="35">
        <v>0</v>
      </c>
      <c r="H93" s="35">
        <v>0.02</v>
      </c>
      <c r="I93" s="35">
        <v>0</v>
      </c>
      <c r="J93" s="35">
        <v>0</v>
      </c>
      <c r="K93" s="35">
        <v>0</v>
      </c>
      <c r="L93" s="35">
        <f t="shared" ref="L93" si="23">1-SUM(C93:K93)</f>
        <v>0</v>
      </c>
      <c r="M93" t="s">
        <v>94</v>
      </c>
    </row>
    <row r="94" spans="1:13" x14ac:dyDescent="0.25">
      <c r="A94" s="31" t="s">
        <v>89</v>
      </c>
      <c r="B94" s="23" t="s">
        <v>64</v>
      </c>
      <c r="C94" s="37">
        <f>1-SUM(D94:L94)</f>
        <v>0</v>
      </c>
      <c r="D94" s="37">
        <v>0</v>
      </c>
      <c r="E94" s="35">
        <v>0.02</v>
      </c>
      <c r="F94" s="37">
        <v>0.98</v>
      </c>
      <c r="G94" s="37">
        <v>0</v>
      </c>
      <c r="H94" s="37">
        <v>0</v>
      </c>
      <c r="I94" s="37">
        <v>0</v>
      </c>
      <c r="J94" s="37">
        <v>0</v>
      </c>
      <c r="K94" s="37">
        <v>0</v>
      </c>
      <c r="L94" s="37">
        <v>0</v>
      </c>
      <c r="M94" t="s">
        <v>94</v>
      </c>
    </row>
    <row r="95" spans="1:13" x14ac:dyDescent="0.25">
      <c r="A95" s="30" t="s">
        <v>89</v>
      </c>
      <c r="B95" s="23" t="s">
        <v>64</v>
      </c>
      <c r="C95" s="37">
        <f>1-SUM(D95:L95)</f>
        <v>0</v>
      </c>
      <c r="D95" s="37">
        <v>0</v>
      </c>
      <c r="E95" s="35">
        <v>0.02</v>
      </c>
      <c r="F95" s="37">
        <v>0.98</v>
      </c>
      <c r="G95" s="37">
        <v>0</v>
      </c>
      <c r="H95" s="37">
        <v>0</v>
      </c>
      <c r="I95" s="37">
        <v>0</v>
      </c>
      <c r="J95" s="37">
        <v>0</v>
      </c>
      <c r="K95" s="37">
        <v>0</v>
      </c>
      <c r="L95" s="37">
        <v>0</v>
      </c>
      <c r="M95" t="s">
        <v>94</v>
      </c>
    </row>
    <row r="96" spans="1:13" x14ac:dyDescent="0.25">
      <c r="A96" s="30" t="s">
        <v>89</v>
      </c>
      <c r="B96" s="23" t="s">
        <v>64</v>
      </c>
      <c r="C96" s="35">
        <f>1-SUM(D96:L96)</f>
        <v>0</v>
      </c>
      <c r="D96" s="35">
        <v>0</v>
      </c>
      <c r="E96" s="35">
        <v>0.02</v>
      </c>
      <c r="F96" s="37">
        <v>0.98</v>
      </c>
      <c r="G96" s="35">
        <v>0</v>
      </c>
      <c r="H96" s="35">
        <v>0</v>
      </c>
      <c r="I96" s="35">
        <v>0</v>
      </c>
      <c r="J96" s="35">
        <v>0</v>
      </c>
      <c r="K96" s="35">
        <v>0</v>
      </c>
      <c r="L96" s="35">
        <v>0</v>
      </c>
      <c r="M96" t="s">
        <v>94</v>
      </c>
    </row>
    <row r="99" spans="1:16" x14ac:dyDescent="0.25">
      <c r="A99" s="2" t="s">
        <v>5</v>
      </c>
      <c r="B99" s="3" t="s">
        <v>6</v>
      </c>
      <c r="C99" s="3"/>
      <c r="D99" s="3"/>
      <c r="E99" s="3"/>
      <c r="F99" s="3"/>
      <c r="G99" s="3"/>
      <c r="H99" s="3"/>
      <c r="I99" s="3"/>
      <c r="J99" s="3"/>
      <c r="K99" s="3"/>
      <c r="L99" s="4"/>
    </row>
    <row r="100" spans="1:16" x14ac:dyDescent="0.25">
      <c r="A100" s="5"/>
      <c r="B100" s="6" t="s">
        <v>7</v>
      </c>
      <c r="C100" s="6"/>
      <c r="D100" s="6"/>
      <c r="E100" s="6"/>
      <c r="F100" s="6"/>
      <c r="G100" s="6"/>
      <c r="H100" s="6"/>
      <c r="I100" s="6"/>
      <c r="J100" s="6"/>
      <c r="K100" s="6"/>
      <c r="L100" s="7"/>
    </row>
    <row r="101" spans="1:16" x14ac:dyDescent="0.25">
      <c r="A101" s="5"/>
      <c r="B101" s="6" t="s">
        <v>8</v>
      </c>
      <c r="C101" s="6"/>
      <c r="D101" s="6"/>
      <c r="E101" s="6"/>
      <c r="F101" s="6"/>
      <c r="G101" s="6"/>
      <c r="H101" s="6"/>
      <c r="I101" s="6"/>
      <c r="J101" s="6"/>
      <c r="K101" s="6"/>
      <c r="L101" s="7"/>
    </row>
    <row r="102" spans="1:16" x14ac:dyDescent="0.25">
      <c r="A102" s="8"/>
      <c r="B102" s="9" t="s">
        <v>9</v>
      </c>
      <c r="C102" s="9"/>
      <c r="D102" s="9"/>
      <c r="E102" s="9"/>
      <c r="F102" s="9"/>
      <c r="G102" s="9"/>
      <c r="H102" s="9"/>
      <c r="I102" s="9"/>
      <c r="J102" s="9"/>
      <c r="K102" s="9"/>
      <c r="L102" s="10"/>
    </row>
    <row r="104" spans="1:16" x14ac:dyDescent="0.25">
      <c r="A104" s="2" t="s">
        <v>109</v>
      </c>
      <c r="B104" s="3" t="s">
        <v>130</v>
      </c>
      <c r="C104" s="3"/>
      <c r="D104" s="3"/>
      <c r="E104" s="3"/>
      <c r="F104" s="3"/>
      <c r="G104" s="3"/>
      <c r="H104" s="3"/>
      <c r="I104" s="3"/>
      <c r="J104" s="3"/>
      <c r="K104" s="3"/>
      <c r="L104" s="4"/>
    </row>
    <row r="105" spans="1:16" x14ac:dyDescent="0.25">
      <c r="A105" s="5" t="s">
        <v>110</v>
      </c>
      <c r="B105" s="6" t="s">
        <v>111</v>
      </c>
      <c r="C105" s="6"/>
      <c r="D105" s="6"/>
      <c r="E105" s="6"/>
      <c r="F105" s="6"/>
      <c r="G105" s="6"/>
      <c r="H105" s="6"/>
      <c r="I105" s="6"/>
      <c r="J105" s="6"/>
      <c r="K105" s="6"/>
      <c r="L105" s="7"/>
    </row>
    <row r="106" spans="1:16" x14ac:dyDescent="0.25">
      <c r="A106" s="8" t="s">
        <v>10</v>
      </c>
      <c r="B106" s="9" t="s">
        <v>112</v>
      </c>
      <c r="C106" s="9"/>
      <c r="D106" s="9"/>
      <c r="E106" s="9"/>
      <c r="F106" s="9"/>
      <c r="G106" s="9"/>
      <c r="H106" s="9"/>
      <c r="I106" s="9"/>
      <c r="J106" s="9"/>
      <c r="K106" s="9"/>
      <c r="L106" s="10"/>
    </row>
    <row r="108" spans="1:16" x14ac:dyDescent="0.25">
      <c r="A108" s="14" t="s">
        <v>117</v>
      </c>
      <c r="B108" s="14" t="s">
        <v>113</v>
      </c>
      <c r="C108" s="3"/>
      <c r="D108" s="3"/>
      <c r="E108" s="3"/>
      <c r="F108" s="3"/>
      <c r="G108" s="3"/>
      <c r="H108" s="3"/>
      <c r="I108" s="3"/>
      <c r="J108" s="3"/>
      <c r="K108" s="3"/>
      <c r="L108" s="3"/>
      <c r="M108" s="3"/>
      <c r="N108" s="3"/>
      <c r="O108" s="3"/>
      <c r="P108" s="4"/>
    </row>
    <row r="109" spans="1:16" x14ac:dyDescent="0.25">
      <c r="A109" s="15"/>
      <c r="B109" s="40" t="s">
        <v>114</v>
      </c>
      <c r="C109" s="6"/>
      <c r="D109" s="6"/>
      <c r="E109" s="6"/>
      <c r="F109" s="6"/>
      <c r="G109" s="6"/>
      <c r="H109" s="6"/>
      <c r="I109" s="6"/>
      <c r="J109" s="6"/>
      <c r="K109" s="6"/>
      <c r="L109" s="6"/>
      <c r="M109" s="6"/>
      <c r="P109" s="7"/>
    </row>
    <row r="110" spans="1:16" x14ac:dyDescent="0.25">
      <c r="B110" s="15" t="s">
        <v>115</v>
      </c>
      <c r="C110" s="6"/>
      <c r="D110" s="6"/>
      <c r="E110" s="6"/>
      <c r="F110" s="6"/>
      <c r="G110" s="6"/>
      <c r="H110" s="6"/>
      <c r="I110" s="6"/>
      <c r="J110" s="6"/>
      <c r="K110" s="6"/>
      <c r="L110" s="6"/>
      <c r="M110" s="6"/>
      <c r="P110" s="7"/>
    </row>
    <row r="111" spans="1:16" x14ac:dyDescent="0.25">
      <c r="A111" s="15"/>
      <c r="B111" s="41" t="s">
        <v>116</v>
      </c>
      <c r="C111" s="9"/>
      <c r="D111" s="9"/>
      <c r="E111" s="9"/>
      <c r="F111" s="9"/>
      <c r="G111" s="9"/>
      <c r="H111" s="9"/>
      <c r="I111" s="9"/>
      <c r="J111" s="9"/>
      <c r="K111" s="9"/>
      <c r="L111" s="9"/>
      <c r="M111" s="9"/>
      <c r="N111" s="9"/>
      <c r="O111" s="9"/>
      <c r="P111" s="10"/>
    </row>
    <row r="113" spans="3:11" x14ac:dyDescent="0.25">
      <c r="C113" s="14"/>
      <c r="D113" s="3"/>
      <c r="E113" s="4"/>
      <c r="F113" s="18" t="s">
        <v>11</v>
      </c>
      <c r="H113" s="14"/>
      <c r="I113" s="3"/>
      <c r="J113" s="4"/>
      <c r="K113" s="18" t="s">
        <v>11</v>
      </c>
    </row>
    <row r="114" spans="3:11" x14ac:dyDescent="0.25">
      <c r="C114" s="16"/>
      <c r="D114" s="9"/>
      <c r="E114" s="19" t="s">
        <v>12</v>
      </c>
      <c r="F114" s="20" t="s">
        <v>10</v>
      </c>
      <c r="H114" s="16"/>
      <c r="I114" s="9"/>
      <c r="J114" s="19" t="s">
        <v>12</v>
      </c>
      <c r="K114" s="20" t="s">
        <v>10</v>
      </c>
    </row>
    <row r="115" spans="3:11" x14ac:dyDescent="0.25">
      <c r="C115" s="11"/>
      <c r="D115" s="13"/>
      <c r="E115" s="17" t="s">
        <v>13</v>
      </c>
      <c r="F115" s="21">
        <v>0.25</v>
      </c>
      <c r="H115" s="11"/>
      <c r="I115" s="13"/>
      <c r="J115" s="17" t="s">
        <v>121</v>
      </c>
      <c r="K115" s="21">
        <v>0.3</v>
      </c>
    </row>
    <row r="116" spans="3:11" ht="15" customHeight="1" x14ac:dyDescent="0.25">
      <c r="C116" s="11"/>
      <c r="D116" s="13"/>
      <c r="E116" s="17" t="s">
        <v>14</v>
      </c>
      <c r="F116" s="21">
        <v>0.2</v>
      </c>
      <c r="H116" s="11"/>
      <c r="I116" s="13"/>
      <c r="J116" s="17" t="s">
        <v>122</v>
      </c>
      <c r="K116" s="21">
        <v>0.1</v>
      </c>
    </row>
    <row r="117" spans="3:11" ht="15" customHeight="1" x14ac:dyDescent="0.25">
      <c r="C117" s="11"/>
      <c r="D117" s="13"/>
      <c r="E117" s="17" t="s">
        <v>14</v>
      </c>
      <c r="F117" s="21">
        <v>0.2</v>
      </c>
      <c r="H117" s="11"/>
      <c r="I117" s="13"/>
      <c r="J117" s="17" t="s">
        <v>127</v>
      </c>
      <c r="K117" s="21">
        <v>0.05</v>
      </c>
    </row>
    <row r="118" spans="3:11" ht="15" customHeight="1" x14ac:dyDescent="0.25">
      <c r="C118" s="11"/>
      <c r="D118" s="13"/>
      <c r="E118" s="17" t="s">
        <v>118</v>
      </c>
      <c r="F118" s="21">
        <v>0.4</v>
      </c>
      <c r="H118" s="11"/>
      <c r="I118" s="13"/>
      <c r="J118" s="17" t="s">
        <v>123</v>
      </c>
      <c r="K118" s="21">
        <v>0.2</v>
      </c>
    </row>
    <row r="119" spans="3:11" x14ac:dyDescent="0.25">
      <c r="C119" s="11"/>
      <c r="D119" s="13"/>
      <c r="E119" s="17" t="s">
        <v>18</v>
      </c>
      <c r="F119" s="21">
        <v>1</v>
      </c>
      <c r="H119" s="11"/>
      <c r="I119" s="13"/>
      <c r="J119" s="17" t="s">
        <v>124</v>
      </c>
      <c r="K119" s="21">
        <v>0.3</v>
      </c>
    </row>
    <row r="120" spans="3:11" x14ac:dyDescent="0.25">
      <c r="C120" s="11"/>
      <c r="D120" s="13"/>
      <c r="E120" s="17" t="s">
        <v>15</v>
      </c>
      <c r="F120" s="21">
        <v>0.25</v>
      </c>
      <c r="H120" s="11"/>
      <c r="I120" s="13"/>
      <c r="J120" s="17" t="s">
        <v>124</v>
      </c>
      <c r="K120" s="21">
        <v>0.4</v>
      </c>
    </row>
    <row r="121" spans="3:11" x14ac:dyDescent="0.25">
      <c r="C121" s="11"/>
      <c r="D121" s="13"/>
      <c r="E121" s="17" t="s">
        <v>119</v>
      </c>
      <c r="F121" s="21">
        <v>0.4</v>
      </c>
      <c r="H121" s="11"/>
      <c r="I121" s="13"/>
      <c r="J121" s="17" t="s">
        <v>124</v>
      </c>
      <c r="K121" s="21">
        <v>0.1</v>
      </c>
    </row>
    <row r="122" spans="3:11" x14ac:dyDescent="0.25">
      <c r="C122" s="11"/>
      <c r="D122" s="13"/>
      <c r="E122" s="39" t="s">
        <v>120</v>
      </c>
      <c r="F122" s="21">
        <v>0.5</v>
      </c>
      <c r="H122" s="11"/>
      <c r="I122" s="13"/>
      <c r="J122" s="17" t="s">
        <v>125</v>
      </c>
      <c r="K122" s="21">
        <v>0.1</v>
      </c>
    </row>
    <row r="123" spans="3:11" x14ac:dyDescent="0.25">
      <c r="C123" s="11"/>
      <c r="D123" s="13"/>
      <c r="E123" s="17" t="s">
        <v>16</v>
      </c>
      <c r="F123" s="21">
        <v>0.6</v>
      </c>
      <c r="H123" s="11"/>
      <c r="I123" s="13"/>
      <c r="J123" s="17" t="s">
        <v>126</v>
      </c>
      <c r="K123" s="21">
        <v>0.25</v>
      </c>
    </row>
  </sheetData>
  <pageMargins left="0.7" right="0.7" top="0.75" bottom="0.75" header="0.3" footer="0.3"/>
  <pageSetup scale="39"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6"/>
  <sheetViews>
    <sheetView zoomScaleNormal="100" workbookViewId="0">
      <selection activeCell="E3" sqref="E3"/>
    </sheetView>
  </sheetViews>
  <sheetFormatPr defaultColWidth="8.85546875" defaultRowHeight="15" x14ac:dyDescent="0.25"/>
  <cols>
    <col min="1" max="1" width="17" style="75" bestFit="1" customWidth="1"/>
    <col min="2" max="2" width="14.140625" style="76" customWidth="1"/>
    <col min="3" max="3" width="3" style="76" customWidth="1"/>
    <col min="4" max="4" width="25.85546875" style="65" customWidth="1"/>
    <col min="5" max="5" width="35.85546875" style="65" customWidth="1"/>
    <col min="6" max="6" width="11.85546875" style="69" customWidth="1"/>
    <col min="7" max="7" width="10.42578125" style="76" customWidth="1"/>
    <col min="8" max="8" width="19.7109375" style="65" customWidth="1"/>
    <col min="9" max="9" width="4.28515625" style="76" customWidth="1"/>
    <col min="10" max="10" width="17.140625" style="76" customWidth="1"/>
    <col min="11" max="11" width="11.140625" style="76" bestFit="1" customWidth="1"/>
    <col min="12" max="12" width="16.42578125" style="76" customWidth="1"/>
    <col min="13" max="16384" width="8.85546875" style="76"/>
  </cols>
  <sheetData>
    <row r="1" spans="1:12" s="65" customFormat="1" x14ac:dyDescent="0.25">
      <c r="A1" s="60" t="s">
        <v>794</v>
      </c>
      <c r="B1" s="61" t="s">
        <v>795</v>
      </c>
      <c r="C1" s="61"/>
      <c r="D1" s="61" t="s">
        <v>796</v>
      </c>
      <c r="E1" s="62">
        <v>45107</v>
      </c>
      <c r="F1" s="61" t="s">
        <v>797</v>
      </c>
      <c r="G1" s="63" t="s">
        <v>798</v>
      </c>
      <c r="H1" s="64"/>
      <c r="I1" s="60"/>
    </row>
    <row r="2" spans="1:12" s="65" customFormat="1" x14ac:dyDescent="0.25">
      <c r="A2" s="63" t="s">
        <v>799</v>
      </c>
      <c r="B2" s="66" t="s">
        <v>800</v>
      </c>
      <c r="C2" s="61"/>
      <c r="E2" s="62"/>
      <c r="F2" s="61"/>
      <c r="G2" s="63" t="s">
        <v>801</v>
      </c>
      <c r="H2" s="64"/>
      <c r="I2" s="60"/>
    </row>
    <row r="3" spans="1:12" s="65" customFormat="1" x14ac:dyDescent="0.25">
      <c r="A3" s="67"/>
      <c r="B3" s="61"/>
      <c r="C3" s="61"/>
      <c r="D3" s="61"/>
      <c r="E3" s="62"/>
      <c r="F3" s="61"/>
      <c r="H3" s="61"/>
      <c r="I3" s="60"/>
    </row>
    <row r="4" spans="1:12" s="65" customFormat="1" x14ac:dyDescent="0.25">
      <c r="A4" s="68" t="s">
        <v>802</v>
      </c>
      <c r="F4" s="69"/>
    </row>
    <row r="5" spans="1:12" s="65" customFormat="1" x14ac:dyDescent="0.25">
      <c r="A5" s="67" t="s">
        <v>803</v>
      </c>
      <c r="B5" s="65" t="s">
        <v>804</v>
      </c>
      <c r="E5" s="65" t="s">
        <v>805</v>
      </c>
      <c r="F5" s="69">
        <f>SUM(F23:F31)</f>
        <v>40794.899999999994</v>
      </c>
      <c r="G5" s="70">
        <v>4.3E-3</v>
      </c>
      <c r="H5" s="69">
        <f t="shared" ref="H5:H8" si="0">F5*G5</f>
        <v>175.41806999999997</v>
      </c>
      <c r="I5" s="71"/>
      <c r="K5" s="69"/>
      <c r="L5" s="69"/>
    </row>
    <row r="6" spans="1:12" s="65" customFormat="1" x14ac:dyDescent="0.25">
      <c r="A6" s="67" t="s">
        <v>806</v>
      </c>
      <c r="B6" s="65" t="s">
        <v>807</v>
      </c>
      <c r="E6" s="65" t="s">
        <v>808</v>
      </c>
      <c r="F6" s="69">
        <f>SUM(F52:F56)</f>
        <v>6535.99</v>
      </c>
      <c r="G6" s="70">
        <v>0.19</v>
      </c>
      <c r="H6" s="69">
        <f t="shared" si="0"/>
        <v>1241.8380999999999</v>
      </c>
      <c r="I6" s="69"/>
      <c r="K6" s="69"/>
      <c r="L6" s="69"/>
    </row>
    <row r="7" spans="1:12" s="65" customFormat="1" x14ac:dyDescent="0.25">
      <c r="A7" s="67" t="s">
        <v>806</v>
      </c>
      <c r="B7" s="65" t="s">
        <v>807</v>
      </c>
      <c r="E7" s="65" t="s">
        <v>805</v>
      </c>
      <c r="F7" s="69">
        <f>SUM(F42:F50)</f>
        <v>66489.39</v>
      </c>
      <c r="G7" s="70">
        <v>0.11700000000000001</v>
      </c>
      <c r="H7" s="69">
        <f t="shared" si="0"/>
        <v>7779.2586300000003</v>
      </c>
      <c r="I7" s="69"/>
      <c r="K7" s="69"/>
      <c r="L7" s="69"/>
    </row>
    <row r="8" spans="1:12" s="65" customFormat="1" x14ac:dyDescent="0.25">
      <c r="A8" s="67" t="s">
        <v>809</v>
      </c>
      <c r="B8" s="65" t="s">
        <v>810</v>
      </c>
      <c r="D8" s="72" t="s">
        <v>811</v>
      </c>
      <c r="E8" s="65" t="s">
        <v>812</v>
      </c>
      <c r="F8" s="69">
        <f>F58</f>
        <v>0</v>
      </c>
      <c r="G8" s="70">
        <v>0.03</v>
      </c>
      <c r="H8" s="73">
        <f t="shared" si="0"/>
        <v>0</v>
      </c>
      <c r="I8" s="69"/>
      <c r="J8" s="74" t="s">
        <v>813</v>
      </c>
      <c r="K8" s="69"/>
      <c r="L8" s="69"/>
    </row>
    <row r="9" spans="1:12" x14ac:dyDescent="0.25">
      <c r="G9" s="65"/>
    </row>
    <row r="10" spans="1:12" s="65" customFormat="1" x14ac:dyDescent="0.25">
      <c r="A10" s="67"/>
      <c r="F10" s="69"/>
      <c r="G10" s="77"/>
      <c r="H10" s="69"/>
      <c r="I10" s="69"/>
    </row>
    <row r="11" spans="1:12" s="65" customFormat="1" x14ac:dyDescent="0.25">
      <c r="A11" s="68" t="s">
        <v>814</v>
      </c>
      <c r="F11" s="69"/>
      <c r="G11" s="77"/>
      <c r="H11" s="69"/>
      <c r="I11" s="69"/>
    </row>
    <row r="12" spans="1:12" s="65" customFormat="1" x14ac:dyDescent="0.25">
      <c r="A12" s="68" t="s">
        <v>815</v>
      </c>
      <c r="F12" s="69"/>
      <c r="G12" s="77"/>
      <c r="H12" s="69"/>
      <c r="I12" s="69"/>
    </row>
    <row r="13" spans="1:12" s="65" customFormat="1" x14ac:dyDescent="0.25">
      <c r="A13" s="67" t="s">
        <v>816</v>
      </c>
      <c r="B13" s="65" t="s">
        <v>817</v>
      </c>
      <c r="D13" s="72" t="s">
        <v>818</v>
      </c>
      <c r="E13" s="76" t="s">
        <v>819</v>
      </c>
      <c r="F13" s="69">
        <v>4480.99</v>
      </c>
      <c r="G13" s="77">
        <v>0.20030000000000001</v>
      </c>
      <c r="H13" s="69">
        <f t="shared" ref="H13:H58" si="1">F13*G13</f>
        <v>897.54229699999996</v>
      </c>
      <c r="I13" s="69"/>
    </row>
    <row r="14" spans="1:12" s="65" customFormat="1" x14ac:dyDescent="0.25">
      <c r="A14" s="67" t="s">
        <v>820</v>
      </c>
      <c r="B14" s="65" t="s">
        <v>817</v>
      </c>
      <c r="D14" s="72" t="s">
        <v>821</v>
      </c>
      <c r="E14" s="76" t="s">
        <v>822</v>
      </c>
      <c r="F14" s="69">
        <v>57116.85</v>
      </c>
      <c r="G14" s="77">
        <v>0.20030000000000001</v>
      </c>
      <c r="H14" s="69">
        <f t="shared" si="1"/>
        <v>11440.505055</v>
      </c>
      <c r="I14" s="69"/>
    </row>
    <row r="15" spans="1:12" s="65" customFormat="1" x14ac:dyDescent="0.25">
      <c r="A15" s="65" t="s">
        <v>817</v>
      </c>
      <c r="B15" s="67" t="s">
        <v>823</v>
      </c>
      <c r="D15" s="72" t="s">
        <v>817</v>
      </c>
      <c r="E15" s="76" t="s">
        <v>824</v>
      </c>
      <c r="F15" s="69">
        <v>-4643.97</v>
      </c>
      <c r="G15" s="77">
        <v>0.20030000000000001</v>
      </c>
      <c r="H15" s="69">
        <f>-F15*G15</f>
        <v>930.1871910000001</v>
      </c>
      <c r="I15" s="69"/>
    </row>
    <row r="16" spans="1:12" s="65" customFormat="1" x14ac:dyDescent="0.25">
      <c r="A16" s="67" t="s">
        <v>825</v>
      </c>
      <c r="B16" s="65" t="s">
        <v>817</v>
      </c>
      <c r="D16" s="72" t="s">
        <v>826</v>
      </c>
      <c r="E16" s="76" t="s">
        <v>827</v>
      </c>
      <c r="F16" s="69">
        <v>1715.71</v>
      </c>
      <c r="G16" s="77">
        <v>0.20030000000000001</v>
      </c>
      <c r="H16" s="69">
        <f t="shared" si="1"/>
        <v>343.65671300000002</v>
      </c>
      <c r="I16" s="69"/>
    </row>
    <row r="17" spans="1:9" s="65" customFormat="1" x14ac:dyDescent="0.25">
      <c r="A17" s="67" t="s">
        <v>828</v>
      </c>
      <c r="B17" s="65" t="s">
        <v>817</v>
      </c>
      <c r="D17" s="72" t="s">
        <v>829</v>
      </c>
      <c r="E17" s="76" t="s">
        <v>830</v>
      </c>
      <c r="F17" s="69">
        <v>0</v>
      </c>
      <c r="G17" s="77">
        <v>0.20030000000000001</v>
      </c>
      <c r="H17" s="69">
        <f t="shared" si="1"/>
        <v>0</v>
      </c>
      <c r="I17" s="69"/>
    </row>
    <row r="18" spans="1:9" s="65" customFormat="1" x14ac:dyDescent="0.25">
      <c r="A18" s="67" t="s">
        <v>831</v>
      </c>
      <c r="B18" s="65" t="s">
        <v>817</v>
      </c>
      <c r="D18" s="72" t="s">
        <v>832</v>
      </c>
      <c r="E18" s="76" t="s">
        <v>833</v>
      </c>
      <c r="F18" s="69">
        <v>13654.71</v>
      </c>
      <c r="G18" s="77">
        <v>0.20030000000000001</v>
      </c>
      <c r="H18" s="69">
        <f t="shared" si="1"/>
        <v>2735.0384129999998</v>
      </c>
      <c r="I18" s="69"/>
    </row>
    <row r="19" spans="1:9" s="65" customFormat="1" x14ac:dyDescent="0.25">
      <c r="A19" s="67" t="s">
        <v>834</v>
      </c>
      <c r="B19" s="65" t="s">
        <v>817</v>
      </c>
      <c r="D19" s="72" t="s">
        <v>835</v>
      </c>
      <c r="E19" s="76" t="s">
        <v>836</v>
      </c>
      <c r="F19" s="69">
        <v>7558.04</v>
      </c>
      <c r="G19" s="77">
        <v>0.20030000000000001</v>
      </c>
      <c r="H19" s="69">
        <f t="shared" si="1"/>
        <v>1513.8754120000001</v>
      </c>
      <c r="I19" s="69"/>
    </row>
    <row r="20" spans="1:9" s="65" customFormat="1" x14ac:dyDescent="0.25">
      <c r="A20" s="67" t="s">
        <v>837</v>
      </c>
      <c r="B20" s="65" t="s">
        <v>817</v>
      </c>
      <c r="D20" s="72" t="s">
        <v>838</v>
      </c>
      <c r="E20" s="76" t="s">
        <v>839</v>
      </c>
      <c r="F20" s="69">
        <v>2475</v>
      </c>
      <c r="G20" s="77">
        <v>0.20030000000000001</v>
      </c>
      <c r="H20" s="69">
        <f t="shared" si="1"/>
        <v>495.74250000000001</v>
      </c>
      <c r="I20" s="69"/>
    </row>
    <row r="21" spans="1:9" s="65" customFormat="1" x14ac:dyDescent="0.25">
      <c r="A21" s="67" t="s">
        <v>840</v>
      </c>
      <c r="B21" s="65" t="s">
        <v>817</v>
      </c>
      <c r="D21" s="72" t="s">
        <v>841</v>
      </c>
      <c r="E21" s="76" t="s">
        <v>842</v>
      </c>
      <c r="F21" s="69">
        <v>813.87</v>
      </c>
      <c r="G21" s="77">
        <v>0.20030000000000001</v>
      </c>
      <c r="H21" s="69">
        <f t="shared" si="1"/>
        <v>163.01816099999999</v>
      </c>
      <c r="I21" s="69"/>
    </row>
    <row r="22" spans="1:9" s="65" customFormat="1" x14ac:dyDescent="0.25">
      <c r="A22" s="68" t="s">
        <v>843</v>
      </c>
      <c r="F22" s="69"/>
      <c r="G22" s="77"/>
      <c r="H22" s="69">
        <f t="shared" si="1"/>
        <v>0</v>
      </c>
      <c r="I22" s="69"/>
    </row>
    <row r="23" spans="1:9" s="65" customFormat="1" x14ac:dyDescent="0.25">
      <c r="A23" s="75" t="s">
        <v>844</v>
      </c>
      <c r="B23" s="65" t="s">
        <v>804</v>
      </c>
      <c r="D23" s="72" t="s">
        <v>845</v>
      </c>
      <c r="E23" s="76" t="s">
        <v>819</v>
      </c>
      <c r="F23" s="69">
        <v>1986.28</v>
      </c>
      <c r="G23" s="77">
        <v>0.46150000000000002</v>
      </c>
      <c r="H23" s="69">
        <f t="shared" si="1"/>
        <v>916.66822000000002</v>
      </c>
      <c r="I23" s="69"/>
    </row>
    <row r="24" spans="1:9" s="65" customFormat="1" x14ac:dyDescent="0.25">
      <c r="A24" s="67" t="s">
        <v>846</v>
      </c>
      <c r="B24" s="65" t="s">
        <v>804</v>
      </c>
      <c r="D24" s="72" t="s">
        <v>847</v>
      </c>
      <c r="E24" s="76" t="s">
        <v>822</v>
      </c>
      <c r="F24" s="69">
        <v>26700.21</v>
      </c>
      <c r="G24" s="77">
        <v>0.46150000000000002</v>
      </c>
      <c r="H24" s="69">
        <f t="shared" si="1"/>
        <v>12322.146914999999</v>
      </c>
      <c r="I24" s="69"/>
    </row>
    <row r="25" spans="1:9" s="65" customFormat="1" x14ac:dyDescent="0.25">
      <c r="A25" s="67" t="s">
        <v>804</v>
      </c>
      <c r="B25" s="67" t="s">
        <v>848</v>
      </c>
      <c r="D25" s="72" t="s">
        <v>804</v>
      </c>
      <c r="E25" s="76" t="s">
        <v>824</v>
      </c>
      <c r="F25" s="69">
        <v>0</v>
      </c>
      <c r="G25" s="77">
        <v>0.46150000000000002</v>
      </c>
      <c r="H25" s="69">
        <f>-F25*G25</f>
        <v>0</v>
      </c>
      <c r="I25" s="69"/>
    </row>
    <row r="26" spans="1:9" s="65" customFormat="1" x14ac:dyDescent="0.25">
      <c r="A26" s="67" t="s">
        <v>849</v>
      </c>
      <c r="B26" s="65" t="s">
        <v>804</v>
      </c>
      <c r="D26" s="72" t="s">
        <v>850</v>
      </c>
      <c r="E26" s="76" t="s">
        <v>827</v>
      </c>
      <c r="F26" s="69">
        <v>124.7</v>
      </c>
      <c r="G26" s="77">
        <v>0.46150000000000002</v>
      </c>
      <c r="H26" s="69">
        <f t="shared" si="1"/>
        <v>57.549050000000001</v>
      </c>
      <c r="I26" s="69"/>
    </row>
    <row r="27" spans="1:9" s="65" customFormat="1" x14ac:dyDescent="0.25">
      <c r="A27" s="67" t="s">
        <v>851</v>
      </c>
      <c r="B27" s="65" t="s">
        <v>804</v>
      </c>
      <c r="D27" s="72" t="s">
        <v>852</v>
      </c>
      <c r="E27" s="76" t="s">
        <v>830</v>
      </c>
      <c r="F27" s="69">
        <v>0</v>
      </c>
      <c r="G27" s="77">
        <v>0.46150000000000002</v>
      </c>
      <c r="H27" s="69">
        <f t="shared" si="1"/>
        <v>0</v>
      </c>
      <c r="I27" s="69"/>
    </row>
    <row r="28" spans="1:9" s="65" customFormat="1" x14ac:dyDescent="0.25">
      <c r="A28" s="67" t="s">
        <v>853</v>
      </c>
      <c r="B28" s="65" t="s">
        <v>804</v>
      </c>
      <c r="D28" s="72" t="s">
        <v>854</v>
      </c>
      <c r="E28" s="76" t="s">
        <v>833</v>
      </c>
      <c r="F28" s="69">
        <v>6495.9</v>
      </c>
      <c r="G28" s="77">
        <v>0.46150000000000002</v>
      </c>
      <c r="H28" s="69">
        <f t="shared" si="1"/>
        <v>2997.8578499999999</v>
      </c>
      <c r="I28" s="69"/>
    </row>
    <row r="29" spans="1:9" s="65" customFormat="1" x14ac:dyDescent="0.25">
      <c r="A29" s="67" t="s">
        <v>855</v>
      </c>
      <c r="B29" s="65" t="s">
        <v>804</v>
      </c>
      <c r="D29" s="72" t="s">
        <v>856</v>
      </c>
      <c r="E29" s="76" t="s">
        <v>836</v>
      </c>
      <c r="F29" s="69">
        <v>4107.2</v>
      </c>
      <c r="G29" s="77">
        <v>0.46150000000000002</v>
      </c>
      <c r="H29" s="69">
        <f t="shared" si="1"/>
        <v>1895.4728</v>
      </c>
      <c r="I29" s="69"/>
    </row>
    <row r="30" spans="1:9" s="65" customFormat="1" x14ac:dyDescent="0.25">
      <c r="A30" s="67" t="s">
        <v>857</v>
      </c>
      <c r="B30" s="65" t="s">
        <v>804</v>
      </c>
      <c r="D30" s="72" t="s">
        <v>858</v>
      </c>
      <c r="E30" s="76" t="s">
        <v>839</v>
      </c>
      <c r="F30" s="69">
        <v>1350</v>
      </c>
      <c r="G30" s="77">
        <v>0.46150000000000002</v>
      </c>
      <c r="H30" s="69">
        <f t="shared" si="1"/>
        <v>623.02499999999998</v>
      </c>
      <c r="I30" s="69"/>
    </row>
    <row r="31" spans="1:9" s="65" customFormat="1" x14ac:dyDescent="0.25">
      <c r="A31" s="67" t="s">
        <v>859</v>
      </c>
      <c r="B31" s="65" t="s">
        <v>804</v>
      </c>
      <c r="D31" s="72" t="s">
        <v>860</v>
      </c>
      <c r="E31" s="76" t="s">
        <v>842</v>
      </c>
      <c r="F31" s="69">
        <v>30.61</v>
      </c>
      <c r="G31" s="77">
        <v>0.46150000000000002</v>
      </c>
      <c r="H31" s="69">
        <f t="shared" si="1"/>
        <v>14.126515000000001</v>
      </c>
      <c r="I31" s="69"/>
    </row>
    <row r="32" spans="1:9" s="65" customFormat="1" x14ac:dyDescent="0.25">
      <c r="A32" s="78" t="s">
        <v>861</v>
      </c>
      <c r="D32" s="72"/>
      <c r="E32" s="76"/>
      <c r="F32" s="69"/>
      <c r="G32" s="77"/>
      <c r="H32" s="69"/>
      <c r="I32" s="69"/>
    </row>
    <row r="33" spans="1:11" s="65" customFormat="1" x14ac:dyDescent="0.25">
      <c r="A33" s="75" t="s">
        <v>862</v>
      </c>
      <c r="B33" s="65" t="s">
        <v>863</v>
      </c>
      <c r="D33" s="72" t="s">
        <v>864</v>
      </c>
      <c r="E33" s="76" t="s">
        <v>819</v>
      </c>
      <c r="F33" s="69">
        <v>1679.04</v>
      </c>
      <c r="G33" s="77">
        <v>0.24959999999999999</v>
      </c>
      <c r="H33" s="69">
        <f t="shared" si="1"/>
        <v>419.08838399999996</v>
      </c>
      <c r="I33" s="69"/>
    </row>
    <row r="34" spans="1:11" s="65" customFormat="1" x14ac:dyDescent="0.25">
      <c r="A34" s="67" t="s">
        <v>865</v>
      </c>
      <c r="B34" s="65" t="s">
        <v>863</v>
      </c>
      <c r="D34" s="72" t="s">
        <v>866</v>
      </c>
      <c r="E34" s="76" t="s">
        <v>822</v>
      </c>
      <c r="F34" s="69">
        <f>23245.87+349.29+227.26</f>
        <v>23822.42</v>
      </c>
      <c r="G34" s="77">
        <v>0.24959999999999999</v>
      </c>
      <c r="H34" s="69">
        <f t="shared" si="1"/>
        <v>5946.076031999999</v>
      </c>
      <c r="I34" s="69"/>
      <c r="J34" s="105" t="s">
        <v>867</v>
      </c>
      <c r="K34" s="106"/>
    </row>
    <row r="35" spans="1:11" s="65" customFormat="1" x14ac:dyDescent="0.25">
      <c r="A35" s="67" t="s">
        <v>863</v>
      </c>
      <c r="B35" s="67" t="s">
        <v>868</v>
      </c>
      <c r="D35" s="72" t="s">
        <v>863</v>
      </c>
      <c r="E35" s="76" t="s">
        <v>824</v>
      </c>
      <c r="F35" s="69">
        <v>-14728.15</v>
      </c>
      <c r="G35" s="77">
        <v>0.24959999999999999</v>
      </c>
      <c r="H35" s="69">
        <f>-F35*G35</f>
        <v>3676.1462399999996</v>
      </c>
      <c r="I35" s="69"/>
    </row>
    <row r="36" spans="1:11" s="65" customFormat="1" x14ac:dyDescent="0.25">
      <c r="A36" s="67" t="s">
        <v>869</v>
      </c>
      <c r="B36" s="65" t="s">
        <v>863</v>
      </c>
      <c r="D36" s="72" t="s">
        <v>870</v>
      </c>
      <c r="E36" s="76" t="s">
        <v>827</v>
      </c>
      <c r="F36" s="69">
        <v>565.89</v>
      </c>
      <c r="G36" s="77">
        <v>0.24959999999999999</v>
      </c>
      <c r="H36" s="69">
        <f t="shared" si="1"/>
        <v>141.24614399999999</v>
      </c>
      <c r="I36" s="69"/>
    </row>
    <row r="37" spans="1:11" s="65" customFormat="1" x14ac:dyDescent="0.25">
      <c r="A37" s="67" t="s">
        <v>871</v>
      </c>
      <c r="B37" s="65" t="s">
        <v>863</v>
      </c>
      <c r="D37" s="72" t="s">
        <v>872</v>
      </c>
      <c r="E37" s="76" t="s">
        <v>833</v>
      </c>
      <c r="F37" s="69">
        <v>5672.05</v>
      </c>
      <c r="G37" s="77">
        <v>0.24959999999999999</v>
      </c>
      <c r="H37" s="69">
        <f t="shared" si="1"/>
        <v>1415.74368</v>
      </c>
      <c r="I37" s="69"/>
    </row>
    <row r="38" spans="1:11" s="65" customFormat="1" x14ac:dyDescent="0.25">
      <c r="A38" s="67" t="s">
        <v>873</v>
      </c>
      <c r="B38" s="65" t="s">
        <v>863</v>
      </c>
      <c r="D38" s="72" t="s">
        <v>874</v>
      </c>
      <c r="E38" s="76" t="s">
        <v>836</v>
      </c>
      <c r="F38" s="69">
        <v>2159.58</v>
      </c>
      <c r="G38" s="77">
        <v>0.24959999999999999</v>
      </c>
      <c r="H38" s="69">
        <f t="shared" si="1"/>
        <v>539.03116799999998</v>
      </c>
      <c r="I38" s="69"/>
    </row>
    <row r="39" spans="1:11" s="65" customFormat="1" x14ac:dyDescent="0.25">
      <c r="A39" s="67" t="s">
        <v>875</v>
      </c>
      <c r="B39" s="65" t="s">
        <v>863</v>
      </c>
      <c r="D39" s="72" t="s">
        <v>876</v>
      </c>
      <c r="E39" s="76" t="s">
        <v>839</v>
      </c>
      <c r="F39" s="69">
        <v>675</v>
      </c>
      <c r="G39" s="77">
        <v>0.24959999999999999</v>
      </c>
      <c r="H39" s="69">
        <f t="shared" si="1"/>
        <v>168.48</v>
      </c>
      <c r="I39" s="69"/>
    </row>
    <row r="40" spans="1:11" s="65" customFormat="1" x14ac:dyDescent="0.25">
      <c r="A40" s="67" t="s">
        <v>877</v>
      </c>
      <c r="B40" s="65" t="s">
        <v>863</v>
      </c>
      <c r="D40" s="72" t="s">
        <v>878</v>
      </c>
      <c r="E40" s="76" t="s">
        <v>842</v>
      </c>
      <c r="F40" s="69">
        <v>366.14</v>
      </c>
      <c r="G40" s="77">
        <v>0.24959999999999999</v>
      </c>
      <c r="H40" s="69">
        <f t="shared" si="1"/>
        <v>91.388543999999996</v>
      </c>
      <c r="I40" s="69"/>
    </row>
    <row r="41" spans="1:11" s="65" customFormat="1" x14ac:dyDescent="0.25">
      <c r="A41" s="68" t="s">
        <v>879</v>
      </c>
      <c r="F41" s="69"/>
      <c r="G41" s="77"/>
      <c r="H41" s="69"/>
      <c r="I41" s="69"/>
    </row>
    <row r="42" spans="1:11" s="65" customFormat="1" x14ac:dyDescent="0.25">
      <c r="A42" s="75" t="s">
        <v>880</v>
      </c>
      <c r="B42" s="65" t="s">
        <v>807</v>
      </c>
      <c r="D42" s="72" t="s">
        <v>881</v>
      </c>
      <c r="E42" s="76" t="s">
        <v>819</v>
      </c>
      <c r="F42" s="69">
        <v>6879.14</v>
      </c>
      <c r="G42" s="77">
        <v>0.2102</v>
      </c>
      <c r="H42" s="69">
        <f t="shared" si="1"/>
        <v>1445.995228</v>
      </c>
      <c r="I42" s="69"/>
    </row>
    <row r="43" spans="1:11" s="65" customFormat="1" x14ac:dyDescent="0.25">
      <c r="A43" s="67" t="s">
        <v>882</v>
      </c>
      <c r="B43" s="65" t="s">
        <v>807</v>
      </c>
      <c r="D43" s="72" t="s">
        <v>883</v>
      </c>
      <c r="E43" s="76" t="s">
        <v>822</v>
      </c>
      <c r="F43" s="69">
        <v>92641.53</v>
      </c>
      <c r="G43" s="77">
        <v>0.2102</v>
      </c>
      <c r="H43" s="69">
        <f t="shared" si="1"/>
        <v>19473.249606000001</v>
      </c>
      <c r="I43" s="69"/>
    </row>
    <row r="44" spans="1:11" s="65" customFormat="1" x14ac:dyDescent="0.25">
      <c r="A44" s="65" t="s">
        <v>807</v>
      </c>
      <c r="B44" s="67" t="s">
        <v>884</v>
      </c>
      <c r="D44" s="72" t="s">
        <v>807</v>
      </c>
      <c r="E44" s="76" t="s">
        <v>824</v>
      </c>
      <c r="F44" s="69">
        <v>-66482.649999999994</v>
      </c>
      <c r="G44" s="77">
        <v>0.2102</v>
      </c>
      <c r="H44" s="69">
        <f>-F44*G44</f>
        <v>13974.653029999999</v>
      </c>
      <c r="I44" s="69"/>
    </row>
    <row r="45" spans="1:11" s="65" customFormat="1" x14ac:dyDescent="0.25">
      <c r="A45" s="67" t="s">
        <v>885</v>
      </c>
      <c r="B45" s="65" t="s">
        <v>807</v>
      </c>
      <c r="D45" s="72" t="s">
        <v>886</v>
      </c>
      <c r="E45" s="76" t="s">
        <v>827</v>
      </c>
      <c r="F45" s="69">
        <v>25.12</v>
      </c>
      <c r="G45" s="77">
        <v>0.2102</v>
      </c>
      <c r="H45" s="69">
        <f t="shared" si="1"/>
        <v>5.2802240000000005</v>
      </c>
      <c r="I45" s="69"/>
    </row>
    <row r="46" spans="1:11" s="65" customFormat="1" x14ac:dyDescent="0.25">
      <c r="A46" s="67" t="s">
        <v>887</v>
      </c>
      <c r="B46" s="65" t="s">
        <v>807</v>
      </c>
      <c r="D46" s="72" t="s">
        <v>888</v>
      </c>
      <c r="E46" s="76" t="s">
        <v>830</v>
      </c>
      <c r="F46" s="69">
        <v>0</v>
      </c>
      <c r="G46" s="77">
        <v>0.2102</v>
      </c>
      <c r="H46" s="69">
        <f t="shared" si="1"/>
        <v>0</v>
      </c>
      <c r="I46" s="69"/>
    </row>
    <row r="47" spans="1:11" s="65" customFormat="1" x14ac:dyDescent="0.25">
      <c r="A47" s="67" t="s">
        <v>889</v>
      </c>
      <c r="B47" s="65" t="s">
        <v>807</v>
      </c>
      <c r="D47" s="72" t="s">
        <v>890</v>
      </c>
      <c r="E47" s="76" t="s">
        <v>833</v>
      </c>
      <c r="F47" s="69">
        <v>22931.919999999998</v>
      </c>
      <c r="G47" s="77">
        <v>0.2102</v>
      </c>
      <c r="H47" s="69">
        <f t="shared" si="1"/>
        <v>4820.2895839999992</v>
      </c>
      <c r="I47" s="69"/>
    </row>
    <row r="48" spans="1:11" s="65" customFormat="1" x14ac:dyDescent="0.25">
      <c r="A48" s="67" t="s">
        <v>891</v>
      </c>
      <c r="B48" s="65" t="s">
        <v>807</v>
      </c>
      <c r="D48" s="72" t="s">
        <v>892</v>
      </c>
      <c r="E48" s="76" t="s">
        <v>836</v>
      </c>
      <c r="F48" s="69">
        <v>7808.56</v>
      </c>
      <c r="G48" s="77">
        <v>0.2102</v>
      </c>
      <c r="H48" s="69">
        <f t="shared" si="1"/>
        <v>1641.359312</v>
      </c>
      <c r="I48" s="69"/>
    </row>
    <row r="49" spans="1:12" s="65" customFormat="1" x14ac:dyDescent="0.25">
      <c r="A49" s="67" t="s">
        <v>893</v>
      </c>
      <c r="B49" s="65" t="s">
        <v>807</v>
      </c>
      <c r="D49" s="72" t="s">
        <v>894</v>
      </c>
      <c r="E49" s="76" t="s">
        <v>839</v>
      </c>
      <c r="F49" s="69">
        <v>2475</v>
      </c>
      <c r="G49" s="77">
        <v>0.2102</v>
      </c>
      <c r="H49" s="69">
        <f t="shared" si="1"/>
        <v>520.245</v>
      </c>
      <c r="I49" s="69"/>
    </row>
    <row r="50" spans="1:12" s="65" customFormat="1" x14ac:dyDescent="0.25">
      <c r="A50" s="67" t="s">
        <v>895</v>
      </c>
      <c r="B50" s="65" t="s">
        <v>807</v>
      </c>
      <c r="D50" s="72" t="s">
        <v>896</v>
      </c>
      <c r="E50" s="76" t="s">
        <v>842</v>
      </c>
      <c r="F50" s="69">
        <v>210.77</v>
      </c>
      <c r="G50" s="77">
        <v>0.2102</v>
      </c>
      <c r="H50" s="69">
        <f t="shared" si="1"/>
        <v>44.303854000000001</v>
      </c>
      <c r="I50" s="69"/>
    </row>
    <row r="51" spans="1:12" s="65" customFormat="1" x14ac:dyDescent="0.25">
      <c r="A51" s="68" t="s">
        <v>897</v>
      </c>
      <c r="F51" s="69"/>
      <c r="G51" s="77"/>
      <c r="H51" s="69">
        <f t="shared" si="1"/>
        <v>0</v>
      </c>
      <c r="I51" s="69"/>
    </row>
    <row r="52" spans="1:12" s="65" customFormat="1" x14ac:dyDescent="0.25">
      <c r="A52" s="75" t="s">
        <v>898</v>
      </c>
      <c r="B52" s="65" t="s">
        <v>807</v>
      </c>
      <c r="D52" s="72" t="s">
        <v>899</v>
      </c>
      <c r="E52" s="76" t="s">
        <v>819</v>
      </c>
      <c r="F52" s="69">
        <v>190.47</v>
      </c>
      <c r="G52" s="77">
        <v>0.24</v>
      </c>
      <c r="H52" s="69">
        <f t="shared" si="1"/>
        <v>45.712800000000001</v>
      </c>
      <c r="I52" s="69"/>
    </row>
    <row r="53" spans="1:12" s="65" customFormat="1" x14ac:dyDescent="0.25">
      <c r="A53" s="67" t="s">
        <v>900</v>
      </c>
      <c r="B53" s="65" t="s">
        <v>807</v>
      </c>
      <c r="D53" s="72" t="s">
        <v>901</v>
      </c>
      <c r="E53" s="76" t="s">
        <v>822</v>
      </c>
      <c r="F53" s="69">
        <v>2516.67</v>
      </c>
      <c r="G53" s="77">
        <v>0.24</v>
      </c>
      <c r="H53" s="69">
        <f t="shared" si="1"/>
        <v>604.00080000000003</v>
      </c>
      <c r="I53" s="69"/>
    </row>
    <row r="54" spans="1:12" s="65" customFormat="1" x14ac:dyDescent="0.25">
      <c r="A54" s="67" t="s">
        <v>902</v>
      </c>
      <c r="B54" s="65" t="s">
        <v>807</v>
      </c>
      <c r="D54" s="72" t="s">
        <v>903</v>
      </c>
      <c r="E54" s="76" t="s">
        <v>833</v>
      </c>
      <c r="F54" s="69">
        <v>674.22</v>
      </c>
      <c r="G54" s="77">
        <v>0.24</v>
      </c>
      <c r="H54" s="69">
        <f t="shared" si="1"/>
        <v>161.81280000000001</v>
      </c>
      <c r="I54" s="69"/>
    </row>
    <row r="55" spans="1:12" s="65" customFormat="1" x14ac:dyDescent="0.25">
      <c r="A55" s="67" t="s">
        <v>904</v>
      </c>
      <c r="B55" s="65" t="s">
        <v>807</v>
      </c>
      <c r="D55" s="72" t="s">
        <v>905</v>
      </c>
      <c r="E55" s="76" t="s">
        <v>836</v>
      </c>
      <c r="F55" s="69">
        <v>3151.73</v>
      </c>
      <c r="G55" s="77">
        <v>0.24</v>
      </c>
      <c r="H55" s="69">
        <f t="shared" si="1"/>
        <v>756.41520000000003</v>
      </c>
      <c r="I55" s="69"/>
      <c r="J55" s="69"/>
      <c r="K55" s="69"/>
      <c r="L55" s="69"/>
    </row>
    <row r="56" spans="1:12" s="65" customFormat="1" x14ac:dyDescent="0.25">
      <c r="A56" s="67" t="s">
        <v>906</v>
      </c>
      <c r="B56" s="65" t="s">
        <v>807</v>
      </c>
      <c r="D56" s="72" t="s">
        <v>907</v>
      </c>
      <c r="E56" s="76" t="s">
        <v>842</v>
      </c>
      <c r="F56" s="69">
        <v>2.9</v>
      </c>
      <c r="G56" s="77">
        <v>0.24</v>
      </c>
      <c r="H56" s="69">
        <f t="shared" si="1"/>
        <v>0.69599999999999995</v>
      </c>
      <c r="I56" s="69"/>
      <c r="J56" s="69"/>
      <c r="K56" s="69"/>
      <c r="L56" s="69"/>
    </row>
    <row r="57" spans="1:12" s="65" customFormat="1" x14ac:dyDescent="0.25">
      <c r="A57" s="75"/>
      <c r="D57" s="72"/>
      <c r="E57" s="76"/>
      <c r="F57" s="69"/>
      <c r="G57" s="77"/>
      <c r="H57" s="69">
        <f t="shared" si="1"/>
        <v>0</v>
      </c>
      <c r="I57" s="69"/>
      <c r="J57" s="69"/>
      <c r="K57" s="69"/>
      <c r="L57" s="69"/>
    </row>
    <row r="58" spans="1:12" s="65" customFormat="1" x14ac:dyDescent="0.25">
      <c r="A58" s="75" t="s">
        <v>908</v>
      </c>
      <c r="B58" s="65" t="s">
        <v>909</v>
      </c>
      <c r="D58" s="72" t="s">
        <v>811</v>
      </c>
      <c r="E58" s="65" t="s">
        <v>812</v>
      </c>
      <c r="F58" s="69">
        <v>0</v>
      </c>
      <c r="G58" s="77">
        <v>0.13</v>
      </c>
      <c r="H58" s="73">
        <f t="shared" si="1"/>
        <v>0</v>
      </c>
      <c r="I58" s="69"/>
      <c r="J58" s="74" t="s">
        <v>813</v>
      </c>
      <c r="K58" s="69"/>
      <c r="L58" s="69"/>
    </row>
    <row r="59" spans="1:12" s="65" customFormat="1" x14ac:dyDescent="0.25">
      <c r="A59" s="67"/>
      <c r="F59" s="69"/>
      <c r="G59" s="70"/>
      <c r="H59" s="69"/>
      <c r="I59" s="69"/>
      <c r="K59" s="69"/>
      <c r="L59" s="69"/>
    </row>
    <row r="60" spans="1:12" s="65" customFormat="1" x14ac:dyDescent="0.25">
      <c r="A60" s="68" t="s">
        <v>910</v>
      </c>
      <c r="F60" s="69"/>
      <c r="G60" s="77"/>
    </row>
    <row r="61" spans="1:12" s="65" customFormat="1" x14ac:dyDescent="0.25">
      <c r="A61" s="67" t="s">
        <v>911</v>
      </c>
      <c r="B61" s="65" t="s">
        <v>807</v>
      </c>
      <c r="E61" s="65" t="s">
        <v>808</v>
      </c>
      <c r="F61" s="69">
        <f>F6</f>
        <v>6535.99</v>
      </c>
      <c r="G61" s="70">
        <v>0.14000000000000001</v>
      </c>
      <c r="H61" s="69">
        <f t="shared" ref="H61:H62" si="2">F61*G61</f>
        <v>915.03860000000009</v>
      </c>
      <c r="I61" s="69"/>
      <c r="K61" s="69"/>
      <c r="L61" s="69"/>
    </row>
    <row r="62" spans="1:12" s="65" customFormat="1" x14ac:dyDescent="0.25">
      <c r="A62" s="67" t="s">
        <v>911</v>
      </c>
      <c r="B62" s="65" t="s">
        <v>807</v>
      </c>
      <c r="E62" s="65" t="s">
        <v>805</v>
      </c>
      <c r="F62" s="69">
        <f>F7</f>
        <v>66489.39</v>
      </c>
      <c r="G62" s="70">
        <v>2.76E-2</v>
      </c>
      <c r="H62" s="69">
        <f t="shared" si="2"/>
        <v>1835.107164</v>
      </c>
      <c r="I62" s="69"/>
      <c r="J62" s="69"/>
      <c r="K62" s="69"/>
      <c r="L62" s="69"/>
    </row>
    <row r="63" spans="1:12" s="65" customFormat="1" x14ac:dyDescent="0.25">
      <c r="A63" s="67" t="s">
        <v>912</v>
      </c>
      <c r="B63" s="65" t="s">
        <v>804</v>
      </c>
      <c r="E63" s="65" t="s">
        <v>805</v>
      </c>
      <c r="F63" s="69">
        <f>F5</f>
        <v>40794.899999999994</v>
      </c>
      <c r="G63" s="77">
        <v>2.0999999999999999E-3</v>
      </c>
      <c r="H63" s="69">
        <f>F63*G63</f>
        <v>85.66928999999999</v>
      </c>
      <c r="I63" s="69"/>
    </row>
    <row r="64" spans="1:12" x14ac:dyDescent="0.25">
      <c r="G64" s="77"/>
      <c r="L64" s="79"/>
    </row>
    <row r="65" spans="1:12" x14ac:dyDescent="0.25">
      <c r="A65" s="80" t="s">
        <v>913</v>
      </c>
      <c r="G65" s="77"/>
      <c r="H65" s="69"/>
      <c r="I65" s="79"/>
      <c r="K65" s="69"/>
    </row>
    <row r="66" spans="1:12" x14ac:dyDescent="0.25">
      <c r="A66" s="75" t="s">
        <v>914</v>
      </c>
      <c r="B66" s="76" t="s">
        <v>807</v>
      </c>
      <c r="E66" s="65" t="s">
        <v>915</v>
      </c>
      <c r="F66" s="69">
        <f>F6</f>
        <v>6535.99</v>
      </c>
      <c r="G66" s="70">
        <v>0.19</v>
      </c>
      <c r="H66" s="69">
        <f>F66*G66</f>
        <v>1241.8380999999999</v>
      </c>
    </row>
    <row r="67" spans="1:12" x14ac:dyDescent="0.25">
      <c r="A67" s="75" t="s">
        <v>916</v>
      </c>
      <c r="B67" s="76" t="s">
        <v>807</v>
      </c>
      <c r="E67" s="65" t="s">
        <v>805</v>
      </c>
      <c r="F67" s="69">
        <f>F7</f>
        <v>66489.39</v>
      </c>
      <c r="G67" s="70">
        <v>0.3</v>
      </c>
      <c r="H67" s="69">
        <f t="shared" ref="H67:H71" si="3">F67*G67</f>
        <v>19946.816999999999</v>
      </c>
    </row>
    <row r="68" spans="1:12" x14ac:dyDescent="0.25">
      <c r="A68" s="75" t="s">
        <v>917</v>
      </c>
      <c r="B68" s="76" t="s">
        <v>804</v>
      </c>
      <c r="E68" s="65" t="s">
        <v>805</v>
      </c>
      <c r="F68" s="69">
        <f>F5</f>
        <v>40794.899999999994</v>
      </c>
      <c r="G68" s="70">
        <v>6.4000000000000003E-3</v>
      </c>
      <c r="H68" s="69">
        <f t="shared" si="3"/>
        <v>261.08735999999999</v>
      </c>
    </row>
    <row r="69" spans="1:12" ht="31.35" customHeight="1" x14ac:dyDescent="0.25">
      <c r="A69" s="75" t="s">
        <v>918</v>
      </c>
      <c r="B69" s="76" t="s">
        <v>863</v>
      </c>
      <c r="D69" s="65" t="s">
        <v>919</v>
      </c>
      <c r="E69" s="65" t="s">
        <v>805</v>
      </c>
      <c r="F69" s="69">
        <f>SUM(F33:F40)</f>
        <v>20211.97</v>
      </c>
      <c r="G69" s="70">
        <v>0.25559999999999999</v>
      </c>
      <c r="H69" s="69">
        <f t="shared" si="3"/>
        <v>5166.1795320000001</v>
      </c>
      <c r="J69" s="107"/>
      <c r="K69" s="108"/>
      <c r="L69" s="65"/>
    </row>
    <row r="70" spans="1:12" x14ac:dyDescent="0.25">
      <c r="A70" s="75" t="s">
        <v>920</v>
      </c>
      <c r="B70" s="76" t="s">
        <v>817</v>
      </c>
      <c r="E70" s="65" t="s">
        <v>805</v>
      </c>
      <c r="F70" s="69">
        <f>SUM(F13:F21)</f>
        <v>83171.199999999983</v>
      </c>
      <c r="G70" s="70">
        <v>2.01E-2</v>
      </c>
      <c r="H70" s="69">
        <f t="shared" si="3"/>
        <v>1671.7411199999997</v>
      </c>
      <c r="J70" s="79"/>
      <c r="K70" s="79"/>
      <c r="L70" s="79"/>
    </row>
    <row r="71" spans="1:12" x14ac:dyDescent="0.25">
      <c r="A71" s="75" t="s">
        <v>921</v>
      </c>
      <c r="B71" s="76" t="s">
        <v>922</v>
      </c>
      <c r="D71" s="65" t="s">
        <v>923</v>
      </c>
      <c r="E71" s="65" t="s">
        <v>805</v>
      </c>
      <c r="F71" s="69">
        <f>3438.31+46079.84-1202+583.56+11093.22+4931.93+1800+738.98</f>
        <v>67463.839999999982</v>
      </c>
      <c r="G71" s="70">
        <v>2.4899999999999999E-2</v>
      </c>
      <c r="H71" s="69">
        <f t="shared" si="3"/>
        <v>1679.8496159999995</v>
      </c>
      <c r="J71" s="73" t="s">
        <v>924</v>
      </c>
      <c r="K71" s="73"/>
      <c r="L71" s="79"/>
    </row>
    <row r="72" spans="1:12" x14ac:dyDescent="0.25">
      <c r="G72" s="81"/>
      <c r="H72" s="69"/>
    </row>
    <row r="73" spans="1:12" x14ac:dyDescent="0.25">
      <c r="A73" s="80" t="s">
        <v>925</v>
      </c>
      <c r="G73" s="81"/>
      <c r="H73" s="69"/>
    </row>
    <row r="74" spans="1:12" x14ac:dyDescent="0.25">
      <c r="A74" s="75" t="s">
        <v>818</v>
      </c>
      <c r="B74" s="76" t="s">
        <v>926</v>
      </c>
      <c r="D74" s="72" t="s">
        <v>927</v>
      </c>
      <c r="E74" s="65" t="s">
        <v>928</v>
      </c>
      <c r="F74" s="69">
        <v>2869.81</v>
      </c>
      <c r="G74" s="70">
        <v>1.5299999999999999E-2</v>
      </c>
      <c r="H74" s="69">
        <f t="shared" ref="H74:H81" si="4">F74*G74</f>
        <v>43.908092999999994</v>
      </c>
    </row>
    <row r="75" spans="1:12" x14ac:dyDescent="0.25">
      <c r="A75" s="75" t="s">
        <v>821</v>
      </c>
      <c r="B75" s="76" t="s">
        <v>926</v>
      </c>
      <c r="D75" s="72" t="s">
        <v>929</v>
      </c>
      <c r="E75" s="65" t="s">
        <v>822</v>
      </c>
      <c r="F75" s="69">
        <v>38649.82</v>
      </c>
      <c r="G75" s="70">
        <v>1.5299999999999999E-2</v>
      </c>
      <c r="H75" s="69">
        <f t="shared" si="4"/>
        <v>591.34224599999993</v>
      </c>
    </row>
    <row r="76" spans="1:12" x14ac:dyDescent="0.25">
      <c r="A76" s="76" t="s">
        <v>926</v>
      </c>
      <c r="B76" s="75" t="s">
        <v>817</v>
      </c>
      <c r="D76" s="72" t="s">
        <v>926</v>
      </c>
      <c r="E76" s="65" t="s">
        <v>824</v>
      </c>
      <c r="F76" s="69">
        <v>-1832.4</v>
      </c>
      <c r="G76" s="70">
        <v>1.5299999999999999E-2</v>
      </c>
      <c r="H76" s="69">
        <f>-F76*G76</f>
        <v>28.035720000000001</v>
      </c>
    </row>
    <row r="77" spans="1:12" x14ac:dyDescent="0.25">
      <c r="A77" s="75" t="s">
        <v>826</v>
      </c>
      <c r="B77" s="76" t="s">
        <v>926</v>
      </c>
      <c r="D77" s="72" t="s">
        <v>930</v>
      </c>
      <c r="E77" s="76" t="s">
        <v>827</v>
      </c>
      <c r="F77" s="69">
        <v>541.41999999999996</v>
      </c>
      <c r="G77" s="70">
        <v>1.5299999999999999E-2</v>
      </c>
      <c r="H77" s="69">
        <f t="shared" si="4"/>
        <v>8.2837259999999997</v>
      </c>
    </row>
    <row r="78" spans="1:12" x14ac:dyDescent="0.25">
      <c r="A78" s="75" t="s">
        <v>832</v>
      </c>
      <c r="B78" s="76" t="s">
        <v>926</v>
      </c>
      <c r="D78" s="72" t="s">
        <v>931</v>
      </c>
      <c r="E78" s="76" t="s">
        <v>833</v>
      </c>
      <c r="F78" s="69">
        <v>9345.14</v>
      </c>
      <c r="G78" s="70">
        <v>1.5299999999999999E-2</v>
      </c>
      <c r="H78" s="69">
        <f t="shared" si="4"/>
        <v>142.98064199999999</v>
      </c>
    </row>
    <row r="79" spans="1:12" x14ac:dyDescent="0.25">
      <c r="A79" s="75" t="s">
        <v>835</v>
      </c>
      <c r="B79" s="76" t="s">
        <v>926</v>
      </c>
      <c r="D79" s="72" t="s">
        <v>932</v>
      </c>
      <c r="E79" s="76" t="s">
        <v>836</v>
      </c>
      <c r="F79" s="69">
        <v>4900.71</v>
      </c>
      <c r="G79" s="70">
        <v>1.5299999999999999E-2</v>
      </c>
      <c r="H79" s="69">
        <f t="shared" si="4"/>
        <v>74.980862999999999</v>
      </c>
    </row>
    <row r="80" spans="1:12" x14ac:dyDescent="0.25">
      <c r="A80" s="75" t="s">
        <v>838</v>
      </c>
      <c r="B80" s="76" t="s">
        <v>926</v>
      </c>
      <c r="D80" s="72" t="s">
        <v>933</v>
      </c>
      <c r="E80" s="76" t="s">
        <v>839</v>
      </c>
      <c r="F80" s="69">
        <v>1575</v>
      </c>
      <c r="G80" s="70">
        <v>1.5299999999999999E-2</v>
      </c>
      <c r="H80" s="69">
        <f t="shared" si="4"/>
        <v>24.0975</v>
      </c>
    </row>
    <row r="81" spans="1:12" x14ac:dyDescent="0.25">
      <c r="A81" s="75" t="s">
        <v>841</v>
      </c>
      <c r="B81" s="76" t="s">
        <v>926</v>
      </c>
      <c r="D81" s="72" t="s">
        <v>934</v>
      </c>
      <c r="E81" s="76" t="s">
        <v>842</v>
      </c>
      <c r="F81" s="69">
        <v>557.4</v>
      </c>
      <c r="G81" s="70">
        <v>1.5299999999999999E-2</v>
      </c>
      <c r="H81" s="69">
        <f t="shared" si="4"/>
        <v>8.5282199999999992</v>
      </c>
    </row>
    <row r="82" spans="1:12" x14ac:dyDescent="0.25">
      <c r="G82" s="65"/>
    </row>
    <row r="83" spans="1:12" x14ac:dyDescent="0.25">
      <c r="A83" s="78" t="s">
        <v>935</v>
      </c>
      <c r="G83" s="65"/>
    </row>
    <row r="84" spans="1:12" ht="14.25" customHeight="1" x14ac:dyDescent="0.25">
      <c r="A84" s="75" t="s">
        <v>936</v>
      </c>
      <c r="B84" s="67" t="s">
        <v>823</v>
      </c>
      <c r="D84" s="72" t="s">
        <v>816</v>
      </c>
      <c r="E84" s="76" t="s">
        <v>819</v>
      </c>
      <c r="F84" s="69">
        <v>2252.6999999999998</v>
      </c>
      <c r="G84" s="70">
        <v>8.3400000000000002E-2</v>
      </c>
      <c r="H84" s="69">
        <f t="shared" ref="H84:H112" si="5">F84*G84</f>
        <v>187.87518</v>
      </c>
      <c r="J84" s="65"/>
      <c r="K84" s="65"/>
      <c r="L84" s="70"/>
    </row>
    <row r="85" spans="1:12" x14ac:dyDescent="0.25">
      <c r="A85" s="75" t="s">
        <v>937</v>
      </c>
      <c r="B85" s="67" t="s">
        <v>823</v>
      </c>
      <c r="D85" s="72" t="s">
        <v>820</v>
      </c>
      <c r="E85" s="76" t="s">
        <v>822</v>
      </c>
      <c r="F85" s="69">
        <v>29550.59</v>
      </c>
      <c r="G85" s="70">
        <v>8.3400000000000002E-2</v>
      </c>
      <c r="H85" s="69">
        <f t="shared" si="5"/>
        <v>2464.5192059999999</v>
      </c>
      <c r="J85" s="65"/>
      <c r="K85" s="65"/>
    </row>
    <row r="86" spans="1:12" x14ac:dyDescent="0.25">
      <c r="A86" s="67" t="s">
        <v>823</v>
      </c>
      <c r="B86" s="76" t="s">
        <v>938</v>
      </c>
      <c r="D86" s="72" t="s">
        <v>823</v>
      </c>
      <c r="E86" s="76" t="s">
        <v>824</v>
      </c>
      <c r="F86" s="69">
        <v>-3636.86</v>
      </c>
      <c r="G86" s="70">
        <v>8.3400000000000002E-2</v>
      </c>
      <c r="H86" s="69">
        <f>-F86*G86</f>
        <v>303.31412399999999</v>
      </c>
      <c r="J86" s="65"/>
      <c r="K86" s="65"/>
    </row>
    <row r="87" spans="1:12" x14ac:dyDescent="0.25">
      <c r="A87" s="75" t="s">
        <v>939</v>
      </c>
      <c r="B87" s="67" t="s">
        <v>823</v>
      </c>
      <c r="D87" s="72" t="s">
        <v>825</v>
      </c>
      <c r="E87" s="76" t="s">
        <v>827</v>
      </c>
      <c r="F87" s="69">
        <v>240.57</v>
      </c>
      <c r="G87" s="70">
        <v>8.3400000000000002E-2</v>
      </c>
      <c r="H87" s="69">
        <f t="shared" si="5"/>
        <v>20.063538000000001</v>
      </c>
    </row>
    <row r="88" spans="1:12" x14ac:dyDescent="0.25">
      <c r="A88" s="67" t="s">
        <v>940</v>
      </c>
      <c r="B88" s="67" t="s">
        <v>823</v>
      </c>
      <c r="D88" s="72" t="s">
        <v>828</v>
      </c>
      <c r="E88" s="76" t="s">
        <v>830</v>
      </c>
      <c r="F88" s="69">
        <v>0</v>
      </c>
      <c r="G88" s="70">
        <v>8.3400000000000002E-2</v>
      </c>
      <c r="H88" s="69">
        <f t="shared" si="5"/>
        <v>0</v>
      </c>
    </row>
    <row r="89" spans="1:12" x14ac:dyDescent="0.25">
      <c r="A89" s="67" t="s">
        <v>941</v>
      </c>
      <c r="B89" s="67" t="s">
        <v>823</v>
      </c>
      <c r="D89" s="72" t="s">
        <v>831</v>
      </c>
      <c r="E89" s="76" t="s">
        <v>833</v>
      </c>
      <c r="F89" s="69">
        <v>7282.58</v>
      </c>
      <c r="G89" s="70">
        <v>8.3400000000000002E-2</v>
      </c>
      <c r="H89" s="69">
        <f t="shared" si="5"/>
        <v>607.36717199999998</v>
      </c>
    </row>
    <row r="90" spans="1:12" x14ac:dyDescent="0.25">
      <c r="A90" s="67" t="s">
        <v>942</v>
      </c>
      <c r="B90" s="67" t="s">
        <v>823</v>
      </c>
      <c r="D90" s="72" t="s">
        <v>834</v>
      </c>
      <c r="E90" s="76" t="s">
        <v>836</v>
      </c>
      <c r="F90" s="69">
        <v>3523.29</v>
      </c>
      <c r="G90" s="70">
        <v>8.3400000000000002E-2</v>
      </c>
      <c r="H90" s="69">
        <f t="shared" si="5"/>
        <v>293.84238599999998</v>
      </c>
    </row>
    <row r="91" spans="1:12" x14ac:dyDescent="0.25">
      <c r="A91" s="67" t="s">
        <v>943</v>
      </c>
      <c r="B91" s="67" t="s">
        <v>823</v>
      </c>
      <c r="D91" s="72" t="s">
        <v>837</v>
      </c>
      <c r="E91" s="76" t="s">
        <v>839</v>
      </c>
      <c r="F91" s="69">
        <v>1125</v>
      </c>
      <c r="G91" s="70">
        <v>8.3400000000000002E-2</v>
      </c>
      <c r="H91" s="69">
        <f t="shared" si="5"/>
        <v>93.825000000000003</v>
      </c>
    </row>
    <row r="92" spans="1:12" x14ac:dyDescent="0.25">
      <c r="A92" s="67" t="s">
        <v>944</v>
      </c>
      <c r="B92" s="67" t="s">
        <v>823</v>
      </c>
      <c r="D92" s="72" t="s">
        <v>840</v>
      </c>
      <c r="E92" s="76" t="s">
        <v>842</v>
      </c>
      <c r="F92" s="69">
        <v>550.6</v>
      </c>
      <c r="G92" s="70">
        <v>8.3400000000000002E-2</v>
      </c>
      <c r="H92" s="69">
        <f t="shared" si="5"/>
        <v>45.92004</v>
      </c>
    </row>
    <row r="93" spans="1:12" x14ac:dyDescent="0.25">
      <c r="A93" s="67"/>
      <c r="B93" s="67"/>
      <c r="D93" s="72"/>
      <c r="E93" s="76"/>
      <c r="G93" s="70"/>
      <c r="H93" s="69"/>
    </row>
    <row r="94" spans="1:12" x14ac:dyDescent="0.25">
      <c r="A94" s="67" t="s">
        <v>945</v>
      </c>
      <c r="B94" s="67" t="s">
        <v>823</v>
      </c>
      <c r="D94" s="72" t="s">
        <v>816</v>
      </c>
      <c r="E94" s="76" t="s">
        <v>819</v>
      </c>
      <c r="F94" s="69">
        <f>F84</f>
        <v>2252.6999999999998</v>
      </c>
      <c r="G94" s="70">
        <v>2.1700000000000001E-2</v>
      </c>
      <c r="H94" s="69">
        <f t="shared" si="5"/>
        <v>48.883589999999998</v>
      </c>
    </row>
    <row r="95" spans="1:12" x14ac:dyDescent="0.25">
      <c r="A95" s="67" t="s">
        <v>946</v>
      </c>
      <c r="B95" s="67" t="s">
        <v>823</v>
      </c>
      <c r="D95" s="72" t="s">
        <v>820</v>
      </c>
      <c r="E95" s="76" t="s">
        <v>822</v>
      </c>
      <c r="F95" s="69">
        <f>F85</f>
        <v>29550.59</v>
      </c>
      <c r="G95" s="70">
        <v>2.1700000000000001E-2</v>
      </c>
      <c r="H95" s="69">
        <f t="shared" si="5"/>
        <v>641.24780299999998</v>
      </c>
    </row>
    <row r="96" spans="1:12" x14ac:dyDescent="0.25">
      <c r="A96" s="67" t="s">
        <v>823</v>
      </c>
      <c r="B96" s="76" t="s">
        <v>947</v>
      </c>
      <c r="D96" s="72" t="s">
        <v>823</v>
      </c>
      <c r="E96" s="76" t="s">
        <v>824</v>
      </c>
      <c r="F96" s="69">
        <f>F86</f>
        <v>-3636.86</v>
      </c>
      <c r="G96" s="70">
        <v>2.1700000000000001E-2</v>
      </c>
      <c r="H96" s="69">
        <f>-F96*G96</f>
        <v>78.919862000000009</v>
      </c>
    </row>
    <row r="97" spans="1:10" x14ac:dyDescent="0.25">
      <c r="A97" s="67" t="s">
        <v>948</v>
      </c>
      <c r="B97" s="67" t="s">
        <v>823</v>
      </c>
      <c r="D97" s="72" t="s">
        <v>825</v>
      </c>
      <c r="E97" s="76" t="s">
        <v>827</v>
      </c>
      <c r="F97" s="69">
        <f t="shared" ref="F97:F102" si="6">F87</f>
        <v>240.57</v>
      </c>
      <c r="G97" s="70">
        <v>2.1700000000000001E-2</v>
      </c>
      <c r="H97" s="69">
        <f t="shared" si="5"/>
        <v>5.2203689999999998</v>
      </c>
    </row>
    <row r="98" spans="1:10" x14ac:dyDescent="0.25">
      <c r="A98" s="76" t="s">
        <v>946</v>
      </c>
      <c r="B98" s="67" t="s">
        <v>823</v>
      </c>
      <c r="D98" s="72" t="s">
        <v>828</v>
      </c>
      <c r="E98" s="76" t="s">
        <v>830</v>
      </c>
      <c r="F98" s="69">
        <f t="shared" si="6"/>
        <v>0</v>
      </c>
      <c r="G98" s="70">
        <v>2.1700000000000001E-2</v>
      </c>
      <c r="H98" s="69">
        <f t="shared" si="5"/>
        <v>0</v>
      </c>
    </row>
    <row r="99" spans="1:10" x14ac:dyDescent="0.25">
      <c r="A99" s="67" t="s">
        <v>949</v>
      </c>
      <c r="B99" s="67" t="s">
        <v>823</v>
      </c>
      <c r="D99" s="72" t="s">
        <v>831</v>
      </c>
      <c r="E99" s="76" t="s">
        <v>833</v>
      </c>
      <c r="F99" s="69">
        <f t="shared" si="6"/>
        <v>7282.58</v>
      </c>
      <c r="G99" s="70">
        <v>2.1700000000000001E-2</v>
      </c>
      <c r="H99" s="69">
        <f t="shared" si="5"/>
        <v>158.03198599999999</v>
      </c>
    </row>
    <row r="100" spans="1:10" x14ac:dyDescent="0.25">
      <c r="A100" s="67" t="s">
        <v>950</v>
      </c>
      <c r="B100" s="67" t="s">
        <v>823</v>
      </c>
      <c r="D100" s="72" t="s">
        <v>834</v>
      </c>
      <c r="E100" s="76" t="s">
        <v>836</v>
      </c>
      <c r="F100" s="69">
        <f t="shared" si="6"/>
        <v>3523.29</v>
      </c>
      <c r="G100" s="70">
        <v>2.1700000000000001E-2</v>
      </c>
      <c r="H100" s="69">
        <f t="shared" si="5"/>
        <v>76.455393000000001</v>
      </c>
    </row>
    <row r="101" spans="1:10" x14ac:dyDescent="0.25">
      <c r="A101" s="67" t="s">
        <v>951</v>
      </c>
      <c r="B101" s="67" t="s">
        <v>823</v>
      </c>
      <c r="D101" s="72" t="s">
        <v>837</v>
      </c>
      <c r="E101" s="76" t="s">
        <v>839</v>
      </c>
      <c r="F101" s="69">
        <f t="shared" si="6"/>
        <v>1125</v>
      </c>
      <c r="G101" s="70">
        <v>2.1700000000000001E-2</v>
      </c>
      <c r="H101" s="69">
        <f t="shared" si="5"/>
        <v>24.412500000000001</v>
      </c>
    </row>
    <row r="102" spans="1:10" x14ac:dyDescent="0.25">
      <c r="A102" s="67" t="s">
        <v>952</v>
      </c>
      <c r="B102" s="67" t="s">
        <v>823</v>
      </c>
      <c r="D102" s="72" t="s">
        <v>840</v>
      </c>
      <c r="E102" s="76" t="s">
        <v>842</v>
      </c>
      <c r="F102" s="69">
        <f t="shared" si="6"/>
        <v>550.6</v>
      </c>
      <c r="G102" s="70">
        <v>2.1700000000000001E-2</v>
      </c>
      <c r="H102" s="69">
        <f t="shared" si="5"/>
        <v>11.948020000000001</v>
      </c>
    </row>
    <row r="103" spans="1:10" x14ac:dyDescent="0.25">
      <c r="A103" s="67"/>
      <c r="B103" s="67"/>
      <c r="D103" s="72"/>
      <c r="E103" s="76"/>
      <c r="G103" s="70"/>
      <c r="H103" s="69"/>
    </row>
    <row r="104" spans="1:10" x14ac:dyDescent="0.25">
      <c r="A104" s="67" t="s">
        <v>953</v>
      </c>
      <c r="B104" s="67" t="s">
        <v>823</v>
      </c>
      <c r="D104" s="72" t="s">
        <v>816</v>
      </c>
      <c r="E104" s="76" t="s">
        <v>819</v>
      </c>
      <c r="F104" s="69">
        <f>F84</f>
        <v>2252.6999999999998</v>
      </c>
      <c r="G104" s="70">
        <v>0</v>
      </c>
      <c r="H104" s="73">
        <f t="shared" si="5"/>
        <v>0</v>
      </c>
      <c r="J104" s="74" t="s">
        <v>954</v>
      </c>
    </row>
    <row r="105" spans="1:10" x14ac:dyDescent="0.25">
      <c r="A105" s="67" t="s">
        <v>953</v>
      </c>
      <c r="B105" s="67" t="s">
        <v>823</v>
      </c>
      <c r="D105" s="72" t="s">
        <v>820</v>
      </c>
      <c r="E105" s="76" t="s">
        <v>822</v>
      </c>
      <c r="F105" s="69">
        <f>F85</f>
        <v>29550.59</v>
      </c>
      <c r="G105" s="70">
        <v>0</v>
      </c>
      <c r="H105" s="73">
        <f t="shared" si="5"/>
        <v>0</v>
      </c>
    </row>
    <row r="106" spans="1:10" x14ac:dyDescent="0.25">
      <c r="A106" s="67" t="s">
        <v>823</v>
      </c>
      <c r="B106" s="76" t="s">
        <v>953</v>
      </c>
      <c r="D106" s="72" t="s">
        <v>823</v>
      </c>
      <c r="E106" s="76" t="s">
        <v>824</v>
      </c>
      <c r="F106" s="69">
        <f t="shared" ref="F106:F112" si="7">F86</f>
        <v>-3636.86</v>
      </c>
      <c r="G106" s="70">
        <v>0</v>
      </c>
      <c r="H106" s="73">
        <f>-F106*G106</f>
        <v>0</v>
      </c>
    </row>
    <row r="107" spans="1:10" x14ac:dyDescent="0.25">
      <c r="A107" s="67" t="s">
        <v>953</v>
      </c>
      <c r="B107" s="67" t="s">
        <v>823</v>
      </c>
      <c r="D107" s="72" t="s">
        <v>825</v>
      </c>
      <c r="E107" s="76" t="s">
        <v>827</v>
      </c>
      <c r="F107" s="69">
        <f t="shared" si="7"/>
        <v>240.57</v>
      </c>
      <c r="G107" s="70">
        <v>0</v>
      </c>
      <c r="H107" s="73">
        <f t="shared" si="5"/>
        <v>0</v>
      </c>
    </row>
    <row r="108" spans="1:10" x14ac:dyDescent="0.25">
      <c r="A108" s="67" t="s">
        <v>953</v>
      </c>
      <c r="B108" s="67" t="s">
        <v>823</v>
      </c>
      <c r="D108" s="72" t="s">
        <v>828</v>
      </c>
      <c r="E108" s="76" t="s">
        <v>830</v>
      </c>
      <c r="F108" s="69">
        <f t="shared" si="7"/>
        <v>0</v>
      </c>
      <c r="G108" s="70">
        <v>0</v>
      </c>
      <c r="H108" s="73">
        <f t="shared" si="5"/>
        <v>0</v>
      </c>
    </row>
    <row r="109" spans="1:10" x14ac:dyDescent="0.25">
      <c r="A109" s="67" t="s">
        <v>953</v>
      </c>
      <c r="B109" s="67" t="s">
        <v>823</v>
      </c>
      <c r="D109" s="72" t="s">
        <v>831</v>
      </c>
      <c r="E109" s="76" t="s">
        <v>833</v>
      </c>
      <c r="F109" s="69">
        <f t="shared" si="7"/>
        <v>7282.58</v>
      </c>
      <c r="G109" s="70">
        <v>0</v>
      </c>
      <c r="H109" s="73">
        <f t="shared" si="5"/>
        <v>0</v>
      </c>
    </row>
    <row r="110" spans="1:10" x14ac:dyDescent="0.25">
      <c r="A110" s="67" t="s">
        <v>953</v>
      </c>
      <c r="B110" s="67" t="s">
        <v>823</v>
      </c>
      <c r="D110" s="72" t="s">
        <v>834</v>
      </c>
      <c r="E110" s="76" t="s">
        <v>836</v>
      </c>
      <c r="F110" s="69">
        <f t="shared" si="7"/>
        <v>3523.29</v>
      </c>
      <c r="G110" s="70">
        <v>0</v>
      </c>
      <c r="H110" s="73">
        <f t="shared" si="5"/>
        <v>0</v>
      </c>
    </row>
    <row r="111" spans="1:10" x14ac:dyDescent="0.25">
      <c r="A111" s="67" t="s">
        <v>953</v>
      </c>
      <c r="B111" s="67" t="s">
        <v>823</v>
      </c>
      <c r="D111" s="72" t="s">
        <v>837</v>
      </c>
      <c r="E111" s="76" t="s">
        <v>839</v>
      </c>
      <c r="F111" s="69">
        <f t="shared" si="7"/>
        <v>1125</v>
      </c>
      <c r="G111" s="70">
        <v>0</v>
      </c>
      <c r="H111" s="73">
        <f t="shared" si="5"/>
        <v>0</v>
      </c>
    </row>
    <row r="112" spans="1:10" x14ac:dyDescent="0.25">
      <c r="A112" s="67" t="s">
        <v>953</v>
      </c>
      <c r="B112" s="67" t="s">
        <v>823</v>
      </c>
      <c r="D112" s="72" t="s">
        <v>840</v>
      </c>
      <c r="E112" s="76" t="s">
        <v>842</v>
      </c>
      <c r="F112" s="69">
        <f t="shared" si="7"/>
        <v>550.6</v>
      </c>
      <c r="G112" s="70">
        <v>0</v>
      </c>
      <c r="H112" s="73">
        <f t="shared" si="5"/>
        <v>0</v>
      </c>
    </row>
    <row r="113" spans="1:10" x14ac:dyDescent="0.25">
      <c r="A113" s="67"/>
      <c r="B113" s="67"/>
      <c r="D113" s="72"/>
      <c r="E113" s="76"/>
      <c r="G113" s="70"/>
      <c r="H113" s="69"/>
    </row>
    <row r="114" spans="1:10" x14ac:dyDescent="0.25">
      <c r="G114" s="65"/>
    </row>
    <row r="115" spans="1:10" x14ac:dyDescent="0.25">
      <c r="A115" s="78" t="s">
        <v>955</v>
      </c>
      <c r="G115" s="65"/>
    </row>
    <row r="116" spans="1:10" x14ac:dyDescent="0.25">
      <c r="A116" s="67" t="s">
        <v>816</v>
      </c>
      <c r="B116" s="67" t="s">
        <v>938</v>
      </c>
      <c r="D116" s="82" t="s">
        <v>936</v>
      </c>
      <c r="E116" s="76" t="s">
        <v>819</v>
      </c>
      <c r="F116" s="69">
        <v>1032.97</v>
      </c>
      <c r="G116" s="70">
        <v>0.02</v>
      </c>
      <c r="H116" s="69">
        <f t="shared" ref="H116:H124" si="8">F116*G116</f>
        <v>20.659400000000002</v>
      </c>
      <c r="J116" s="65"/>
    </row>
    <row r="117" spans="1:10" x14ac:dyDescent="0.25">
      <c r="A117" s="67" t="s">
        <v>820</v>
      </c>
      <c r="B117" s="67" t="s">
        <v>938</v>
      </c>
      <c r="D117" s="82" t="s">
        <v>937</v>
      </c>
      <c r="E117" s="76" t="s">
        <v>822</v>
      </c>
      <c r="F117" s="69">
        <v>13560.65</v>
      </c>
      <c r="G117" s="70">
        <v>0.02</v>
      </c>
      <c r="H117" s="69">
        <f t="shared" si="8"/>
        <v>271.21300000000002</v>
      </c>
    </row>
    <row r="118" spans="1:10" x14ac:dyDescent="0.25">
      <c r="A118" s="67" t="s">
        <v>938</v>
      </c>
      <c r="B118" s="67" t="s">
        <v>823</v>
      </c>
      <c r="D118" s="72" t="s">
        <v>938</v>
      </c>
      <c r="E118" s="76" t="s">
        <v>824</v>
      </c>
      <c r="F118" s="69">
        <v>0</v>
      </c>
      <c r="G118" s="70">
        <v>0.02</v>
      </c>
      <c r="H118" s="69">
        <f>-F118*G118</f>
        <v>0</v>
      </c>
    </row>
    <row r="119" spans="1:10" x14ac:dyDescent="0.25">
      <c r="A119" s="67" t="s">
        <v>825</v>
      </c>
      <c r="B119" s="67" t="s">
        <v>938</v>
      </c>
      <c r="D119" s="82" t="s">
        <v>939</v>
      </c>
      <c r="E119" s="76" t="s">
        <v>827</v>
      </c>
      <c r="F119" s="69">
        <v>18.7</v>
      </c>
      <c r="G119" s="70">
        <v>0.02</v>
      </c>
      <c r="H119" s="69">
        <f t="shared" si="8"/>
        <v>0.374</v>
      </c>
    </row>
    <row r="120" spans="1:10" x14ac:dyDescent="0.25">
      <c r="A120" s="67" t="s">
        <v>828</v>
      </c>
      <c r="B120" s="67" t="s">
        <v>938</v>
      </c>
      <c r="D120" s="72" t="s">
        <v>940</v>
      </c>
      <c r="E120" s="76" t="s">
        <v>830</v>
      </c>
      <c r="F120" s="69">
        <v>0</v>
      </c>
      <c r="G120" s="70">
        <v>0.02</v>
      </c>
      <c r="H120" s="69">
        <f t="shared" si="8"/>
        <v>0</v>
      </c>
    </row>
    <row r="121" spans="1:10" x14ac:dyDescent="0.25">
      <c r="A121" s="67" t="s">
        <v>831</v>
      </c>
      <c r="B121" s="67" t="s">
        <v>938</v>
      </c>
      <c r="D121" s="72" t="s">
        <v>941</v>
      </c>
      <c r="E121" s="76" t="s">
        <v>833</v>
      </c>
      <c r="F121" s="69">
        <v>3335.79</v>
      </c>
      <c r="G121" s="70">
        <v>0.02</v>
      </c>
      <c r="H121" s="69">
        <f t="shared" si="8"/>
        <v>66.715800000000002</v>
      </c>
    </row>
    <row r="122" spans="1:10" x14ac:dyDescent="0.25">
      <c r="A122" s="67" t="s">
        <v>834</v>
      </c>
      <c r="B122" s="67" t="s">
        <v>938</v>
      </c>
      <c r="D122" s="72" t="s">
        <v>942</v>
      </c>
      <c r="E122" s="76" t="s">
        <v>836</v>
      </c>
      <c r="F122" s="69">
        <v>2051.7600000000002</v>
      </c>
      <c r="G122" s="70">
        <v>0.02</v>
      </c>
      <c r="H122" s="69">
        <f t="shared" si="8"/>
        <v>41.035200000000003</v>
      </c>
    </row>
    <row r="123" spans="1:10" x14ac:dyDescent="0.25">
      <c r="A123" s="67" t="s">
        <v>837</v>
      </c>
      <c r="B123" s="67" t="s">
        <v>938</v>
      </c>
      <c r="D123" s="72" t="s">
        <v>943</v>
      </c>
      <c r="E123" s="76" t="s">
        <v>839</v>
      </c>
      <c r="F123" s="69">
        <v>675</v>
      </c>
      <c r="G123" s="70">
        <v>0.02</v>
      </c>
      <c r="H123" s="69">
        <f t="shared" si="8"/>
        <v>13.5</v>
      </c>
    </row>
    <row r="124" spans="1:10" x14ac:dyDescent="0.25">
      <c r="A124" s="67" t="s">
        <v>840</v>
      </c>
      <c r="B124" s="67" t="s">
        <v>938</v>
      </c>
      <c r="D124" s="72" t="s">
        <v>944</v>
      </c>
      <c r="E124" s="76" t="s">
        <v>842</v>
      </c>
      <c r="F124" s="69">
        <v>264.45</v>
      </c>
      <c r="G124" s="70">
        <v>0.02</v>
      </c>
      <c r="H124" s="69">
        <f t="shared" si="8"/>
        <v>5.2889999999999997</v>
      </c>
    </row>
    <row r="125" spans="1:10" x14ac:dyDescent="0.25">
      <c r="A125" s="67"/>
      <c r="B125" s="67"/>
      <c r="D125" s="72"/>
      <c r="E125" s="76"/>
      <c r="G125" s="70"/>
      <c r="H125" s="69"/>
    </row>
    <row r="126" spans="1:10" x14ac:dyDescent="0.25">
      <c r="A126" s="78" t="s">
        <v>956</v>
      </c>
      <c r="B126" s="65"/>
      <c r="C126" s="65"/>
      <c r="G126" s="65"/>
      <c r="H126" s="69"/>
    </row>
    <row r="127" spans="1:10" ht="60" x14ac:dyDescent="0.25">
      <c r="A127" s="67" t="s">
        <v>911</v>
      </c>
      <c r="B127" s="67" t="s">
        <v>957</v>
      </c>
      <c r="C127" s="65"/>
      <c r="D127" s="83" t="s">
        <v>958</v>
      </c>
      <c r="E127" s="65" t="s">
        <v>959</v>
      </c>
      <c r="F127" s="69">
        <v>0</v>
      </c>
      <c r="G127" s="84">
        <v>0.04</v>
      </c>
      <c r="H127" s="73">
        <f t="shared" ref="H127" si="9">F127*G127</f>
        <v>0</v>
      </c>
      <c r="J127" s="85" t="s">
        <v>960</v>
      </c>
    </row>
    <row r="128" spans="1:10" x14ac:dyDescent="0.25">
      <c r="A128" s="67"/>
      <c r="B128" s="65"/>
      <c r="C128" s="65"/>
      <c r="G128" s="65"/>
      <c r="H128" s="69"/>
      <c r="J128" s="74" t="s">
        <v>961</v>
      </c>
    </row>
    <row r="129" spans="1:12" x14ac:dyDescent="0.25">
      <c r="A129" s="78" t="s">
        <v>962</v>
      </c>
      <c r="B129" s="65"/>
      <c r="C129" s="65"/>
      <c r="G129" s="65"/>
      <c r="H129" s="69"/>
      <c r="J129" s="74" t="s">
        <v>963</v>
      </c>
    </row>
    <row r="130" spans="1:12" ht="30" x14ac:dyDescent="0.25">
      <c r="A130" s="67" t="s">
        <v>964</v>
      </c>
      <c r="B130" s="67" t="s">
        <v>957</v>
      </c>
      <c r="C130" s="65"/>
      <c r="D130" s="83" t="s">
        <v>958</v>
      </c>
      <c r="E130" s="65" t="s">
        <v>965</v>
      </c>
      <c r="F130" s="69">
        <f>F127</f>
        <v>0</v>
      </c>
      <c r="G130" s="84">
        <v>0.59</v>
      </c>
      <c r="H130" s="73">
        <f t="shared" ref="H130" si="10">F130*G130</f>
        <v>0</v>
      </c>
      <c r="J130" s="74" t="s">
        <v>961</v>
      </c>
    </row>
    <row r="131" spans="1:12" x14ac:dyDescent="0.25">
      <c r="A131" s="67"/>
      <c r="B131" s="67"/>
      <c r="D131" s="72"/>
      <c r="E131" s="76"/>
      <c r="G131" s="70"/>
      <c r="H131" s="69"/>
      <c r="J131" s="74" t="s">
        <v>963</v>
      </c>
    </row>
    <row r="132" spans="1:12" x14ac:dyDescent="0.25">
      <c r="A132" s="68" t="s">
        <v>966</v>
      </c>
      <c r="G132" s="65"/>
    </row>
    <row r="133" spans="1:12" s="65" customFormat="1" x14ac:dyDescent="0.25">
      <c r="A133" s="86" t="s">
        <v>967</v>
      </c>
      <c r="B133" s="65" t="s">
        <v>863</v>
      </c>
      <c r="D133" s="72"/>
      <c r="E133" s="65" t="s">
        <v>968</v>
      </c>
      <c r="F133" s="69">
        <f>SUM(F33:F40)</f>
        <v>20211.97</v>
      </c>
      <c r="G133" s="70">
        <v>0.2324</v>
      </c>
      <c r="H133" s="69">
        <f>F133*G133</f>
        <v>4697.2618280000006</v>
      </c>
      <c r="I133" s="69"/>
      <c r="K133" s="69"/>
      <c r="L133" s="69"/>
    </row>
    <row r="134" spans="1:12" x14ac:dyDescent="0.25">
      <c r="G134" s="65"/>
    </row>
    <row r="135" spans="1:12" x14ac:dyDescent="0.25">
      <c r="A135" s="80" t="s">
        <v>969</v>
      </c>
      <c r="G135" s="65"/>
    </row>
    <row r="136" spans="1:12" x14ac:dyDescent="0.25">
      <c r="A136" s="67" t="s">
        <v>945</v>
      </c>
      <c r="B136" s="76" t="s">
        <v>926</v>
      </c>
      <c r="D136" s="72" t="s">
        <v>927</v>
      </c>
      <c r="E136" s="65" t="s">
        <v>928</v>
      </c>
      <c r="F136" s="69">
        <f t="shared" ref="F136:F143" si="11">F74</f>
        <v>2869.81</v>
      </c>
      <c r="G136" s="70">
        <v>5.74E-2</v>
      </c>
      <c r="H136" s="69">
        <f t="shared" ref="H136:H186" si="12">F136*G136</f>
        <v>164.72709399999999</v>
      </c>
    </row>
    <row r="137" spans="1:12" x14ac:dyDescent="0.25">
      <c r="A137" s="67" t="s">
        <v>946</v>
      </c>
      <c r="B137" s="76" t="s">
        <v>926</v>
      </c>
      <c r="D137" s="72" t="s">
        <v>929</v>
      </c>
      <c r="E137" s="65" t="s">
        <v>822</v>
      </c>
      <c r="F137" s="69">
        <f t="shared" si="11"/>
        <v>38649.82</v>
      </c>
      <c r="G137" s="70">
        <v>5.74E-2</v>
      </c>
      <c r="H137" s="69">
        <f t="shared" si="12"/>
        <v>2218.4996679999999</v>
      </c>
    </row>
    <row r="138" spans="1:12" x14ac:dyDescent="0.25">
      <c r="A138" s="67" t="s">
        <v>926</v>
      </c>
      <c r="B138" s="75" t="s">
        <v>947</v>
      </c>
      <c r="D138" s="72" t="s">
        <v>926</v>
      </c>
      <c r="E138" s="65" t="s">
        <v>824</v>
      </c>
      <c r="F138" s="69">
        <f t="shared" si="11"/>
        <v>-1832.4</v>
      </c>
      <c r="G138" s="70">
        <v>5.74E-2</v>
      </c>
      <c r="H138" s="69">
        <f>-F138*G138</f>
        <v>105.17976</v>
      </c>
    </row>
    <row r="139" spans="1:12" x14ac:dyDescent="0.25">
      <c r="A139" s="67" t="s">
        <v>948</v>
      </c>
      <c r="B139" s="76" t="s">
        <v>926</v>
      </c>
      <c r="D139" s="72" t="s">
        <v>930</v>
      </c>
      <c r="E139" s="76" t="s">
        <v>827</v>
      </c>
      <c r="F139" s="69">
        <f t="shared" si="11"/>
        <v>541.41999999999996</v>
      </c>
      <c r="G139" s="70">
        <v>5.74E-2</v>
      </c>
      <c r="H139" s="69">
        <f t="shared" si="12"/>
        <v>31.077507999999998</v>
      </c>
    </row>
    <row r="140" spans="1:12" x14ac:dyDescent="0.25">
      <c r="A140" s="67" t="s">
        <v>949</v>
      </c>
      <c r="B140" s="76" t="s">
        <v>926</v>
      </c>
      <c r="D140" s="72" t="s">
        <v>931</v>
      </c>
      <c r="E140" s="76" t="s">
        <v>833</v>
      </c>
      <c r="F140" s="69">
        <f t="shared" si="11"/>
        <v>9345.14</v>
      </c>
      <c r="G140" s="70">
        <v>5.74E-2</v>
      </c>
      <c r="H140" s="69">
        <f t="shared" si="12"/>
        <v>536.41103599999997</v>
      </c>
    </row>
    <row r="141" spans="1:12" x14ac:dyDescent="0.25">
      <c r="A141" s="67" t="s">
        <v>950</v>
      </c>
      <c r="B141" s="76" t="s">
        <v>926</v>
      </c>
      <c r="D141" s="72" t="s">
        <v>932</v>
      </c>
      <c r="E141" s="76" t="s">
        <v>836</v>
      </c>
      <c r="F141" s="69">
        <f t="shared" si="11"/>
        <v>4900.71</v>
      </c>
      <c r="G141" s="70">
        <v>5.74E-2</v>
      </c>
      <c r="H141" s="69">
        <f t="shared" si="12"/>
        <v>281.30075399999998</v>
      </c>
    </row>
    <row r="142" spans="1:12" x14ac:dyDescent="0.25">
      <c r="A142" s="67" t="s">
        <v>951</v>
      </c>
      <c r="B142" s="76" t="s">
        <v>926</v>
      </c>
      <c r="D142" s="72" t="s">
        <v>933</v>
      </c>
      <c r="E142" s="76" t="s">
        <v>839</v>
      </c>
      <c r="F142" s="69">
        <f t="shared" si="11"/>
        <v>1575</v>
      </c>
      <c r="G142" s="70">
        <v>5.74E-2</v>
      </c>
      <c r="H142" s="69">
        <f t="shared" si="12"/>
        <v>90.405000000000001</v>
      </c>
    </row>
    <row r="143" spans="1:12" x14ac:dyDescent="0.25">
      <c r="A143" s="67" t="s">
        <v>952</v>
      </c>
      <c r="B143" s="76" t="s">
        <v>926</v>
      </c>
      <c r="D143" s="72" t="s">
        <v>934</v>
      </c>
      <c r="E143" s="76" t="s">
        <v>842</v>
      </c>
      <c r="F143" s="69">
        <f t="shared" si="11"/>
        <v>557.4</v>
      </c>
      <c r="G143" s="70">
        <v>5.74E-2</v>
      </c>
      <c r="H143" s="69">
        <f t="shared" si="12"/>
        <v>31.994759999999999</v>
      </c>
    </row>
    <row r="144" spans="1:12" x14ac:dyDescent="0.25">
      <c r="G144" s="65"/>
      <c r="H144" s="69"/>
    </row>
    <row r="145" spans="1:8" x14ac:dyDescent="0.25">
      <c r="A145" s="80" t="s">
        <v>970</v>
      </c>
      <c r="G145" s="65"/>
      <c r="H145" s="69"/>
    </row>
    <row r="146" spans="1:8" x14ac:dyDescent="0.25">
      <c r="A146" s="67" t="s">
        <v>971</v>
      </c>
      <c r="B146" s="76" t="s">
        <v>926</v>
      </c>
      <c r="D146" s="72" t="s">
        <v>927</v>
      </c>
      <c r="E146" s="65" t="s">
        <v>928</v>
      </c>
      <c r="F146" s="69">
        <f t="shared" ref="F146:F153" si="13">F136</f>
        <v>2869.81</v>
      </c>
      <c r="G146" s="70">
        <v>2.1999999999999999E-2</v>
      </c>
      <c r="H146" s="69">
        <f t="shared" si="12"/>
        <v>63.135819999999995</v>
      </c>
    </row>
    <row r="147" spans="1:8" x14ac:dyDescent="0.25">
      <c r="A147" s="67" t="s">
        <v>972</v>
      </c>
      <c r="B147" s="76" t="s">
        <v>926</v>
      </c>
      <c r="D147" s="72" t="s">
        <v>929</v>
      </c>
      <c r="E147" s="65" t="s">
        <v>822</v>
      </c>
      <c r="F147" s="69">
        <f t="shared" si="13"/>
        <v>38649.82</v>
      </c>
      <c r="G147" s="70">
        <v>2.1999999999999999E-2</v>
      </c>
      <c r="H147" s="69">
        <f t="shared" si="12"/>
        <v>850.29603999999995</v>
      </c>
    </row>
    <row r="148" spans="1:8" x14ac:dyDescent="0.25">
      <c r="A148" s="67" t="s">
        <v>926</v>
      </c>
      <c r="B148" s="75" t="s">
        <v>973</v>
      </c>
      <c r="D148" s="72" t="s">
        <v>926</v>
      </c>
      <c r="E148" s="65" t="s">
        <v>824</v>
      </c>
      <c r="F148" s="69">
        <f t="shared" si="13"/>
        <v>-1832.4</v>
      </c>
      <c r="G148" s="70">
        <v>2.1999999999999999E-2</v>
      </c>
      <c r="H148" s="69">
        <f>-F148*G148</f>
        <v>40.312800000000003</v>
      </c>
    </row>
    <row r="149" spans="1:8" x14ac:dyDescent="0.25">
      <c r="A149" s="67" t="s">
        <v>974</v>
      </c>
      <c r="B149" s="76" t="s">
        <v>926</v>
      </c>
      <c r="D149" s="72" t="s">
        <v>930</v>
      </c>
      <c r="E149" s="76" t="s">
        <v>827</v>
      </c>
      <c r="F149" s="69">
        <f t="shared" si="13"/>
        <v>541.41999999999996</v>
      </c>
      <c r="G149" s="70">
        <v>2.1999999999999999E-2</v>
      </c>
      <c r="H149" s="69">
        <f t="shared" si="12"/>
        <v>11.911239999999998</v>
      </c>
    </row>
    <row r="150" spans="1:8" x14ac:dyDescent="0.25">
      <c r="A150" s="67" t="s">
        <v>975</v>
      </c>
      <c r="B150" s="76" t="s">
        <v>926</v>
      </c>
      <c r="D150" s="72" t="s">
        <v>931</v>
      </c>
      <c r="E150" s="76" t="s">
        <v>833</v>
      </c>
      <c r="F150" s="69">
        <f t="shared" si="13"/>
        <v>9345.14</v>
      </c>
      <c r="G150" s="70">
        <v>2.1999999999999999E-2</v>
      </c>
      <c r="H150" s="69">
        <f t="shared" si="12"/>
        <v>205.59307999999999</v>
      </c>
    </row>
    <row r="151" spans="1:8" x14ac:dyDescent="0.25">
      <c r="A151" s="67" t="s">
        <v>976</v>
      </c>
      <c r="B151" s="76" t="s">
        <v>926</v>
      </c>
      <c r="D151" s="72" t="s">
        <v>932</v>
      </c>
      <c r="E151" s="76" t="s">
        <v>836</v>
      </c>
      <c r="F151" s="69">
        <f t="shared" si="13"/>
        <v>4900.71</v>
      </c>
      <c r="G151" s="70">
        <v>2.1999999999999999E-2</v>
      </c>
      <c r="H151" s="69">
        <f t="shared" si="12"/>
        <v>107.81562</v>
      </c>
    </row>
    <row r="152" spans="1:8" x14ac:dyDescent="0.25">
      <c r="A152" s="67" t="s">
        <v>977</v>
      </c>
      <c r="B152" s="76" t="s">
        <v>926</v>
      </c>
      <c r="D152" s="72" t="s">
        <v>933</v>
      </c>
      <c r="E152" s="76" t="s">
        <v>839</v>
      </c>
      <c r="F152" s="69">
        <f t="shared" si="13"/>
        <v>1575</v>
      </c>
      <c r="G152" s="70">
        <v>2.1999999999999999E-2</v>
      </c>
      <c r="H152" s="69">
        <f t="shared" si="12"/>
        <v>34.65</v>
      </c>
    </row>
    <row r="153" spans="1:8" x14ac:dyDescent="0.25">
      <c r="A153" s="67" t="s">
        <v>978</v>
      </c>
      <c r="B153" s="76" t="s">
        <v>926</v>
      </c>
      <c r="D153" s="72" t="s">
        <v>934</v>
      </c>
      <c r="E153" s="76" t="s">
        <v>842</v>
      </c>
      <c r="F153" s="69">
        <f t="shared" si="13"/>
        <v>557.4</v>
      </c>
      <c r="G153" s="70">
        <v>2.1999999999999999E-2</v>
      </c>
      <c r="H153" s="69">
        <f t="shared" si="12"/>
        <v>12.262799999999999</v>
      </c>
    </row>
    <row r="154" spans="1:8" x14ac:dyDescent="0.25">
      <c r="G154" s="65"/>
      <c r="H154" s="69"/>
    </row>
    <row r="155" spans="1:8" x14ac:dyDescent="0.25">
      <c r="A155" s="87" t="s">
        <v>979</v>
      </c>
      <c r="G155" s="65"/>
      <c r="H155" s="69"/>
    </row>
    <row r="156" spans="1:8" x14ac:dyDescent="0.25">
      <c r="A156" s="75" t="s">
        <v>816</v>
      </c>
      <c r="B156" s="76" t="s">
        <v>947</v>
      </c>
      <c r="D156" s="82" t="s">
        <v>945</v>
      </c>
      <c r="E156" s="65" t="s">
        <v>928</v>
      </c>
      <c r="F156" s="69">
        <v>760.09</v>
      </c>
      <c r="G156" s="70">
        <v>0.02</v>
      </c>
      <c r="H156" s="69">
        <f t="shared" si="12"/>
        <v>15.2018</v>
      </c>
    </row>
    <row r="157" spans="1:8" x14ac:dyDescent="0.25">
      <c r="A157" s="75" t="s">
        <v>820</v>
      </c>
      <c r="B157" s="76" t="s">
        <v>947</v>
      </c>
      <c r="D157" s="82" t="s">
        <v>946</v>
      </c>
      <c r="E157" s="65" t="s">
        <v>822</v>
      </c>
      <c r="F157" s="69">
        <v>10689.17</v>
      </c>
      <c r="G157" s="70">
        <v>0.02</v>
      </c>
      <c r="H157" s="69">
        <f t="shared" si="12"/>
        <v>213.7834</v>
      </c>
    </row>
    <row r="158" spans="1:8" x14ac:dyDescent="0.25">
      <c r="A158" s="75" t="s">
        <v>947</v>
      </c>
      <c r="B158" s="76" t="s">
        <v>823</v>
      </c>
      <c r="D158" s="82" t="s">
        <v>947</v>
      </c>
      <c r="E158" s="65" t="s">
        <v>824</v>
      </c>
      <c r="F158" s="69">
        <v>-1474.93</v>
      </c>
      <c r="G158" s="70">
        <v>0.02</v>
      </c>
      <c r="H158" s="69">
        <f>-F158*G158</f>
        <v>29.498600000000003</v>
      </c>
    </row>
    <row r="159" spans="1:8" x14ac:dyDescent="0.25">
      <c r="A159" s="75" t="s">
        <v>825</v>
      </c>
      <c r="B159" s="76" t="s">
        <v>947</v>
      </c>
      <c r="D159" s="82" t="s">
        <v>948</v>
      </c>
      <c r="E159" s="76" t="s">
        <v>827</v>
      </c>
      <c r="F159" s="69">
        <v>35.51</v>
      </c>
      <c r="G159" s="70">
        <v>0.02</v>
      </c>
      <c r="H159" s="69">
        <f t="shared" si="12"/>
        <v>0.71019999999999994</v>
      </c>
    </row>
    <row r="160" spans="1:8" x14ac:dyDescent="0.25">
      <c r="A160" s="67" t="s">
        <v>831</v>
      </c>
      <c r="B160" s="76" t="s">
        <v>947</v>
      </c>
      <c r="D160" s="82" t="s">
        <v>949</v>
      </c>
      <c r="E160" s="76" t="s">
        <v>833</v>
      </c>
      <c r="F160" s="69">
        <v>2460.12</v>
      </c>
      <c r="G160" s="70">
        <v>0.02</v>
      </c>
      <c r="H160" s="69">
        <f t="shared" si="12"/>
        <v>49.202399999999997</v>
      </c>
    </row>
    <row r="161" spans="1:8" x14ac:dyDescent="0.25">
      <c r="A161" s="67" t="s">
        <v>834</v>
      </c>
      <c r="B161" s="76" t="s">
        <v>947</v>
      </c>
      <c r="D161" s="82" t="s">
        <v>950</v>
      </c>
      <c r="E161" s="76" t="s">
        <v>836</v>
      </c>
      <c r="F161" s="69">
        <f>1484.73+27</f>
        <v>1511.73</v>
      </c>
      <c r="G161" s="70">
        <v>0.02</v>
      </c>
      <c r="H161" s="69">
        <f t="shared" si="12"/>
        <v>30.2346</v>
      </c>
    </row>
    <row r="162" spans="1:8" x14ac:dyDescent="0.25">
      <c r="A162" s="67" t="s">
        <v>837</v>
      </c>
      <c r="B162" s="76" t="s">
        <v>947</v>
      </c>
      <c r="D162" s="82" t="s">
        <v>951</v>
      </c>
      <c r="E162" s="76" t="s">
        <v>839</v>
      </c>
      <c r="F162" s="69">
        <v>450</v>
      </c>
      <c r="G162" s="70">
        <v>0.02</v>
      </c>
      <c r="H162" s="69">
        <f t="shared" si="12"/>
        <v>9</v>
      </c>
    </row>
    <row r="163" spans="1:8" x14ac:dyDescent="0.25">
      <c r="A163" s="67" t="s">
        <v>840</v>
      </c>
      <c r="B163" s="76" t="s">
        <v>947</v>
      </c>
      <c r="D163" s="82" t="s">
        <v>952</v>
      </c>
      <c r="E163" s="76" t="s">
        <v>842</v>
      </c>
      <c r="F163" s="69">
        <v>183.28</v>
      </c>
      <c r="G163" s="70">
        <v>0.02</v>
      </c>
      <c r="H163" s="69">
        <f t="shared" si="12"/>
        <v>3.6656</v>
      </c>
    </row>
    <row r="164" spans="1:8" x14ac:dyDescent="0.25">
      <c r="G164" s="65"/>
      <c r="H164" s="69"/>
    </row>
    <row r="165" spans="1:8" x14ac:dyDescent="0.25">
      <c r="A165" s="87" t="s">
        <v>980</v>
      </c>
      <c r="G165" s="65"/>
      <c r="H165" s="69"/>
    </row>
    <row r="166" spans="1:8" x14ac:dyDescent="0.25">
      <c r="A166" s="75" t="s">
        <v>971</v>
      </c>
      <c r="B166" s="76" t="s">
        <v>947</v>
      </c>
      <c r="D166" s="82" t="s">
        <v>945</v>
      </c>
      <c r="E166" s="65" t="s">
        <v>928</v>
      </c>
      <c r="F166" s="69">
        <f t="shared" ref="F166:F173" si="14">F156</f>
        <v>760.09</v>
      </c>
      <c r="G166" s="70">
        <v>0.15</v>
      </c>
      <c r="H166" s="69">
        <f t="shared" si="12"/>
        <v>114.01350000000001</v>
      </c>
    </row>
    <row r="167" spans="1:8" x14ac:dyDescent="0.25">
      <c r="A167" s="75" t="s">
        <v>972</v>
      </c>
      <c r="B167" s="76" t="s">
        <v>947</v>
      </c>
      <c r="D167" s="82" t="s">
        <v>946</v>
      </c>
      <c r="E167" s="65" t="s">
        <v>822</v>
      </c>
      <c r="F167" s="69">
        <f t="shared" si="14"/>
        <v>10689.17</v>
      </c>
      <c r="G167" s="70">
        <v>0.15</v>
      </c>
      <c r="H167" s="69">
        <f t="shared" si="12"/>
        <v>1603.3754999999999</v>
      </c>
    </row>
    <row r="168" spans="1:8" x14ac:dyDescent="0.25">
      <c r="A168" s="75" t="s">
        <v>947</v>
      </c>
      <c r="B168" s="76" t="s">
        <v>973</v>
      </c>
      <c r="D168" s="82" t="s">
        <v>947</v>
      </c>
      <c r="E168" s="65" t="s">
        <v>824</v>
      </c>
      <c r="F168" s="69">
        <f>F158</f>
        <v>-1474.93</v>
      </c>
      <c r="G168" s="70">
        <v>0.15</v>
      </c>
      <c r="H168" s="69">
        <f>-F168*G168</f>
        <v>221.23949999999999</v>
      </c>
    </row>
    <row r="169" spans="1:8" x14ac:dyDescent="0.25">
      <c r="A169" s="75" t="s">
        <v>974</v>
      </c>
      <c r="B169" s="76" t="s">
        <v>947</v>
      </c>
      <c r="D169" s="82" t="s">
        <v>948</v>
      </c>
      <c r="E169" s="76" t="s">
        <v>827</v>
      </c>
      <c r="F169" s="69">
        <f t="shared" si="14"/>
        <v>35.51</v>
      </c>
      <c r="G169" s="70">
        <v>0.15</v>
      </c>
      <c r="H169" s="69">
        <f t="shared" si="12"/>
        <v>5.3264999999999993</v>
      </c>
    </row>
    <row r="170" spans="1:8" x14ac:dyDescent="0.25">
      <c r="A170" s="75" t="s">
        <v>975</v>
      </c>
      <c r="B170" s="76" t="s">
        <v>947</v>
      </c>
      <c r="D170" s="82" t="s">
        <v>949</v>
      </c>
      <c r="E170" s="76" t="s">
        <v>833</v>
      </c>
      <c r="F170" s="69">
        <f t="shared" si="14"/>
        <v>2460.12</v>
      </c>
      <c r="G170" s="70">
        <v>0.15</v>
      </c>
      <c r="H170" s="69">
        <f t="shared" si="12"/>
        <v>369.01799999999997</v>
      </c>
    </row>
    <row r="171" spans="1:8" x14ac:dyDescent="0.25">
      <c r="A171" s="75" t="s">
        <v>976</v>
      </c>
      <c r="B171" s="76" t="s">
        <v>947</v>
      </c>
      <c r="D171" s="82" t="s">
        <v>950</v>
      </c>
      <c r="E171" s="76" t="s">
        <v>836</v>
      </c>
      <c r="F171" s="69">
        <f t="shared" si="14"/>
        <v>1511.73</v>
      </c>
      <c r="G171" s="70">
        <v>0.15</v>
      </c>
      <c r="H171" s="69">
        <f t="shared" si="12"/>
        <v>226.7595</v>
      </c>
    </row>
    <row r="172" spans="1:8" x14ac:dyDescent="0.25">
      <c r="A172" s="75" t="s">
        <v>977</v>
      </c>
      <c r="B172" s="76" t="s">
        <v>947</v>
      </c>
      <c r="D172" s="82" t="s">
        <v>951</v>
      </c>
      <c r="E172" s="76" t="s">
        <v>839</v>
      </c>
      <c r="F172" s="69">
        <f t="shared" si="14"/>
        <v>450</v>
      </c>
      <c r="G172" s="70">
        <v>0.15</v>
      </c>
      <c r="H172" s="69">
        <f t="shared" si="12"/>
        <v>67.5</v>
      </c>
    </row>
    <row r="173" spans="1:8" x14ac:dyDescent="0.25">
      <c r="A173" s="75" t="s">
        <v>978</v>
      </c>
      <c r="B173" s="76" t="s">
        <v>947</v>
      </c>
      <c r="D173" s="82" t="s">
        <v>952</v>
      </c>
      <c r="E173" s="76" t="s">
        <v>842</v>
      </c>
      <c r="F173" s="69">
        <f t="shared" si="14"/>
        <v>183.28</v>
      </c>
      <c r="G173" s="70">
        <v>0.15</v>
      </c>
      <c r="H173" s="69">
        <f t="shared" si="12"/>
        <v>27.492000000000001</v>
      </c>
    </row>
    <row r="174" spans="1:8" x14ac:dyDescent="0.25">
      <c r="G174" s="65"/>
      <c r="H174" s="69">
        <f t="shared" si="12"/>
        <v>0</v>
      </c>
    </row>
    <row r="175" spans="1:8" x14ac:dyDescent="0.25">
      <c r="A175" s="87" t="s">
        <v>981</v>
      </c>
      <c r="G175" s="65"/>
      <c r="H175" s="69"/>
    </row>
    <row r="176" spans="1:8" x14ac:dyDescent="0.25">
      <c r="A176" s="88" t="s">
        <v>982</v>
      </c>
      <c r="B176" s="76" t="s">
        <v>947</v>
      </c>
      <c r="E176" s="65" t="s">
        <v>965</v>
      </c>
      <c r="F176" s="69">
        <f>SUM(F156:F163)</f>
        <v>14614.97</v>
      </c>
      <c r="G176" s="70">
        <v>0.2</v>
      </c>
      <c r="H176" s="69">
        <f t="shared" si="12"/>
        <v>2922.9940000000001</v>
      </c>
    </row>
    <row r="177" spans="1:10" x14ac:dyDescent="0.25">
      <c r="G177" s="65"/>
      <c r="H177" s="69"/>
    </row>
    <row r="178" spans="1:10" x14ac:dyDescent="0.25">
      <c r="A178" s="87" t="s">
        <v>983</v>
      </c>
      <c r="G178" s="65"/>
      <c r="H178" s="69"/>
    </row>
    <row r="179" spans="1:10" x14ac:dyDescent="0.25">
      <c r="A179" s="75" t="s">
        <v>945</v>
      </c>
      <c r="B179" s="75" t="s">
        <v>984</v>
      </c>
      <c r="D179" s="82" t="s">
        <v>985</v>
      </c>
      <c r="E179" s="65" t="s">
        <v>928</v>
      </c>
      <c r="F179" s="69">
        <v>2320.34</v>
      </c>
      <c r="G179" s="70">
        <v>0.11020000000000001</v>
      </c>
      <c r="H179" s="69">
        <f t="shared" si="12"/>
        <v>255.70146800000003</v>
      </c>
    </row>
    <row r="180" spans="1:10" x14ac:dyDescent="0.25">
      <c r="A180" s="75" t="s">
        <v>946</v>
      </c>
      <c r="B180" s="75" t="s">
        <v>984</v>
      </c>
      <c r="D180" s="82" t="s">
        <v>986</v>
      </c>
      <c r="E180" s="65" t="s">
        <v>822</v>
      </c>
      <c r="F180" s="69">
        <v>29705.69</v>
      </c>
      <c r="G180" s="70">
        <v>0.11020000000000001</v>
      </c>
      <c r="H180" s="69">
        <f t="shared" si="12"/>
        <v>3273.5670380000001</v>
      </c>
    </row>
    <row r="181" spans="1:10" x14ac:dyDescent="0.25">
      <c r="A181" s="75" t="s">
        <v>984</v>
      </c>
      <c r="B181" s="75" t="s">
        <v>947</v>
      </c>
      <c r="D181" s="82" t="s">
        <v>984</v>
      </c>
      <c r="E181" s="65" t="s">
        <v>824</v>
      </c>
      <c r="F181" s="69">
        <v>-3063.01</v>
      </c>
      <c r="G181" s="70">
        <v>0.11020000000000001</v>
      </c>
      <c r="H181" s="69">
        <f>-F181*G181</f>
        <v>337.54370200000005</v>
      </c>
    </row>
    <row r="182" spans="1:10" x14ac:dyDescent="0.25">
      <c r="A182" s="75" t="s">
        <v>948</v>
      </c>
      <c r="B182" s="75" t="s">
        <v>984</v>
      </c>
      <c r="D182" s="82" t="s">
        <v>987</v>
      </c>
      <c r="E182" s="76" t="s">
        <v>827</v>
      </c>
      <c r="F182" s="69">
        <v>879.8</v>
      </c>
      <c r="G182" s="70">
        <v>0.11020000000000001</v>
      </c>
      <c r="H182" s="69">
        <f t="shared" si="12"/>
        <v>96.953959999999995</v>
      </c>
    </row>
    <row r="183" spans="1:10" x14ac:dyDescent="0.25">
      <c r="A183" s="75" t="s">
        <v>949</v>
      </c>
      <c r="B183" s="75" t="s">
        <v>984</v>
      </c>
      <c r="D183" s="82" t="s">
        <v>988</v>
      </c>
      <c r="E183" s="76" t="s">
        <v>833</v>
      </c>
      <c r="F183" s="69">
        <v>7577.46</v>
      </c>
      <c r="G183" s="70">
        <v>0.11020000000000001</v>
      </c>
      <c r="H183" s="69">
        <f t="shared" si="12"/>
        <v>835.03609200000005</v>
      </c>
    </row>
    <row r="184" spans="1:10" x14ac:dyDescent="0.25">
      <c r="A184" s="75" t="s">
        <v>950</v>
      </c>
      <c r="B184" s="75" t="s">
        <v>984</v>
      </c>
      <c r="D184" s="82" t="s">
        <v>989</v>
      </c>
      <c r="E184" s="76" t="s">
        <v>836</v>
      </c>
      <c r="F184" s="69">
        <v>4227.0600000000004</v>
      </c>
      <c r="G184" s="70">
        <v>0.11020000000000001</v>
      </c>
      <c r="H184" s="69">
        <f t="shared" si="12"/>
        <v>465.82201200000009</v>
      </c>
    </row>
    <row r="185" spans="1:10" x14ac:dyDescent="0.25">
      <c r="A185" s="75" t="s">
        <v>951</v>
      </c>
      <c r="B185" s="75" t="s">
        <v>984</v>
      </c>
      <c r="D185" s="82" t="s">
        <v>990</v>
      </c>
      <c r="E185" s="76" t="s">
        <v>839</v>
      </c>
      <c r="F185" s="69">
        <v>1350</v>
      </c>
      <c r="G185" s="70">
        <v>0.11020000000000001</v>
      </c>
      <c r="H185" s="69">
        <f t="shared" si="12"/>
        <v>148.77000000000001</v>
      </c>
    </row>
    <row r="186" spans="1:10" x14ac:dyDescent="0.25">
      <c r="A186" s="75" t="s">
        <v>952</v>
      </c>
      <c r="B186" s="75" t="s">
        <v>984</v>
      </c>
      <c r="D186" s="82" t="s">
        <v>991</v>
      </c>
      <c r="E186" s="76" t="s">
        <v>842</v>
      </c>
      <c r="F186" s="69">
        <v>597.46</v>
      </c>
      <c r="G186" s="70">
        <v>0.11020000000000001</v>
      </c>
      <c r="H186" s="69">
        <f t="shared" si="12"/>
        <v>65.840092000000013</v>
      </c>
    </row>
    <row r="188" spans="1:10" x14ac:dyDescent="0.25">
      <c r="A188" s="87" t="s">
        <v>992</v>
      </c>
      <c r="B188" s="65"/>
      <c r="C188" s="65"/>
      <c r="E188" s="76"/>
      <c r="F188" s="76"/>
    </row>
    <row r="189" spans="1:10" x14ac:dyDescent="0.25">
      <c r="A189" s="75" t="s">
        <v>971</v>
      </c>
      <c r="B189" s="75" t="s">
        <v>984</v>
      </c>
      <c r="D189" s="82" t="s">
        <v>985</v>
      </c>
      <c r="E189" s="65" t="s">
        <v>928</v>
      </c>
      <c r="F189" s="69">
        <f>F179</f>
        <v>2320.34</v>
      </c>
      <c r="G189" s="70">
        <v>8.3999999999999995E-3</v>
      </c>
      <c r="H189" s="69">
        <f t="shared" ref="H189:H190" si="15">F189*G189</f>
        <v>19.490856000000001</v>
      </c>
      <c r="J189" s="74" t="s">
        <v>993</v>
      </c>
    </row>
    <row r="190" spans="1:10" x14ac:dyDescent="0.25">
      <c r="A190" s="75" t="s">
        <v>972</v>
      </c>
      <c r="B190" s="75" t="s">
        <v>984</v>
      </c>
      <c r="D190" s="82" t="s">
        <v>986</v>
      </c>
      <c r="E190" s="65" t="s">
        <v>822</v>
      </c>
      <c r="F190" s="69">
        <f>F180</f>
        <v>29705.69</v>
      </c>
      <c r="G190" s="70">
        <v>8.3999999999999995E-3</v>
      </c>
      <c r="H190" s="69">
        <f t="shared" si="15"/>
        <v>249.52779599999997</v>
      </c>
      <c r="J190" s="74" t="s">
        <v>994</v>
      </c>
    </row>
    <row r="191" spans="1:10" x14ac:dyDescent="0.25">
      <c r="A191" s="75" t="s">
        <v>984</v>
      </c>
      <c r="B191" s="75" t="s">
        <v>973</v>
      </c>
      <c r="D191" s="82" t="s">
        <v>984</v>
      </c>
      <c r="E191" s="65" t="s">
        <v>824</v>
      </c>
      <c r="F191" s="69">
        <f t="shared" ref="F191:F196" si="16">F181</f>
        <v>-3063.01</v>
      </c>
      <c r="G191" s="70">
        <v>8.3999999999999995E-3</v>
      </c>
      <c r="H191" s="69">
        <f>-F191*G191</f>
        <v>25.729284</v>
      </c>
      <c r="J191" s="74" t="s">
        <v>995</v>
      </c>
    </row>
    <row r="192" spans="1:10" x14ac:dyDescent="0.25">
      <c r="A192" s="75" t="s">
        <v>974</v>
      </c>
      <c r="B192" s="75" t="s">
        <v>984</v>
      </c>
      <c r="D192" s="82" t="s">
        <v>987</v>
      </c>
      <c r="E192" s="76" t="s">
        <v>827</v>
      </c>
      <c r="F192" s="69">
        <f t="shared" si="16"/>
        <v>879.8</v>
      </c>
      <c r="G192" s="70">
        <v>8.3999999999999995E-3</v>
      </c>
      <c r="H192" s="69">
        <f t="shared" ref="H192:H196" si="17">F192*G192</f>
        <v>7.3903199999999991</v>
      </c>
      <c r="J192" s="74" t="s">
        <v>996</v>
      </c>
    </row>
    <row r="193" spans="1:8" x14ac:dyDescent="0.25">
      <c r="A193" s="75" t="s">
        <v>975</v>
      </c>
      <c r="B193" s="75" t="s">
        <v>984</v>
      </c>
      <c r="D193" s="82" t="s">
        <v>988</v>
      </c>
      <c r="E193" s="76" t="s">
        <v>833</v>
      </c>
      <c r="F193" s="69">
        <f t="shared" si="16"/>
        <v>7577.46</v>
      </c>
      <c r="G193" s="70">
        <v>8.3999999999999995E-3</v>
      </c>
      <c r="H193" s="69">
        <f t="shared" si="17"/>
        <v>63.650663999999999</v>
      </c>
    </row>
    <row r="194" spans="1:8" x14ac:dyDescent="0.25">
      <c r="A194" s="75" t="s">
        <v>976</v>
      </c>
      <c r="B194" s="75" t="s">
        <v>984</v>
      </c>
      <c r="D194" s="82" t="s">
        <v>989</v>
      </c>
      <c r="E194" s="76" t="s">
        <v>836</v>
      </c>
      <c r="F194" s="69">
        <f t="shared" si="16"/>
        <v>4227.0600000000004</v>
      </c>
      <c r="G194" s="70">
        <v>8.3999999999999995E-3</v>
      </c>
      <c r="H194" s="69">
        <f t="shared" si="17"/>
        <v>35.507303999999998</v>
      </c>
    </row>
    <row r="195" spans="1:8" x14ac:dyDescent="0.25">
      <c r="A195" s="75" t="s">
        <v>977</v>
      </c>
      <c r="B195" s="75" t="s">
        <v>984</v>
      </c>
      <c r="D195" s="82" t="s">
        <v>990</v>
      </c>
      <c r="E195" s="76" t="s">
        <v>839</v>
      </c>
      <c r="F195" s="69">
        <f t="shared" si="16"/>
        <v>1350</v>
      </c>
      <c r="G195" s="70">
        <v>8.3999999999999995E-3</v>
      </c>
      <c r="H195" s="69">
        <f t="shared" si="17"/>
        <v>11.34</v>
      </c>
    </row>
    <row r="196" spans="1:8" x14ac:dyDescent="0.25">
      <c r="A196" s="75" t="s">
        <v>978</v>
      </c>
      <c r="B196" s="75" t="s">
        <v>984</v>
      </c>
      <c r="D196" s="82" t="s">
        <v>991</v>
      </c>
      <c r="E196" s="76" t="s">
        <v>842</v>
      </c>
      <c r="F196" s="69">
        <f t="shared" si="16"/>
        <v>597.46</v>
      </c>
      <c r="G196" s="70">
        <v>8.3999999999999995E-3</v>
      </c>
      <c r="H196" s="69">
        <f t="shared" si="17"/>
        <v>5.0186640000000002</v>
      </c>
    </row>
  </sheetData>
  <mergeCells count="2">
    <mergeCell ref="J34:K34"/>
    <mergeCell ref="J69:K69"/>
  </mergeCells>
  <pageMargins left="0.7" right="0.7" top="0.75" bottom="0.75" header="0.3" footer="0.3"/>
  <pageSetup scale="64" orientation="landscape" horizontalDpi="0" verticalDpi="0" r:id="rId1"/>
  <rowBreaks count="3" manualBreakCount="3">
    <brk id="50" max="10" man="1"/>
    <brk id="103" max="10" man="1"/>
    <brk id="153" max="10" man="1"/>
  </rowBreaks>
  <colBreaks count="1" manualBreakCount="1">
    <brk id="11"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70"/>
  <sheetViews>
    <sheetView zoomScale="70" zoomScaleNormal="70" workbookViewId="0">
      <selection activeCell="C22" sqref="C22"/>
    </sheetView>
  </sheetViews>
  <sheetFormatPr defaultRowHeight="12" x14ac:dyDescent="0.25"/>
  <cols>
    <col min="1" max="1" width="11.7109375" style="54" customWidth="1"/>
    <col min="2" max="2" width="43.42578125" style="54" bestFit="1" customWidth="1"/>
    <col min="3" max="3" width="16" style="56" customWidth="1"/>
    <col min="4" max="4" width="18.85546875" style="56" customWidth="1"/>
    <col min="5" max="5" width="19.42578125" style="57" customWidth="1"/>
    <col min="6" max="6" width="18.7109375" style="54" customWidth="1"/>
    <col min="7" max="7" width="17.140625" style="58" customWidth="1"/>
    <col min="8" max="8" width="18.5703125" style="56" customWidth="1"/>
    <col min="9" max="9" width="29.85546875" style="57" customWidth="1"/>
    <col min="10" max="10" width="25" style="57" customWidth="1"/>
    <col min="11" max="11" width="24.85546875" style="57" customWidth="1"/>
    <col min="12" max="12" width="18.85546875" style="57" customWidth="1"/>
    <col min="13" max="13" width="15.140625" style="54" customWidth="1"/>
    <col min="14" max="14" width="13.28515625" style="54" customWidth="1"/>
    <col min="15" max="15" width="14.140625" style="54" customWidth="1"/>
    <col min="16" max="16" width="22" style="54" customWidth="1"/>
    <col min="17" max="16384" width="9.140625" style="54"/>
  </cols>
  <sheetData>
    <row r="1" spans="1:16" ht="17.45" customHeight="1" x14ac:dyDescent="0.25">
      <c r="A1" s="54" t="s">
        <v>173</v>
      </c>
      <c r="B1" s="54" t="s">
        <v>174</v>
      </c>
      <c r="C1" s="54" t="s">
        <v>175</v>
      </c>
      <c r="D1" s="54" t="s">
        <v>176</v>
      </c>
      <c r="E1" s="55" t="s">
        <v>177</v>
      </c>
      <c r="F1" s="54" t="s">
        <v>178</v>
      </c>
      <c r="G1" s="54" t="s">
        <v>179</v>
      </c>
      <c r="H1" s="54" t="s">
        <v>180</v>
      </c>
      <c r="I1" s="55" t="s">
        <v>181</v>
      </c>
      <c r="J1" s="55" t="s">
        <v>182</v>
      </c>
      <c r="K1" s="55" t="s">
        <v>183</v>
      </c>
      <c r="L1" s="55" t="s">
        <v>184</v>
      </c>
      <c r="M1" s="54" t="s">
        <v>185</v>
      </c>
      <c r="N1" s="54" t="s">
        <v>186</v>
      </c>
      <c r="O1" s="54" t="s">
        <v>187</v>
      </c>
      <c r="P1" s="54" t="s">
        <v>188</v>
      </c>
    </row>
    <row r="2" spans="1:16" ht="17.45" customHeight="1" x14ac:dyDescent="0.25">
      <c r="A2" s="54" t="s">
        <v>189</v>
      </c>
      <c r="B2" s="54" t="s">
        <v>190</v>
      </c>
      <c r="C2" s="56">
        <f>DATE(1997,10,31)</f>
        <v>35734</v>
      </c>
      <c r="D2" s="56">
        <f>DATE(1997,10,31)</f>
        <v>35734</v>
      </c>
      <c r="E2" s="57">
        <v>1340200.17</v>
      </c>
      <c r="F2" s="54" t="s">
        <v>191</v>
      </c>
      <c r="G2" s="58">
        <v>35</v>
      </c>
      <c r="H2" s="56">
        <f t="shared" ref="H2:H9" si="0">DATE(2023,6,30)</f>
        <v>45107</v>
      </c>
      <c r="I2" s="57">
        <v>3190.95</v>
      </c>
      <c r="J2" s="57">
        <v>19145.7</v>
      </c>
      <c r="K2" s="57">
        <v>962658.42</v>
      </c>
      <c r="L2" s="57">
        <v>377541.75</v>
      </c>
      <c r="M2" s="54" t="s">
        <v>192</v>
      </c>
      <c r="N2" s="54" t="s">
        <v>141</v>
      </c>
      <c r="O2" s="54" t="s">
        <v>193</v>
      </c>
      <c r="P2" s="54" t="s">
        <v>194</v>
      </c>
    </row>
    <row r="3" spans="1:16" ht="17.45" customHeight="1" x14ac:dyDescent="0.25">
      <c r="A3" s="54" t="s">
        <v>195</v>
      </c>
      <c r="B3" s="54" t="s">
        <v>196</v>
      </c>
      <c r="C3" s="56">
        <f>DATE(2000,12,31)</f>
        <v>36891</v>
      </c>
      <c r="D3" s="56">
        <f>DATE(2000,12,31)</f>
        <v>36891</v>
      </c>
      <c r="E3" s="57">
        <v>1501.65</v>
      </c>
      <c r="F3" s="54" t="s">
        <v>191</v>
      </c>
      <c r="G3" s="58">
        <v>35</v>
      </c>
      <c r="H3" s="56">
        <f t="shared" si="0"/>
        <v>45107</v>
      </c>
      <c r="I3" s="57">
        <v>3.58</v>
      </c>
      <c r="J3" s="57">
        <v>21.48</v>
      </c>
      <c r="K3" s="57">
        <v>905.3</v>
      </c>
      <c r="L3" s="57">
        <v>596.35</v>
      </c>
      <c r="M3" s="54" t="s">
        <v>192</v>
      </c>
      <c r="N3" s="54" t="s">
        <v>141</v>
      </c>
      <c r="O3" s="54" t="s">
        <v>193</v>
      </c>
      <c r="P3" s="54" t="s">
        <v>194</v>
      </c>
    </row>
    <row r="4" spans="1:16" ht="17.45" customHeight="1" x14ac:dyDescent="0.25">
      <c r="A4" s="54" t="s">
        <v>197</v>
      </c>
      <c r="B4" s="54" t="s">
        <v>198</v>
      </c>
      <c r="C4" s="56">
        <f>DATE(2001,3,27)</f>
        <v>36977</v>
      </c>
      <c r="D4" s="56">
        <f>DATE(2001,3,27)</f>
        <v>36977</v>
      </c>
      <c r="E4" s="57">
        <v>1243.31</v>
      </c>
      <c r="F4" s="54" t="s">
        <v>191</v>
      </c>
      <c r="G4" s="58">
        <v>35</v>
      </c>
      <c r="H4" s="56">
        <f t="shared" si="0"/>
        <v>45107</v>
      </c>
      <c r="I4" s="57">
        <v>2.96</v>
      </c>
      <c r="J4" s="57">
        <v>17.760000000000002</v>
      </c>
      <c r="K4" s="57">
        <v>724.63</v>
      </c>
      <c r="L4" s="57">
        <v>518.67999999999995</v>
      </c>
      <c r="M4" s="54" t="s">
        <v>199</v>
      </c>
      <c r="N4" s="54" t="s">
        <v>141</v>
      </c>
      <c r="O4" s="54" t="s">
        <v>193</v>
      </c>
      <c r="P4" s="54" t="s">
        <v>194</v>
      </c>
    </row>
    <row r="5" spans="1:16" ht="17.45" customHeight="1" x14ac:dyDescent="0.25">
      <c r="A5" s="54" t="s">
        <v>200</v>
      </c>
      <c r="B5" s="54" t="s">
        <v>201</v>
      </c>
      <c r="C5" s="56">
        <f>DATE(2004,7,29)</f>
        <v>38197</v>
      </c>
      <c r="D5" s="56">
        <f>DATE(2004,7,29)</f>
        <v>38197</v>
      </c>
      <c r="E5" s="57">
        <v>2401.4499999999998</v>
      </c>
      <c r="F5" s="54" t="s">
        <v>191</v>
      </c>
      <c r="G5" s="58">
        <v>35</v>
      </c>
      <c r="H5" s="56">
        <f t="shared" si="0"/>
        <v>45107</v>
      </c>
      <c r="I5" s="57">
        <v>5.72</v>
      </c>
      <c r="J5" s="57">
        <v>34.32</v>
      </c>
      <c r="K5" s="57">
        <v>2264.1999999999998</v>
      </c>
      <c r="L5" s="57">
        <v>137.25</v>
      </c>
      <c r="M5" s="54" t="s">
        <v>192</v>
      </c>
      <c r="N5" s="54" t="s">
        <v>141</v>
      </c>
      <c r="O5" s="54" t="s">
        <v>193</v>
      </c>
      <c r="P5" s="54" t="s">
        <v>194</v>
      </c>
    </row>
    <row r="6" spans="1:16" ht="17.45" customHeight="1" x14ac:dyDescent="0.25">
      <c r="A6" s="54" t="s">
        <v>202</v>
      </c>
      <c r="B6" s="54" t="s">
        <v>203</v>
      </c>
      <c r="C6" s="56">
        <f>DATE(2004,11,30)</f>
        <v>38321</v>
      </c>
      <c r="D6" s="56">
        <f>DATE(2004,11,30)</f>
        <v>38321</v>
      </c>
      <c r="E6" s="57">
        <v>1645.7</v>
      </c>
      <c r="F6" s="54" t="s">
        <v>191</v>
      </c>
      <c r="G6" s="58">
        <v>35</v>
      </c>
      <c r="H6" s="56">
        <f t="shared" si="0"/>
        <v>45107</v>
      </c>
      <c r="I6" s="57">
        <v>3.92</v>
      </c>
      <c r="J6" s="57">
        <v>23.52</v>
      </c>
      <c r="K6" s="57">
        <v>1551.67</v>
      </c>
      <c r="L6" s="57">
        <v>94.03</v>
      </c>
      <c r="M6" s="54" t="s">
        <v>204</v>
      </c>
      <c r="N6" s="54" t="s">
        <v>141</v>
      </c>
      <c r="O6" s="54" t="s">
        <v>193</v>
      </c>
      <c r="P6" s="54" t="s">
        <v>194</v>
      </c>
    </row>
    <row r="7" spans="1:16" ht="17.45" customHeight="1" x14ac:dyDescent="0.25">
      <c r="A7" s="54" t="s">
        <v>205</v>
      </c>
      <c r="B7" s="54" t="s">
        <v>206</v>
      </c>
      <c r="C7" s="56">
        <f>DATE(2007,3,1)</f>
        <v>39142</v>
      </c>
      <c r="D7" s="56">
        <f>DATE(2007,3,1)</f>
        <v>39142</v>
      </c>
      <c r="E7" s="57">
        <v>9733.82</v>
      </c>
      <c r="F7" s="54" t="s">
        <v>191</v>
      </c>
      <c r="G7" s="58">
        <v>35</v>
      </c>
      <c r="H7" s="56">
        <f t="shared" si="0"/>
        <v>45107</v>
      </c>
      <c r="I7" s="57">
        <v>23.18</v>
      </c>
      <c r="J7" s="57">
        <v>139.08000000000001</v>
      </c>
      <c r="K7" s="57">
        <v>5040.75</v>
      </c>
      <c r="L7" s="57">
        <v>4693.07</v>
      </c>
      <c r="M7" s="54" t="s">
        <v>199</v>
      </c>
      <c r="N7" s="54" t="s">
        <v>141</v>
      </c>
      <c r="O7" s="54" t="s">
        <v>193</v>
      </c>
      <c r="P7" s="54" t="s">
        <v>194</v>
      </c>
    </row>
    <row r="8" spans="1:16" ht="17.45" customHeight="1" x14ac:dyDescent="0.25">
      <c r="A8" s="54" t="s">
        <v>207</v>
      </c>
      <c r="B8" s="54" t="s">
        <v>208</v>
      </c>
      <c r="C8" s="56">
        <f>DATE(2007,5,1)</f>
        <v>39203</v>
      </c>
      <c r="D8" s="56">
        <f>DATE(2007,5,1)</f>
        <v>39203</v>
      </c>
      <c r="E8" s="57">
        <v>18033.669999999998</v>
      </c>
      <c r="F8" s="54" t="s">
        <v>191</v>
      </c>
      <c r="G8" s="58">
        <v>35</v>
      </c>
      <c r="H8" s="56">
        <f t="shared" si="0"/>
        <v>45107</v>
      </c>
      <c r="I8" s="57">
        <v>42.94</v>
      </c>
      <c r="J8" s="57">
        <v>257.64</v>
      </c>
      <c r="K8" s="57">
        <v>8512.3700000000008</v>
      </c>
      <c r="L8" s="57">
        <v>9521.2999999999993</v>
      </c>
      <c r="M8" s="54" t="s">
        <v>192</v>
      </c>
      <c r="N8" s="54" t="s">
        <v>141</v>
      </c>
      <c r="O8" s="54" t="s">
        <v>193</v>
      </c>
      <c r="P8" s="54" t="s">
        <v>194</v>
      </c>
    </row>
    <row r="9" spans="1:16" ht="17.45" customHeight="1" x14ac:dyDescent="0.25">
      <c r="A9" s="54" t="s">
        <v>209</v>
      </c>
      <c r="B9" s="54" t="s">
        <v>210</v>
      </c>
      <c r="C9" s="56">
        <f>DATE(2009,1,1)</f>
        <v>39814</v>
      </c>
      <c r="D9" s="56">
        <f>DATE(2009,1,1)</f>
        <v>39814</v>
      </c>
      <c r="E9" s="57">
        <v>8651.5400000000009</v>
      </c>
      <c r="F9" s="54" t="s">
        <v>191</v>
      </c>
      <c r="G9" s="58">
        <v>35</v>
      </c>
      <c r="H9" s="56">
        <f t="shared" si="0"/>
        <v>45107</v>
      </c>
      <c r="I9" s="57">
        <v>20.6</v>
      </c>
      <c r="J9" s="57">
        <v>123.6</v>
      </c>
      <c r="K9" s="57">
        <v>3577.64</v>
      </c>
      <c r="L9" s="57">
        <v>5073.8999999999996</v>
      </c>
      <c r="M9" s="54" t="s">
        <v>192</v>
      </c>
      <c r="N9" s="54" t="s">
        <v>141</v>
      </c>
      <c r="O9" s="54" t="s">
        <v>193</v>
      </c>
      <c r="P9" s="54" t="s">
        <v>194</v>
      </c>
    </row>
    <row r="10" spans="1:16" ht="17.45" customHeight="1" x14ac:dyDescent="0.25">
      <c r="A10" s="54" t="s">
        <v>211</v>
      </c>
      <c r="B10" s="54" t="s">
        <v>212</v>
      </c>
      <c r="C10" s="56">
        <f>DATE(2011,2,28)</f>
        <v>40602</v>
      </c>
      <c r="D10" s="56">
        <f>DATE(2011,2,28)</f>
        <v>40602</v>
      </c>
      <c r="E10" s="57">
        <v>1263.1500000000001</v>
      </c>
      <c r="F10" s="54" t="s">
        <v>191</v>
      </c>
      <c r="G10" s="58">
        <v>10</v>
      </c>
      <c r="H10" s="56">
        <f>DATE(2021,2,28)</f>
        <v>44255</v>
      </c>
      <c r="I10" s="57">
        <v>0</v>
      </c>
      <c r="J10" s="57">
        <v>0</v>
      </c>
      <c r="K10" s="57">
        <v>1263.1500000000001</v>
      </c>
      <c r="L10" s="57">
        <v>0</v>
      </c>
      <c r="M10" s="54" t="s">
        <v>213</v>
      </c>
      <c r="N10" s="54" t="s">
        <v>141</v>
      </c>
      <c r="O10" s="54" t="s">
        <v>193</v>
      </c>
      <c r="P10" s="54" t="s">
        <v>194</v>
      </c>
    </row>
    <row r="11" spans="1:16" ht="17.45" customHeight="1" x14ac:dyDescent="0.25">
      <c r="A11" s="54" t="s">
        <v>214</v>
      </c>
      <c r="B11" s="54" t="s">
        <v>215</v>
      </c>
      <c r="C11" s="56">
        <f>DATE(2011,4,30)</f>
        <v>40663</v>
      </c>
      <c r="D11" s="56">
        <f>DATE(2011,4,30)</f>
        <v>40663</v>
      </c>
      <c r="E11" s="57">
        <v>29505.86</v>
      </c>
      <c r="F11" s="54" t="s">
        <v>191</v>
      </c>
      <c r="G11" s="58">
        <v>10</v>
      </c>
      <c r="H11" s="56">
        <f>DATE(2021,4,30)</f>
        <v>44316</v>
      </c>
      <c r="I11" s="57">
        <v>0</v>
      </c>
      <c r="J11" s="57">
        <v>0</v>
      </c>
      <c r="K11" s="57">
        <v>29505.86</v>
      </c>
      <c r="L11" s="57">
        <v>0</v>
      </c>
      <c r="M11" s="54" t="s">
        <v>192</v>
      </c>
      <c r="N11" s="54" t="s">
        <v>141</v>
      </c>
      <c r="O11" s="54" t="s">
        <v>193</v>
      </c>
      <c r="P11" s="54" t="s">
        <v>194</v>
      </c>
    </row>
    <row r="12" spans="1:16" ht="17.45" customHeight="1" x14ac:dyDescent="0.25">
      <c r="A12" s="54" t="s">
        <v>216</v>
      </c>
      <c r="B12" s="54" t="s">
        <v>217</v>
      </c>
      <c r="C12" s="56">
        <f>DATE(2011,6,30)</f>
        <v>40724</v>
      </c>
      <c r="D12" s="56">
        <f>DATE(2011,6,30)</f>
        <v>40724</v>
      </c>
      <c r="E12" s="57">
        <v>283314.82</v>
      </c>
      <c r="F12" s="54" t="s">
        <v>191</v>
      </c>
      <c r="G12" s="58">
        <v>35</v>
      </c>
      <c r="H12" s="56">
        <f>DATE(2023,6,30)</f>
        <v>45107</v>
      </c>
      <c r="I12" s="57">
        <v>674.56</v>
      </c>
      <c r="J12" s="57">
        <v>4047.36</v>
      </c>
      <c r="K12" s="57">
        <v>97136.54</v>
      </c>
      <c r="L12" s="57">
        <v>186178.28</v>
      </c>
      <c r="M12" s="54" t="s">
        <v>192</v>
      </c>
      <c r="N12" s="54" t="s">
        <v>141</v>
      </c>
      <c r="O12" s="54" t="s">
        <v>193</v>
      </c>
      <c r="P12" s="54" t="s">
        <v>194</v>
      </c>
    </row>
    <row r="13" spans="1:16" ht="17.45" customHeight="1" x14ac:dyDescent="0.25">
      <c r="A13" s="54" t="s">
        <v>218</v>
      </c>
      <c r="B13" s="54" t="s">
        <v>219</v>
      </c>
      <c r="C13" s="56">
        <f>DATE(2011,6,30)</f>
        <v>40724</v>
      </c>
      <c r="D13" s="56">
        <f>DATE(2011,6,30)</f>
        <v>40724</v>
      </c>
      <c r="E13" s="57">
        <v>5213.63</v>
      </c>
      <c r="F13" s="54" t="s">
        <v>191</v>
      </c>
      <c r="G13" s="58">
        <v>10</v>
      </c>
      <c r="H13" s="56">
        <f>DATE(2021,6,30)</f>
        <v>44377</v>
      </c>
      <c r="I13" s="57">
        <v>0</v>
      </c>
      <c r="J13" s="57">
        <v>0</v>
      </c>
      <c r="K13" s="57">
        <v>5213.63</v>
      </c>
      <c r="L13" s="57">
        <v>0</v>
      </c>
      <c r="M13" s="54" t="s">
        <v>220</v>
      </c>
      <c r="N13" s="54" t="s">
        <v>141</v>
      </c>
      <c r="O13" s="54" t="s">
        <v>193</v>
      </c>
      <c r="P13" s="54" t="s">
        <v>194</v>
      </c>
    </row>
    <row r="14" spans="1:16" ht="17.45" customHeight="1" x14ac:dyDescent="0.25">
      <c r="A14" s="54" t="s">
        <v>221</v>
      </c>
      <c r="B14" s="54" t="s">
        <v>222</v>
      </c>
      <c r="C14" s="56">
        <f t="shared" ref="C14:D16" si="1">DATE(2011,6,1)</f>
        <v>40695</v>
      </c>
      <c r="D14" s="56">
        <f t="shared" si="1"/>
        <v>40695</v>
      </c>
      <c r="E14" s="57">
        <v>4748.93</v>
      </c>
      <c r="F14" s="54" t="s">
        <v>191</v>
      </c>
      <c r="G14" s="58">
        <v>10</v>
      </c>
      <c r="H14" s="56">
        <f>DATE(2021,5,31)</f>
        <v>44347</v>
      </c>
      <c r="I14" s="57">
        <v>0</v>
      </c>
      <c r="J14" s="57">
        <v>0</v>
      </c>
      <c r="K14" s="57">
        <v>4748.93</v>
      </c>
      <c r="L14" s="57">
        <v>0</v>
      </c>
      <c r="M14" s="54" t="s">
        <v>220</v>
      </c>
      <c r="N14" s="54" t="s">
        <v>141</v>
      </c>
      <c r="O14" s="54" t="s">
        <v>193</v>
      </c>
      <c r="P14" s="54" t="s">
        <v>194</v>
      </c>
    </row>
    <row r="15" spans="1:16" ht="17.45" customHeight="1" x14ac:dyDescent="0.25">
      <c r="A15" s="54" t="s">
        <v>223</v>
      </c>
      <c r="B15" s="54" t="s">
        <v>224</v>
      </c>
      <c r="C15" s="56">
        <f t="shared" si="1"/>
        <v>40695</v>
      </c>
      <c r="D15" s="56">
        <f t="shared" si="1"/>
        <v>40695</v>
      </c>
      <c r="E15" s="57">
        <v>2072.54</v>
      </c>
      <c r="F15" s="54" t="s">
        <v>191</v>
      </c>
      <c r="G15" s="58">
        <v>7</v>
      </c>
      <c r="H15" s="56">
        <f>DATE(2018,5,31)</f>
        <v>43251</v>
      </c>
      <c r="I15" s="57">
        <v>0</v>
      </c>
      <c r="J15" s="57">
        <v>0</v>
      </c>
      <c r="K15" s="57">
        <v>2072.54</v>
      </c>
      <c r="L15" s="57">
        <v>0</v>
      </c>
      <c r="M15" s="54" t="s">
        <v>225</v>
      </c>
      <c r="N15" s="54" t="s">
        <v>141</v>
      </c>
      <c r="O15" s="54" t="s">
        <v>193</v>
      </c>
      <c r="P15" s="54" t="s">
        <v>194</v>
      </c>
    </row>
    <row r="16" spans="1:16" ht="17.45" customHeight="1" x14ac:dyDescent="0.25">
      <c r="A16" s="54" t="s">
        <v>226</v>
      </c>
      <c r="B16" s="54" t="s">
        <v>227</v>
      </c>
      <c r="C16" s="56">
        <f t="shared" si="1"/>
        <v>40695</v>
      </c>
      <c r="D16" s="56">
        <f t="shared" si="1"/>
        <v>40695</v>
      </c>
      <c r="E16" s="57">
        <v>2283.16</v>
      </c>
      <c r="F16" s="54" t="s">
        <v>191</v>
      </c>
      <c r="G16" s="58">
        <v>20</v>
      </c>
      <c r="H16" s="56">
        <f>DATE(2023,6,30)</f>
        <v>45107</v>
      </c>
      <c r="I16" s="57">
        <v>9.51</v>
      </c>
      <c r="J16" s="57">
        <v>57.06</v>
      </c>
      <c r="K16" s="57">
        <v>1379.41</v>
      </c>
      <c r="L16" s="57">
        <v>903.75</v>
      </c>
      <c r="M16" s="54" t="s">
        <v>220</v>
      </c>
      <c r="N16" s="54" t="s">
        <v>141</v>
      </c>
      <c r="O16" s="54" t="s">
        <v>193</v>
      </c>
      <c r="P16" s="54" t="s">
        <v>194</v>
      </c>
    </row>
    <row r="17" spans="1:16" ht="17.45" customHeight="1" x14ac:dyDescent="0.25">
      <c r="A17" s="54" t="s">
        <v>228</v>
      </c>
      <c r="B17" s="54" t="s">
        <v>229</v>
      </c>
      <c r="C17" s="56">
        <f>DATE(2007,10,29)</f>
        <v>39384</v>
      </c>
      <c r="D17" s="56">
        <f>DATE(2007,10,29)</f>
        <v>39384</v>
      </c>
      <c r="E17" s="57">
        <v>1663.5</v>
      </c>
      <c r="F17" s="54" t="s">
        <v>191</v>
      </c>
      <c r="G17" s="58">
        <v>20</v>
      </c>
      <c r="H17" s="56">
        <f>DATE(2023,6,30)</f>
        <v>45107</v>
      </c>
      <c r="I17" s="57">
        <v>6.93</v>
      </c>
      <c r="J17" s="57">
        <v>41.58</v>
      </c>
      <c r="K17" s="57">
        <v>1344.73</v>
      </c>
      <c r="L17" s="57">
        <v>318.77</v>
      </c>
      <c r="M17" s="54" t="s">
        <v>230</v>
      </c>
      <c r="N17" s="54" t="s">
        <v>141</v>
      </c>
      <c r="O17" s="54" t="s">
        <v>193</v>
      </c>
      <c r="P17" s="54" t="s">
        <v>231</v>
      </c>
    </row>
    <row r="18" spans="1:16" ht="17.45" customHeight="1" x14ac:dyDescent="0.25">
      <c r="A18" s="54" t="s">
        <v>232</v>
      </c>
      <c r="B18" s="54" t="s">
        <v>233</v>
      </c>
      <c r="C18" s="56">
        <f>DATE(2011,6,1)</f>
        <v>40695</v>
      </c>
      <c r="D18" s="56">
        <f>DATE(2011,6,1)</f>
        <v>40695</v>
      </c>
      <c r="E18" s="57">
        <v>24170.21</v>
      </c>
      <c r="F18" s="54" t="s">
        <v>191</v>
      </c>
      <c r="G18" s="58">
        <v>20</v>
      </c>
      <c r="H18" s="56">
        <f>DATE(2023,6,30)</f>
        <v>45107</v>
      </c>
      <c r="I18" s="57">
        <v>100.71</v>
      </c>
      <c r="J18" s="57">
        <v>604.26</v>
      </c>
      <c r="K18" s="57">
        <v>14602.84</v>
      </c>
      <c r="L18" s="57">
        <v>9567.3700000000008</v>
      </c>
      <c r="M18" s="54" t="s">
        <v>230</v>
      </c>
      <c r="N18" s="54" t="s">
        <v>141</v>
      </c>
      <c r="O18" s="54" t="s">
        <v>193</v>
      </c>
      <c r="P18" s="54" t="s">
        <v>231</v>
      </c>
    </row>
    <row r="19" spans="1:16" ht="17.45" customHeight="1" x14ac:dyDescent="0.25">
      <c r="A19" s="54" t="s">
        <v>234</v>
      </c>
      <c r="B19" s="54" t="s">
        <v>235</v>
      </c>
      <c r="C19" s="56">
        <f>DATE(2011,6,1)</f>
        <v>40695</v>
      </c>
      <c r="D19" s="56">
        <f>DATE(2011,6,1)</f>
        <v>40695</v>
      </c>
      <c r="E19" s="57">
        <v>4271.78</v>
      </c>
      <c r="F19" s="54" t="s">
        <v>191</v>
      </c>
      <c r="G19" s="58">
        <v>5</v>
      </c>
      <c r="H19" s="56">
        <f>DATE(2016,5,31)</f>
        <v>42521</v>
      </c>
      <c r="I19" s="57">
        <v>0</v>
      </c>
      <c r="J19" s="57">
        <v>0</v>
      </c>
      <c r="K19" s="57">
        <v>4271.78</v>
      </c>
      <c r="L19" s="57">
        <v>0</v>
      </c>
      <c r="M19" s="54" t="s">
        <v>236</v>
      </c>
      <c r="N19" s="54" t="s">
        <v>141</v>
      </c>
      <c r="O19" s="54" t="s">
        <v>193</v>
      </c>
      <c r="P19" s="54" t="s">
        <v>231</v>
      </c>
    </row>
    <row r="20" spans="1:16" ht="17.45" customHeight="1" x14ac:dyDescent="0.25">
      <c r="E20" s="59">
        <f>SUM(E2:E19)</f>
        <v>1741918.8899999997</v>
      </c>
      <c r="I20" s="59">
        <f t="shared" ref="I20:L20" si="2">SUM(I2:I19)</f>
        <v>4085.5599999999995</v>
      </c>
      <c r="J20" s="59">
        <f t="shared" si="2"/>
        <v>24513.360000000001</v>
      </c>
      <c r="K20" s="59">
        <f t="shared" si="2"/>
        <v>1146774.3899999999</v>
      </c>
      <c r="L20" s="59">
        <f t="shared" si="2"/>
        <v>595144.5</v>
      </c>
    </row>
    <row r="21" spans="1:16" ht="17.45" customHeight="1" x14ac:dyDescent="0.25">
      <c r="A21" s="54" t="s">
        <v>237</v>
      </c>
      <c r="B21" s="54" t="s">
        <v>238</v>
      </c>
      <c r="C21" s="56">
        <f>DATE(2003,4,29)</f>
        <v>37740</v>
      </c>
      <c r="D21" s="56">
        <f>DATE(2003,4,29)</f>
        <v>37740</v>
      </c>
      <c r="E21" s="57">
        <v>3253.13</v>
      </c>
      <c r="F21" s="54" t="s">
        <v>191</v>
      </c>
      <c r="G21" s="58">
        <v>35</v>
      </c>
      <c r="H21" s="56">
        <f>DATE(2023,6,30)</f>
        <v>45107</v>
      </c>
      <c r="I21" s="57">
        <v>7.75</v>
      </c>
      <c r="J21" s="57">
        <v>46.5</v>
      </c>
      <c r="K21" s="57">
        <v>1896.19</v>
      </c>
      <c r="L21" s="57">
        <v>1356.94</v>
      </c>
      <c r="M21" s="54" t="s">
        <v>192</v>
      </c>
      <c r="N21" s="54" t="s">
        <v>79</v>
      </c>
      <c r="O21" s="54" t="s">
        <v>193</v>
      </c>
      <c r="P21" s="54" t="s">
        <v>194</v>
      </c>
    </row>
    <row r="22" spans="1:16" ht="17.45" customHeight="1" x14ac:dyDescent="0.25">
      <c r="A22" s="54" t="s">
        <v>239</v>
      </c>
      <c r="B22" s="54" t="s">
        <v>240</v>
      </c>
      <c r="C22" s="56">
        <f>DATE(2004,11,23)</f>
        <v>38314</v>
      </c>
      <c r="D22" s="56">
        <f>DATE(2004,11,23)</f>
        <v>38314</v>
      </c>
      <c r="E22" s="57">
        <v>1475</v>
      </c>
      <c r="F22" s="54" t="s">
        <v>191</v>
      </c>
      <c r="G22" s="58">
        <v>35</v>
      </c>
      <c r="H22" s="56">
        <f>DATE(2018,12,31)</f>
        <v>43465</v>
      </c>
      <c r="I22" s="57">
        <v>0</v>
      </c>
      <c r="J22" s="57">
        <v>0</v>
      </c>
      <c r="K22" s="57">
        <v>1475</v>
      </c>
      <c r="L22" s="57">
        <v>0</v>
      </c>
      <c r="M22" s="54" t="s">
        <v>199</v>
      </c>
      <c r="N22" s="54" t="s">
        <v>79</v>
      </c>
      <c r="O22" s="54" t="s">
        <v>193</v>
      </c>
      <c r="P22" s="54" t="s">
        <v>194</v>
      </c>
    </row>
    <row r="23" spans="1:16" ht="17.45" customHeight="1" x14ac:dyDescent="0.25">
      <c r="A23" s="54" t="s">
        <v>241</v>
      </c>
      <c r="B23" s="54" t="s">
        <v>242</v>
      </c>
      <c r="C23" s="56">
        <f>DATE(2005,1,27)</f>
        <v>38379</v>
      </c>
      <c r="D23" s="56">
        <f>DATE(2005,1,27)</f>
        <v>38379</v>
      </c>
      <c r="E23" s="57">
        <v>1632</v>
      </c>
      <c r="F23" s="54" t="s">
        <v>191</v>
      </c>
      <c r="G23" s="58">
        <v>35</v>
      </c>
      <c r="H23" s="56">
        <f>DATE(2023,6,30)</f>
        <v>45107</v>
      </c>
      <c r="I23" s="57">
        <v>3.89</v>
      </c>
      <c r="J23" s="57">
        <v>23.34</v>
      </c>
      <c r="K23" s="57">
        <v>885.59</v>
      </c>
      <c r="L23" s="57">
        <v>746.41</v>
      </c>
      <c r="M23" s="54" t="s">
        <v>192</v>
      </c>
      <c r="N23" s="54" t="s">
        <v>79</v>
      </c>
      <c r="O23" s="54" t="s">
        <v>193</v>
      </c>
      <c r="P23" s="54" t="s">
        <v>194</v>
      </c>
    </row>
    <row r="24" spans="1:16" ht="17.45" customHeight="1" x14ac:dyDescent="0.25">
      <c r="A24" s="54" t="s">
        <v>243</v>
      </c>
      <c r="B24" s="54" t="s">
        <v>244</v>
      </c>
      <c r="C24" s="56">
        <f>DATE(2018,10,31)</f>
        <v>43404</v>
      </c>
      <c r="D24" s="56">
        <f>DATE(2018,10,31)</f>
        <v>43404</v>
      </c>
      <c r="E24" s="57">
        <v>16406.03</v>
      </c>
      <c r="F24" s="54" t="s">
        <v>191</v>
      </c>
      <c r="G24" s="58">
        <v>35</v>
      </c>
      <c r="H24" s="56">
        <f>DATE(2023,6,30)</f>
        <v>45107</v>
      </c>
      <c r="I24" s="57">
        <v>39.06</v>
      </c>
      <c r="J24" s="57">
        <v>234.36</v>
      </c>
      <c r="K24" s="57">
        <v>2187.44</v>
      </c>
      <c r="L24" s="57">
        <v>14218.59</v>
      </c>
      <c r="M24" s="54" t="s">
        <v>245</v>
      </c>
      <c r="N24" s="54" t="s">
        <v>79</v>
      </c>
      <c r="O24" s="54" t="s">
        <v>193</v>
      </c>
      <c r="P24" s="54" t="s">
        <v>246</v>
      </c>
    </row>
    <row r="25" spans="1:16" ht="17.45" customHeight="1" x14ac:dyDescent="0.25">
      <c r="A25" s="54" t="s">
        <v>247</v>
      </c>
      <c r="B25" s="54" t="s">
        <v>248</v>
      </c>
      <c r="C25" s="56">
        <f>DATE(1975,6,1)</f>
        <v>27546</v>
      </c>
      <c r="D25" s="56">
        <f>DATE(1975,6,1)</f>
        <v>27546</v>
      </c>
      <c r="E25" s="57">
        <v>928258.12</v>
      </c>
      <c r="F25" s="54" t="s">
        <v>191</v>
      </c>
      <c r="G25" s="58">
        <v>30</v>
      </c>
      <c r="H25" s="56">
        <f>DATE(2014,6,30)</f>
        <v>41820</v>
      </c>
      <c r="I25" s="57">
        <v>0</v>
      </c>
      <c r="J25" s="57">
        <v>0</v>
      </c>
      <c r="K25" s="57">
        <v>928258.12</v>
      </c>
      <c r="L25" s="57">
        <v>0</v>
      </c>
      <c r="M25" s="54" t="s">
        <v>249</v>
      </c>
      <c r="N25" s="54" t="s">
        <v>79</v>
      </c>
      <c r="O25" s="54" t="s">
        <v>193</v>
      </c>
      <c r="P25" s="54" t="s">
        <v>250</v>
      </c>
    </row>
    <row r="26" spans="1:16" ht="17.45" customHeight="1" x14ac:dyDescent="0.25">
      <c r="A26" s="54" t="s">
        <v>251</v>
      </c>
      <c r="B26" s="54" t="s">
        <v>248</v>
      </c>
      <c r="C26" s="56">
        <f>DATE(1985,9,1)</f>
        <v>31291</v>
      </c>
      <c r="D26" s="56">
        <f>DATE(1985,9,1)</f>
        <v>31291</v>
      </c>
      <c r="E26" s="57">
        <v>11629</v>
      </c>
      <c r="F26" s="54" t="s">
        <v>191</v>
      </c>
      <c r="G26" s="58">
        <v>30</v>
      </c>
      <c r="H26" s="56">
        <f>DATE(2015,8,31)</f>
        <v>42247</v>
      </c>
      <c r="I26" s="57">
        <v>0</v>
      </c>
      <c r="J26" s="57">
        <v>0</v>
      </c>
      <c r="K26" s="57">
        <v>11629</v>
      </c>
      <c r="L26" s="57">
        <v>0</v>
      </c>
      <c r="M26" s="54" t="s">
        <v>249</v>
      </c>
      <c r="N26" s="54" t="s">
        <v>79</v>
      </c>
      <c r="O26" s="54" t="s">
        <v>193</v>
      </c>
      <c r="P26" s="54" t="s">
        <v>250</v>
      </c>
    </row>
    <row r="27" spans="1:16" ht="17.45" customHeight="1" x14ac:dyDescent="0.25">
      <c r="A27" s="54" t="s">
        <v>252</v>
      </c>
      <c r="B27" s="54" t="s">
        <v>248</v>
      </c>
      <c r="C27" s="56">
        <f>DATE(1985,9,1)</f>
        <v>31291</v>
      </c>
      <c r="D27" s="56">
        <f>DATE(1985,9,1)</f>
        <v>31291</v>
      </c>
      <c r="E27" s="57">
        <v>2405</v>
      </c>
      <c r="F27" s="54" t="s">
        <v>191</v>
      </c>
      <c r="G27" s="58">
        <v>30</v>
      </c>
      <c r="H27" s="56">
        <f t="shared" ref="H27:H32" si="3">DATE(2014,12,31)</f>
        <v>42004</v>
      </c>
      <c r="I27" s="57">
        <v>0</v>
      </c>
      <c r="J27" s="57">
        <v>0</v>
      </c>
      <c r="K27" s="57">
        <v>2405</v>
      </c>
      <c r="L27" s="57">
        <v>0</v>
      </c>
      <c r="M27" s="54" t="s">
        <v>249</v>
      </c>
      <c r="N27" s="54" t="s">
        <v>79</v>
      </c>
      <c r="O27" s="54" t="s">
        <v>193</v>
      </c>
      <c r="P27" s="54" t="s">
        <v>250</v>
      </c>
    </row>
    <row r="28" spans="1:16" ht="17.45" customHeight="1" x14ac:dyDescent="0.25">
      <c r="A28" s="54" t="s">
        <v>253</v>
      </c>
      <c r="B28" s="54" t="s">
        <v>248</v>
      </c>
      <c r="C28" s="56">
        <f>DATE(1985,9,17)</f>
        <v>31307</v>
      </c>
      <c r="D28" s="56">
        <f>DATE(1985,9,17)</f>
        <v>31307</v>
      </c>
      <c r="E28" s="57">
        <v>5234</v>
      </c>
      <c r="F28" s="54" t="s">
        <v>191</v>
      </c>
      <c r="G28" s="58">
        <v>30</v>
      </c>
      <c r="H28" s="56">
        <f t="shared" si="3"/>
        <v>42004</v>
      </c>
      <c r="I28" s="57">
        <v>0</v>
      </c>
      <c r="J28" s="57">
        <v>0</v>
      </c>
      <c r="K28" s="57">
        <v>5234</v>
      </c>
      <c r="L28" s="57">
        <v>0</v>
      </c>
      <c r="M28" s="54" t="s">
        <v>249</v>
      </c>
      <c r="N28" s="54" t="s">
        <v>79</v>
      </c>
      <c r="O28" s="54" t="s">
        <v>193</v>
      </c>
      <c r="P28" s="54" t="s">
        <v>250</v>
      </c>
    </row>
    <row r="29" spans="1:16" ht="17.45" customHeight="1" x14ac:dyDescent="0.25">
      <c r="A29" s="54" t="s">
        <v>254</v>
      </c>
      <c r="B29" s="54" t="s">
        <v>255</v>
      </c>
      <c r="C29" s="56">
        <f>DATE(1985,9,30)</f>
        <v>31320</v>
      </c>
      <c r="D29" s="56">
        <f>DATE(1985,9,30)</f>
        <v>31320</v>
      </c>
      <c r="E29" s="57">
        <v>17961</v>
      </c>
      <c r="F29" s="54" t="s">
        <v>191</v>
      </c>
      <c r="G29" s="58">
        <v>30</v>
      </c>
      <c r="H29" s="56">
        <f t="shared" si="3"/>
        <v>42004</v>
      </c>
      <c r="I29" s="57">
        <v>0</v>
      </c>
      <c r="J29" s="57">
        <v>0</v>
      </c>
      <c r="K29" s="57">
        <v>17961</v>
      </c>
      <c r="L29" s="57">
        <v>0</v>
      </c>
      <c r="M29" s="54" t="s">
        <v>249</v>
      </c>
      <c r="N29" s="54" t="s">
        <v>79</v>
      </c>
      <c r="O29" s="54" t="s">
        <v>193</v>
      </c>
      <c r="P29" s="54" t="s">
        <v>250</v>
      </c>
    </row>
    <row r="30" spans="1:16" ht="17.45" customHeight="1" x14ac:dyDescent="0.25">
      <c r="A30" s="54" t="s">
        <v>256</v>
      </c>
      <c r="B30" s="54" t="s">
        <v>248</v>
      </c>
      <c r="C30" s="56">
        <f>DATE(1985,10,11)</f>
        <v>31331</v>
      </c>
      <c r="D30" s="56">
        <f>DATE(1985,10,11)</f>
        <v>31331</v>
      </c>
      <c r="E30" s="57">
        <v>6446</v>
      </c>
      <c r="F30" s="54" t="s">
        <v>191</v>
      </c>
      <c r="G30" s="58">
        <v>30</v>
      </c>
      <c r="H30" s="56">
        <f t="shared" si="3"/>
        <v>42004</v>
      </c>
      <c r="I30" s="57">
        <v>0</v>
      </c>
      <c r="J30" s="57">
        <v>0</v>
      </c>
      <c r="K30" s="57">
        <v>6446</v>
      </c>
      <c r="L30" s="57">
        <v>0</v>
      </c>
      <c r="M30" s="54" t="s">
        <v>249</v>
      </c>
      <c r="N30" s="54" t="s">
        <v>79</v>
      </c>
      <c r="O30" s="54" t="s">
        <v>193</v>
      </c>
      <c r="P30" s="54" t="s">
        <v>250</v>
      </c>
    </row>
    <row r="31" spans="1:16" ht="17.45" customHeight="1" x14ac:dyDescent="0.25">
      <c r="A31" s="54" t="s">
        <v>257</v>
      </c>
      <c r="B31" s="54" t="s">
        <v>248</v>
      </c>
      <c r="C31" s="56">
        <f>DATE(1985,11,11)</f>
        <v>31362</v>
      </c>
      <c r="D31" s="56">
        <f>DATE(1985,11,11)</f>
        <v>31362</v>
      </c>
      <c r="E31" s="57">
        <v>6341</v>
      </c>
      <c r="F31" s="54" t="s">
        <v>191</v>
      </c>
      <c r="G31" s="58">
        <v>30</v>
      </c>
      <c r="H31" s="56">
        <f t="shared" si="3"/>
        <v>42004</v>
      </c>
      <c r="I31" s="57">
        <v>0</v>
      </c>
      <c r="J31" s="57">
        <v>0</v>
      </c>
      <c r="K31" s="57">
        <v>6341</v>
      </c>
      <c r="L31" s="57">
        <v>0</v>
      </c>
      <c r="M31" s="54" t="s">
        <v>249</v>
      </c>
      <c r="N31" s="54" t="s">
        <v>79</v>
      </c>
      <c r="O31" s="54" t="s">
        <v>193</v>
      </c>
      <c r="P31" s="54" t="s">
        <v>250</v>
      </c>
    </row>
    <row r="32" spans="1:16" ht="17.45" customHeight="1" x14ac:dyDescent="0.25">
      <c r="A32" s="54" t="s">
        <v>258</v>
      </c>
      <c r="B32" s="54" t="s">
        <v>248</v>
      </c>
      <c r="C32" s="56">
        <f>DATE(1985,12,13)</f>
        <v>31394</v>
      </c>
      <c r="D32" s="56">
        <f>DATE(1985,12,13)</f>
        <v>31394</v>
      </c>
      <c r="E32" s="57">
        <v>4212</v>
      </c>
      <c r="F32" s="54" t="s">
        <v>191</v>
      </c>
      <c r="G32" s="58">
        <v>30</v>
      </c>
      <c r="H32" s="56">
        <f t="shared" si="3"/>
        <v>42004</v>
      </c>
      <c r="I32" s="57">
        <v>0</v>
      </c>
      <c r="J32" s="57">
        <v>0</v>
      </c>
      <c r="K32" s="57">
        <v>4212</v>
      </c>
      <c r="L32" s="57">
        <v>0</v>
      </c>
      <c r="M32" s="54" t="s">
        <v>249</v>
      </c>
      <c r="N32" s="54" t="s">
        <v>79</v>
      </c>
      <c r="O32" s="54" t="s">
        <v>193</v>
      </c>
      <c r="P32" s="54" t="s">
        <v>250</v>
      </c>
    </row>
    <row r="33" spans="1:16" ht="17.45" customHeight="1" x14ac:dyDescent="0.25">
      <c r="A33" s="54" t="s">
        <v>259</v>
      </c>
      <c r="B33" s="54" t="s">
        <v>248</v>
      </c>
      <c r="C33" s="56">
        <f>DATE(1986,1,13)</f>
        <v>31425</v>
      </c>
      <c r="D33" s="56">
        <f>DATE(1986,1,13)</f>
        <v>31425</v>
      </c>
      <c r="E33" s="57">
        <v>1762</v>
      </c>
      <c r="F33" s="54" t="s">
        <v>191</v>
      </c>
      <c r="G33" s="58">
        <v>30</v>
      </c>
      <c r="H33" s="56">
        <f>DATE(2015,12,31)</f>
        <v>42369</v>
      </c>
      <c r="I33" s="57">
        <v>0</v>
      </c>
      <c r="J33" s="57">
        <v>0</v>
      </c>
      <c r="K33" s="57">
        <v>1762</v>
      </c>
      <c r="L33" s="57">
        <v>0</v>
      </c>
      <c r="M33" s="54" t="s">
        <v>249</v>
      </c>
      <c r="N33" s="54" t="s">
        <v>79</v>
      </c>
      <c r="O33" s="54" t="s">
        <v>193</v>
      </c>
      <c r="P33" s="54" t="s">
        <v>250</v>
      </c>
    </row>
    <row r="34" spans="1:16" ht="17.45" customHeight="1" x14ac:dyDescent="0.25">
      <c r="A34" s="54" t="s">
        <v>260</v>
      </c>
      <c r="B34" s="54" t="s">
        <v>248</v>
      </c>
      <c r="C34" s="56">
        <f>DATE(1986,2,19)</f>
        <v>31462</v>
      </c>
      <c r="D34" s="56">
        <f>DATE(1986,2,19)</f>
        <v>31462</v>
      </c>
      <c r="E34" s="57">
        <v>6454</v>
      </c>
      <c r="F34" s="54" t="s">
        <v>191</v>
      </c>
      <c r="G34" s="58">
        <v>30</v>
      </c>
      <c r="H34" s="56">
        <f>DATE(2016,2,28)</f>
        <v>42428</v>
      </c>
      <c r="I34" s="57">
        <v>0</v>
      </c>
      <c r="J34" s="57">
        <v>0</v>
      </c>
      <c r="K34" s="57">
        <v>6454</v>
      </c>
      <c r="L34" s="57">
        <v>0</v>
      </c>
      <c r="M34" s="54" t="s">
        <v>249</v>
      </c>
      <c r="N34" s="54" t="s">
        <v>79</v>
      </c>
      <c r="O34" s="54" t="s">
        <v>193</v>
      </c>
      <c r="P34" s="54" t="s">
        <v>250</v>
      </c>
    </row>
    <row r="35" spans="1:16" ht="17.45" customHeight="1" x14ac:dyDescent="0.25">
      <c r="A35" s="54" t="s">
        <v>261</v>
      </c>
      <c r="B35" s="54" t="s">
        <v>248</v>
      </c>
      <c r="C35" s="56">
        <f>DATE(1986,3,31)</f>
        <v>31502</v>
      </c>
      <c r="D35" s="56">
        <f>DATE(1986,3,31)</f>
        <v>31502</v>
      </c>
      <c r="E35" s="57">
        <v>1048</v>
      </c>
      <c r="F35" s="54" t="s">
        <v>191</v>
      </c>
      <c r="G35" s="58">
        <v>30</v>
      </c>
      <c r="H35" s="56">
        <f>DATE(2016,3,31)</f>
        <v>42460</v>
      </c>
      <c r="I35" s="57">
        <v>0</v>
      </c>
      <c r="J35" s="57">
        <v>0</v>
      </c>
      <c r="K35" s="57">
        <v>1048</v>
      </c>
      <c r="L35" s="57">
        <v>0</v>
      </c>
      <c r="M35" s="54" t="s">
        <v>249</v>
      </c>
      <c r="N35" s="54" t="s">
        <v>79</v>
      </c>
      <c r="O35" s="54" t="s">
        <v>193</v>
      </c>
      <c r="P35" s="54" t="s">
        <v>250</v>
      </c>
    </row>
    <row r="36" spans="1:16" ht="17.45" customHeight="1" x14ac:dyDescent="0.25">
      <c r="A36" s="54" t="s">
        <v>262</v>
      </c>
      <c r="B36" s="54" t="s">
        <v>248</v>
      </c>
      <c r="C36" s="56">
        <f>DATE(1986,4,17)</f>
        <v>31519</v>
      </c>
      <c r="D36" s="56">
        <f>DATE(1986,4,17)</f>
        <v>31519</v>
      </c>
      <c r="E36" s="57">
        <v>7329</v>
      </c>
      <c r="F36" s="54" t="s">
        <v>191</v>
      </c>
      <c r="G36" s="58">
        <v>30</v>
      </c>
      <c r="H36" s="56">
        <f t="shared" ref="H36:H41" si="4">DATE(2015,12,31)</f>
        <v>42369</v>
      </c>
      <c r="I36" s="57">
        <v>0</v>
      </c>
      <c r="J36" s="57">
        <v>0</v>
      </c>
      <c r="K36" s="57">
        <v>7329</v>
      </c>
      <c r="L36" s="57">
        <v>0</v>
      </c>
      <c r="M36" s="54" t="s">
        <v>249</v>
      </c>
      <c r="N36" s="54" t="s">
        <v>79</v>
      </c>
      <c r="O36" s="54" t="s">
        <v>193</v>
      </c>
      <c r="P36" s="54" t="s">
        <v>250</v>
      </c>
    </row>
    <row r="37" spans="1:16" ht="17.45" customHeight="1" x14ac:dyDescent="0.25">
      <c r="A37" s="54" t="s">
        <v>263</v>
      </c>
      <c r="B37" s="54" t="s">
        <v>248</v>
      </c>
      <c r="C37" s="56">
        <f>DATE(1986,5,15)</f>
        <v>31547</v>
      </c>
      <c r="D37" s="56">
        <f>DATE(1986,5,15)</f>
        <v>31547</v>
      </c>
      <c r="E37" s="57">
        <v>4667</v>
      </c>
      <c r="F37" s="54" t="s">
        <v>191</v>
      </c>
      <c r="G37" s="58">
        <v>30</v>
      </c>
      <c r="H37" s="56">
        <f t="shared" si="4"/>
        <v>42369</v>
      </c>
      <c r="I37" s="57">
        <v>0</v>
      </c>
      <c r="J37" s="57">
        <v>0</v>
      </c>
      <c r="K37" s="57">
        <v>4667</v>
      </c>
      <c r="L37" s="57">
        <v>0</v>
      </c>
      <c r="M37" s="54" t="s">
        <v>249</v>
      </c>
      <c r="N37" s="54" t="s">
        <v>79</v>
      </c>
      <c r="O37" s="54" t="s">
        <v>193</v>
      </c>
      <c r="P37" s="54" t="s">
        <v>250</v>
      </c>
    </row>
    <row r="38" spans="1:16" ht="17.45" customHeight="1" x14ac:dyDescent="0.25">
      <c r="A38" s="54" t="s">
        <v>264</v>
      </c>
      <c r="B38" s="54" t="s">
        <v>248</v>
      </c>
      <c r="C38" s="56">
        <f>DATE(1986,6,17)</f>
        <v>31580</v>
      </c>
      <c r="D38" s="56">
        <f>DATE(1986,6,17)</f>
        <v>31580</v>
      </c>
      <c r="E38" s="57">
        <v>10103</v>
      </c>
      <c r="F38" s="54" t="s">
        <v>191</v>
      </c>
      <c r="G38" s="58">
        <v>30</v>
      </c>
      <c r="H38" s="56">
        <f t="shared" si="4"/>
        <v>42369</v>
      </c>
      <c r="I38" s="57">
        <v>0</v>
      </c>
      <c r="J38" s="57">
        <v>0</v>
      </c>
      <c r="K38" s="57">
        <v>10103</v>
      </c>
      <c r="L38" s="57">
        <v>0</v>
      </c>
      <c r="M38" s="54" t="s">
        <v>249</v>
      </c>
      <c r="N38" s="54" t="s">
        <v>79</v>
      </c>
      <c r="O38" s="54" t="s">
        <v>193</v>
      </c>
      <c r="P38" s="54" t="s">
        <v>250</v>
      </c>
    </row>
    <row r="39" spans="1:16" ht="17.45" customHeight="1" x14ac:dyDescent="0.25">
      <c r="A39" s="54" t="s">
        <v>265</v>
      </c>
      <c r="B39" s="54" t="s">
        <v>248</v>
      </c>
      <c r="C39" s="56">
        <f>DATE(1986,7,18)</f>
        <v>31611</v>
      </c>
      <c r="D39" s="56">
        <f>DATE(1986,7,18)</f>
        <v>31611</v>
      </c>
      <c r="E39" s="57">
        <v>6893</v>
      </c>
      <c r="F39" s="54" t="s">
        <v>191</v>
      </c>
      <c r="G39" s="58">
        <v>30</v>
      </c>
      <c r="H39" s="56">
        <f t="shared" si="4"/>
        <v>42369</v>
      </c>
      <c r="I39" s="57">
        <v>0</v>
      </c>
      <c r="J39" s="57">
        <v>0</v>
      </c>
      <c r="K39" s="57">
        <v>6893</v>
      </c>
      <c r="L39" s="57">
        <v>0</v>
      </c>
      <c r="M39" s="54" t="s">
        <v>249</v>
      </c>
      <c r="N39" s="54" t="s">
        <v>79</v>
      </c>
      <c r="O39" s="54" t="s">
        <v>193</v>
      </c>
      <c r="P39" s="54" t="s">
        <v>250</v>
      </c>
    </row>
    <row r="40" spans="1:16" ht="17.45" customHeight="1" x14ac:dyDescent="0.25">
      <c r="A40" s="54" t="s">
        <v>266</v>
      </c>
      <c r="B40" s="54" t="s">
        <v>248</v>
      </c>
      <c r="C40" s="56">
        <f>DATE(1986,7,31)</f>
        <v>31624</v>
      </c>
      <c r="D40" s="56">
        <f>DATE(1986,7,31)</f>
        <v>31624</v>
      </c>
      <c r="E40" s="57">
        <v>9690</v>
      </c>
      <c r="F40" s="54" t="s">
        <v>191</v>
      </c>
      <c r="G40" s="58">
        <v>30</v>
      </c>
      <c r="H40" s="56">
        <f t="shared" si="4"/>
        <v>42369</v>
      </c>
      <c r="I40" s="57">
        <v>0</v>
      </c>
      <c r="J40" s="57">
        <v>0</v>
      </c>
      <c r="K40" s="57">
        <v>9690</v>
      </c>
      <c r="L40" s="57">
        <v>0</v>
      </c>
      <c r="M40" s="54" t="s">
        <v>249</v>
      </c>
      <c r="N40" s="54" t="s">
        <v>79</v>
      </c>
      <c r="O40" s="54" t="s">
        <v>193</v>
      </c>
      <c r="P40" s="54" t="s">
        <v>250</v>
      </c>
    </row>
    <row r="41" spans="1:16" ht="17.45" customHeight="1" x14ac:dyDescent="0.25">
      <c r="A41" s="54" t="s">
        <v>267</v>
      </c>
      <c r="B41" s="54" t="s">
        <v>248</v>
      </c>
      <c r="C41" s="56">
        <f t="shared" ref="C41:D43" si="5">DATE(1986,9,1)</f>
        <v>31656</v>
      </c>
      <c r="D41" s="56">
        <f t="shared" si="5"/>
        <v>31656</v>
      </c>
      <c r="E41" s="57">
        <v>4532</v>
      </c>
      <c r="F41" s="54" t="s">
        <v>191</v>
      </c>
      <c r="G41" s="58">
        <v>30</v>
      </c>
      <c r="H41" s="56">
        <f t="shared" si="4"/>
        <v>42369</v>
      </c>
      <c r="I41" s="57">
        <v>0</v>
      </c>
      <c r="J41" s="57">
        <v>0</v>
      </c>
      <c r="K41" s="57">
        <v>4532</v>
      </c>
      <c r="L41" s="57">
        <v>0</v>
      </c>
      <c r="M41" s="54" t="s">
        <v>249</v>
      </c>
      <c r="N41" s="54" t="s">
        <v>79</v>
      </c>
      <c r="O41" s="54" t="s">
        <v>193</v>
      </c>
      <c r="P41" s="54" t="s">
        <v>250</v>
      </c>
    </row>
    <row r="42" spans="1:16" ht="17.45" customHeight="1" x14ac:dyDescent="0.25">
      <c r="A42" s="54" t="s">
        <v>268</v>
      </c>
      <c r="B42" s="54" t="s">
        <v>248</v>
      </c>
      <c r="C42" s="56">
        <f t="shared" si="5"/>
        <v>31656</v>
      </c>
      <c r="D42" s="56">
        <f t="shared" si="5"/>
        <v>31656</v>
      </c>
      <c r="E42" s="57">
        <v>10669</v>
      </c>
      <c r="F42" s="54" t="s">
        <v>191</v>
      </c>
      <c r="G42" s="58">
        <v>30</v>
      </c>
      <c r="H42" s="56">
        <f>DATE(2016,8,31)</f>
        <v>42613</v>
      </c>
      <c r="I42" s="57">
        <v>0</v>
      </c>
      <c r="J42" s="57">
        <v>0</v>
      </c>
      <c r="K42" s="57">
        <v>10669</v>
      </c>
      <c r="L42" s="57">
        <v>0</v>
      </c>
      <c r="M42" s="54" t="s">
        <v>249</v>
      </c>
      <c r="N42" s="54" t="s">
        <v>79</v>
      </c>
      <c r="O42" s="54" t="s">
        <v>193</v>
      </c>
      <c r="P42" s="54" t="s">
        <v>250</v>
      </c>
    </row>
    <row r="43" spans="1:16" ht="17.45" customHeight="1" x14ac:dyDescent="0.25">
      <c r="A43" s="54" t="s">
        <v>269</v>
      </c>
      <c r="B43" s="54" t="s">
        <v>270</v>
      </c>
      <c r="C43" s="56">
        <f t="shared" si="5"/>
        <v>31656</v>
      </c>
      <c r="D43" s="56">
        <f t="shared" si="5"/>
        <v>31656</v>
      </c>
      <c r="E43" s="57">
        <v>34618</v>
      </c>
      <c r="F43" s="54" t="s">
        <v>191</v>
      </c>
      <c r="G43" s="58">
        <v>30</v>
      </c>
      <c r="H43" s="56">
        <f>DATE(2016,8,31)</f>
        <v>42613</v>
      </c>
      <c r="I43" s="57">
        <v>0</v>
      </c>
      <c r="J43" s="57">
        <v>0</v>
      </c>
      <c r="K43" s="57">
        <v>34618</v>
      </c>
      <c r="L43" s="57">
        <v>0</v>
      </c>
      <c r="M43" s="54" t="s">
        <v>249</v>
      </c>
      <c r="N43" s="54" t="s">
        <v>79</v>
      </c>
      <c r="O43" s="54" t="s">
        <v>193</v>
      </c>
      <c r="P43" s="54" t="s">
        <v>250</v>
      </c>
    </row>
    <row r="44" spans="1:16" ht="17.45" customHeight="1" x14ac:dyDescent="0.25">
      <c r="A44" s="54" t="s">
        <v>271</v>
      </c>
      <c r="B44" s="54" t="s">
        <v>248</v>
      </c>
      <c r="C44" s="56">
        <f>DATE(1986,10,1)</f>
        <v>31686</v>
      </c>
      <c r="D44" s="56">
        <f>DATE(1986,10,1)</f>
        <v>31686</v>
      </c>
      <c r="E44" s="57">
        <v>11675</v>
      </c>
      <c r="F44" s="54" t="s">
        <v>191</v>
      </c>
      <c r="G44" s="58">
        <v>30</v>
      </c>
      <c r="H44" s="56">
        <f>DATE(2015,12,31)</f>
        <v>42369</v>
      </c>
      <c r="I44" s="57">
        <v>0</v>
      </c>
      <c r="J44" s="57">
        <v>0</v>
      </c>
      <c r="K44" s="57">
        <v>11675</v>
      </c>
      <c r="L44" s="57">
        <v>0</v>
      </c>
      <c r="M44" s="54" t="s">
        <v>249</v>
      </c>
      <c r="N44" s="54" t="s">
        <v>79</v>
      </c>
      <c r="O44" s="54" t="s">
        <v>193</v>
      </c>
      <c r="P44" s="54" t="s">
        <v>250</v>
      </c>
    </row>
    <row r="45" spans="1:16" ht="17.45" customHeight="1" x14ac:dyDescent="0.25">
      <c r="A45" s="54" t="s">
        <v>272</v>
      </c>
      <c r="B45" s="54" t="s">
        <v>273</v>
      </c>
      <c r="C45" s="56">
        <f>DATE(1986,11,1)</f>
        <v>31717</v>
      </c>
      <c r="D45" s="56">
        <f>DATE(1986,11,1)</f>
        <v>31717</v>
      </c>
      <c r="E45" s="57">
        <v>2380</v>
      </c>
      <c r="F45" s="54" t="s">
        <v>191</v>
      </c>
      <c r="G45" s="58">
        <v>30</v>
      </c>
      <c r="H45" s="56">
        <f>DATE(2016,10,31)</f>
        <v>42674</v>
      </c>
      <c r="I45" s="57">
        <v>0</v>
      </c>
      <c r="J45" s="57">
        <v>0</v>
      </c>
      <c r="K45" s="57">
        <v>2380</v>
      </c>
      <c r="L45" s="57">
        <v>0</v>
      </c>
      <c r="M45" s="54" t="s">
        <v>249</v>
      </c>
      <c r="N45" s="54" t="s">
        <v>79</v>
      </c>
      <c r="O45" s="54" t="s">
        <v>193</v>
      </c>
      <c r="P45" s="54" t="s">
        <v>250</v>
      </c>
    </row>
    <row r="46" spans="1:16" ht="17.45" customHeight="1" x14ac:dyDescent="0.25">
      <c r="A46" s="54" t="s">
        <v>274</v>
      </c>
      <c r="B46" s="54" t="s">
        <v>248</v>
      </c>
      <c r="C46" s="56">
        <f>DATE(1986,12,1)</f>
        <v>31747</v>
      </c>
      <c r="D46" s="56">
        <f>DATE(1986,12,1)</f>
        <v>31747</v>
      </c>
      <c r="E46" s="57">
        <v>6447</v>
      </c>
      <c r="F46" s="54" t="s">
        <v>191</v>
      </c>
      <c r="G46" s="58">
        <v>30</v>
      </c>
      <c r="H46" s="56">
        <f>DATE(2015,12,31)</f>
        <v>42369</v>
      </c>
      <c r="I46" s="57">
        <v>0</v>
      </c>
      <c r="J46" s="57">
        <v>0</v>
      </c>
      <c r="K46" s="57">
        <v>6447</v>
      </c>
      <c r="L46" s="57">
        <v>0</v>
      </c>
      <c r="M46" s="54" t="s">
        <v>249</v>
      </c>
      <c r="N46" s="54" t="s">
        <v>79</v>
      </c>
      <c r="O46" s="54" t="s">
        <v>193</v>
      </c>
      <c r="P46" s="54" t="s">
        <v>250</v>
      </c>
    </row>
    <row r="47" spans="1:16" ht="17.45" customHeight="1" x14ac:dyDescent="0.25">
      <c r="A47" s="54" t="s">
        <v>275</v>
      </c>
      <c r="B47" s="54" t="s">
        <v>248</v>
      </c>
      <c r="C47" s="56">
        <f>DATE(1987,1,1)</f>
        <v>31778</v>
      </c>
      <c r="D47" s="56">
        <f>DATE(1987,1,1)</f>
        <v>31778</v>
      </c>
      <c r="E47" s="57">
        <v>6756</v>
      </c>
      <c r="F47" s="54" t="s">
        <v>191</v>
      </c>
      <c r="G47" s="58">
        <v>30</v>
      </c>
      <c r="H47" s="56">
        <f>DATE(2016,12,31)</f>
        <v>42735</v>
      </c>
      <c r="I47" s="57">
        <v>0</v>
      </c>
      <c r="J47" s="57">
        <v>0</v>
      </c>
      <c r="K47" s="57">
        <v>6756</v>
      </c>
      <c r="L47" s="57">
        <v>0</v>
      </c>
      <c r="M47" s="54" t="s">
        <v>249</v>
      </c>
      <c r="N47" s="54" t="s">
        <v>79</v>
      </c>
      <c r="O47" s="54" t="s">
        <v>193</v>
      </c>
      <c r="P47" s="54" t="s">
        <v>250</v>
      </c>
    </row>
    <row r="48" spans="1:16" ht="17.45" customHeight="1" x14ac:dyDescent="0.25">
      <c r="A48" s="54" t="s">
        <v>276</v>
      </c>
      <c r="B48" s="54" t="s">
        <v>248</v>
      </c>
      <c r="C48" s="56">
        <f>DATE(1987,3,1)</f>
        <v>31837</v>
      </c>
      <c r="D48" s="56">
        <f>DATE(1987,3,1)</f>
        <v>31837</v>
      </c>
      <c r="E48" s="57">
        <v>3345</v>
      </c>
      <c r="F48" s="54" t="s">
        <v>191</v>
      </c>
      <c r="G48" s="58">
        <v>30</v>
      </c>
      <c r="H48" s="56">
        <f>DATE(2016,12,31)</f>
        <v>42735</v>
      </c>
      <c r="I48" s="57">
        <v>0</v>
      </c>
      <c r="J48" s="57">
        <v>0</v>
      </c>
      <c r="K48" s="57">
        <v>3345</v>
      </c>
      <c r="L48" s="57">
        <v>0</v>
      </c>
      <c r="M48" s="54" t="s">
        <v>249</v>
      </c>
      <c r="N48" s="54" t="s">
        <v>79</v>
      </c>
      <c r="O48" s="54" t="s">
        <v>193</v>
      </c>
      <c r="P48" s="54" t="s">
        <v>250</v>
      </c>
    </row>
    <row r="49" spans="1:16" ht="17.45" customHeight="1" x14ac:dyDescent="0.25">
      <c r="A49" s="54" t="s">
        <v>277</v>
      </c>
      <c r="B49" s="54" t="s">
        <v>248</v>
      </c>
      <c r="C49" s="56">
        <f>DATE(1987,6,1)</f>
        <v>31929</v>
      </c>
      <c r="D49" s="56">
        <f>DATE(1987,6,1)</f>
        <v>31929</v>
      </c>
      <c r="E49" s="57">
        <v>5231</v>
      </c>
      <c r="F49" s="54" t="s">
        <v>191</v>
      </c>
      <c r="G49" s="58">
        <v>30</v>
      </c>
      <c r="H49" s="56">
        <f>DATE(2016,12,31)</f>
        <v>42735</v>
      </c>
      <c r="I49" s="57">
        <v>0</v>
      </c>
      <c r="J49" s="57">
        <v>0</v>
      </c>
      <c r="K49" s="57">
        <v>5231</v>
      </c>
      <c r="L49" s="57">
        <v>0</v>
      </c>
      <c r="M49" s="54" t="s">
        <v>249</v>
      </c>
      <c r="N49" s="54" t="s">
        <v>79</v>
      </c>
      <c r="O49" s="54" t="s">
        <v>193</v>
      </c>
      <c r="P49" s="54" t="s">
        <v>250</v>
      </c>
    </row>
    <row r="50" spans="1:16" ht="17.45" customHeight="1" x14ac:dyDescent="0.25">
      <c r="A50" s="54" t="s">
        <v>278</v>
      </c>
      <c r="B50" s="54" t="s">
        <v>248</v>
      </c>
      <c r="C50" s="56">
        <f>DATE(1987,8,1)</f>
        <v>31990</v>
      </c>
      <c r="D50" s="56">
        <f>DATE(1987,8,1)</f>
        <v>31990</v>
      </c>
      <c r="E50" s="57">
        <v>106051</v>
      </c>
      <c r="F50" s="54" t="s">
        <v>191</v>
      </c>
      <c r="G50" s="58">
        <v>30</v>
      </c>
      <c r="H50" s="56">
        <f>DATE(2016,12,31)</f>
        <v>42735</v>
      </c>
      <c r="I50" s="57">
        <v>0</v>
      </c>
      <c r="J50" s="57">
        <v>0</v>
      </c>
      <c r="K50" s="57">
        <v>106051</v>
      </c>
      <c r="L50" s="57">
        <v>0</v>
      </c>
      <c r="M50" s="54" t="s">
        <v>249</v>
      </c>
      <c r="N50" s="54" t="s">
        <v>79</v>
      </c>
      <c r="O50" s="54" t="s">
        <v>193</v>
      </c>
      <c r="P50" s="54" t="s">
        <v>250</v>
      </c>
    </row>
    <row r="51" spans="1:16" ht="17.45" customHeight="1" x14ac:dyDescent="0.25">
      <c r="A51" s="54" t="s">
        <v>279</v>
      </c>
      <c r="B51" s="54" t="s">
        <v>248</v>
      </c>
      <c r="C51" s="56">
        <f>DATE(1987,8,1)</f>
        <v>31990</v>
      </c>
      <c r="D51" s="56">
        <f>DATE(1987,8,1)</f>
        <v>31990</v>
      </c>
      <c r="E51" s="57">
        <v>2938</v>
      </c>
      <c r="F51" s="54" t="s">
        <v>191</v>
      </c>
      <c r="G51" s="58">
        <v>30</v>
      </c>
      <c r="H51" s="56">
        <f>DATE(2017,7,31)</f>
        <v>42947</v>
      </c>
      <c r="I51" s="57">
        <v>0</v>
      </c>
      <c r="J51" s="57">
        <v>0</v>
      </c>
      <c r="K51" s="57">
        <v>2938</v>
      </c>
      <c r="L51" s="57">
        <v>0</v>
      </c>
      <c r="M51" s="54" t="s">
        <v>249</v>
      </c>
      <c r="N51" s="54" t="s">
        <v>79</v>
      </c>
      <c r="O51" s="54" t="s">
        <v>193</v>
      </c>
      <c r="P51" s="54" t="s">
        <v>250</v>
      </c>
    </row>
    <row r="52" spans="1:16" ht="17.45" customHeight="1" x14ac:dyDescent="0.25">
      <c r="A52" s="54" t="s">
        <v>280</v>
      </c>
      <c r="B52" s="54" t="s">
        <v>248</v>
      </c>
      <c r="C52" s="56">
        <f t="shared" ref="C52:D56" si="6">DATE(1987,9,1)</f>
        <v>32021</v>
      </c>
      <c r="D52" s="56">
        <f t="shared" si="6"/>
        <v>32021</v>
      </c>
      <c r="E52" s="57">
        <v>2938</v>
      </c>
      <c r="F52" s="54" t="s">
        <v>191</v>
      </c>
      <c r="G52" s="58">
        <v>30</v>
      </c>
      <c r="H52" s="56">
        <f>DATE(2017,4,30)</f>
        <v>42855</v>
      </c>
      <c r="I52" s="57">
        <v>0</v>
      </c>
      <c r="J52" s="57">
        <v>0</v>
      </c>
      <c r="K52" s="57">
        <v>2938</v>
      </c>
      <c r="L52" s="57">
        <v>0</v>
      </c>
      <c r="M52" s="54" t="s">
        <v>249</v>
      </c>
      <c r="N52" s="54" t="s">
        <v>79</v>
      </c>
      <c r="O52" s="54" t="s">
        <v>193</v>
      </c>
      <c r="P52" s="54" t="s">
        <v>250</v>
      </c>
    </row>
    <row r="53" spans="1:16" ht="17.45" customHeight="1" x14ac:dyDescent="0.25">
      <c r="A53" s="54" t="s">
        <v>281</v>
      </c>
      <c r="B53" s="54" t="s">
        <v>248</v>
      </c>
      <c r="C53" s="56">
        <f t="shared" si="6"/>
        <v>32021</v>
      </c>
      <c r="D53" s="56">
        <f t="shared" si="6"/>
        <v>32021</v>
      </c>
      <c r="E53" s="57">
        <v>4825</v>
      </c>
      <c r="F53" s="54" t="s">
        <v>191</v>
      </c>
      <c r="G53" s="58">
        <v>30</v>
      </c>
      <c r="H53" s="56">
        <f>DATE(2017,8,31)</f>
        <v>42978</v>
      </c>
      <c r="I53" s="57">
        <v>0</v>
      </c>
      <c r="J53" s="57">
        <v>0</v>
      </c>
      <c r="K53" s="57">
        <v>4825</v>
      </c>
      <c r="L53" s="57">
        <v>0</v>
      </c>
      <c r="M53" s="54" t="s">
        <v>249</v>
      </c>
      <c r="N53" s="54" t="s">
        <v>79</v>
      </c>
      <c r="O53" s="54" t="s">
        <v>193</v>
      </c>
      <c r="P53" s="54" t="s">
        <v>250</v>
      </c>
    </row>
    <row r="54" spans="1:16" ht="17.45" customHeight="1" x14ac:dyDescent="0.25">
      <c r="A54" s="54" t="s">
        <v>282</v>
      </c>
      <c r="B54" s="54" t="s">
        <v>283</v>
      </c>
      <c r="C54" s="56">
        <f t="shared" si="6"/>
        <v>32021</v>
      </c>
      <c r="D54" s="56">
        <f t="shared" si="6"/>
        <v>32021</v>
      </c>
      <c r="E54" s="57">
        <v>5987</v>
      </c>
      <c r="F54" s="54" t="s">
        <v>191</v>
      </c>
      <c r="G54" s="58">
        <v>30</v>
      </c>
      <c r="H54" s="56">
        <f>DATE(2016,12,31)</f>
        <v>42735</v>
      </c>
      <c r="I54" s="57">
        <v>0</v>
      </c>
      <c r="J54" s="57">
        <v>0</v>
      </c>
      <c r="K54" s="57">
        <v>5987</v>
      </c>
      <c r="L54" s="57">
        <v>0</v>
      </c>
      <c r="M54" s="54" t="s">
        <v>249</v>
      </c>
      <c r="N54" s="54" t="s">
        <v>79</v>
      </c>
      <c r="O54" s="54" t="s">
        <v>193</v>
      </c>
      <c r="P54" s="54" t="s">
        <v>250</v>
      </c>
    </row>
    <row r="55" spans="1:16" ht="17.45" customHeight="1" x14ac:dyDescent="0.25">
      <c r="A55" s="54" t="s">
        <v>284</v>
      </c>
      <c r="B55" s="54" t="s">
        <v>285</v>
      </c>
      <c r="C55" s="56">
        <f t="shared" si="6"/>
        <v>32021</v>
      </c>
      <c r="D55" s="56">
        <f t="shared" si="6"/>
        <v>32021</v>
      </c>
      <c r="E55" s="57">
        <v>20121</v>
      </c>
      <c r="F55" s="54" t="s">
        <v>191</v>
      </c>
      <c r="G55" s="58">
        <v>30</v>
      </c>
      <c r="H55" s="56">
        <f>DATE(2016,12,31)</f>
        <v>42735</v>
      </c>
      <c r="I55" s="57">
        <v>0</v>
      </c>
      <c r="J55" s="57">
        <v>0</v>
      </c>
      <c r="K55" s="57">
        <v>20121</v>
      </c>
      <c r="L55" s="57">
        <v>0</v>
      </c>
      <c r="M55" s="54" t="s">
        <v>249</v>
      </c>
      <c r="N55" s="54" t="s">
        <v>79</v>
      </c>
      <c r="O55" s="54" t="s">
        <v>193</v>
      </c>
      <c r="P55" s="54" t="s">
        <v>250</v>
      </c>
    </row>
    <row r="56" spans="1:16" ht="17.45" customHeight="1" x14ac:dyDescent="0.25">
      <c r="A56" s="54" t="s">
        <v>286</v>
      </c>
      <c r="B56" s="54" t="s">
        <v>285</v>
      </c>
      <c r="C56" s="56">
        <f t="shared" si="6"/>
        <v>32021</v>
      </c>
      <c r="D56" s="56">
        <f t="shared" si="6"/>
        <v>32021</v>
      </c>
      <c r="E56" s="57">
        <v>7590</v>
      </c>
      <c r="F56" s="54" t="s">
        <v>191</v>
      </c>
      <c r="G56" s="58">
        <v>30</v>
      </c>
      <c r="H56" s="56">
        <f>DATE(2016,12,31)</f>
        <v>42735</v>
      </c>
      <c r="I56" s="57">
        <v>0</v>
      </c>
      <c r="J56" s="57">
        <v>0</v>
      </c>
      <c r="K56" s="57">
        <v>7590</v>
      </c>
      <c r="L56" s="57">
        <v>0</v>
      </c>
      <c r="M56" s="54" t="s">
        <v>249</v>
      </c>
      <c r="N56" s="54" t="s">
        <v>79</v>
      </c>
      <c r="O56" s="54" t="s">
        <v>193</v>
      </c>
      <c r="P56" s="54" t="s">
        <v>250</v>
      </c>
    </row>
    <row r="57" spans="1:16" ht="17.45" customHeight="1" x14ac:dyDescent="0.25">
      <c r="A57" s="54" t="s">
        <v>287</v>
      </c>
      <c r="B57" s="54" t="s">
        <v>288</v>
      </c>
      <c r="C57" s="56">
        <f t="shared" ref="C57:D63" si="7">DATE(1987,11,1)</f>
        <v>32082</v>
      </c>
      <c r="D57" s="56">
        <f t="shared" si="7"/>
        <v>32082</v>
      </c>
      <c r="E57" s="57">
        <v>8555</v>
      </c>
      <c r="F57" s="54" t="s">
        <v>191</v>
      </c>
      <c r="G57" s="58">
        <v>30</v>
      </c>
      <c r="H57" s="56">
        <f>DATE(2016,12,31)</f>
        <v>42735</v>
      </c>
      <c r="I57" s="57">
        <v>0</v>
      </c>
      <c r="J57" s="57">
        <v>0</v>
      </c>
      <c r="K57" s="57">
        <v>8555</v>
      </c>
      <c r="L57" s="57">
        <v>0</v>
      </c>
      <c r="M57" s="54" t="s">
        <v>249</v>
      </c>
      <c r="N57" s="54" t="s">
        <v>79</v>
      </c>
      <c r="O57" s="54" t="s">
        <v>193</v>
      </c>
      <c r="P57" s="54" t="s">
        <v>250</v>
      </c>
    </row>
    <row r="58" spans="1:16" ht="17.45" customHeight="1" x14ac:dyDescent="0.25">
      <c r="A58" s="54" t="s">
        <v>289</v>
      </c>
      <c r="B58" s="54" t="s">
        <v>248</v>
      </c>
      <c r="C58" s="56">
        <f t="shared" si="7"/>
        <v>32082</v>
      </c>
      <c r="D58" s="56">
        <f t="shared" si="7"/>
        <v>32082</v>
      </c>
      <c r="E58" s="57">
        <v>1528</v>
      </c>
      <c r="F58" s="54" t="s">
        <v>191</v>
      </c>
      <c r="G58" s="58">
        <v>30</v>
      </c>
      <c r="H58" s="56">
        <f>DATE(2017,10,31)</f>
        <v>43039</v>
      </c>
      <c r="I58" s="57">
        <v>0</v>
      </c>
      <c r="J58" s="57">
        <v>0</v>
      </c>
      <c r="K58" s="57">
        <v>1528</v>
      </c>
      <c r="L58" s="57">
        <v>0</v>
      </c>
      <c r="M58" s="54" t="s">
        <v>249</v>
      </c>
      <c r="N58" s="54" t="s">
        <v>79</v>
      </c>
      <c r="O58" s="54" t="s">
        <v>193</v>
      </c>
      <c r="P58" s="54" t="s">
        <v>250</v>
      </c>
    </row>
    <row r="59" spans="1:16" ht="17.45" customHeight="1" x14ac:dyDescent="0.25">
      <c r="A59" s="54" t="s">
        <v>290</v>
      </c>
      <c r="B59" s="54" t="s">
        <v>248</v>
      </c>
      <c r="C59" s="56">
        <f t="shared" si="7"/>
        <v>32082</v>
      </c>
      <c r="D59" s="56">
        <f t="shared" si="7"/>
        <v>32082</v>
      </c>
      <c r="E59" s="57">
        <v>3120</v>
      </c>
      <c r="F59" s="54" t="s">
        <v>191</v>
      </c>
      <c r="G59" s="58">
        <v>30</v>
      </c>
      <c r="H59" s="56">
        <f>DATE(2016,12,31)</f>
        <v>42735</v>
      </c>
      <c r="I59" s="57">
        <v>0</v>
      </c>
      <c r="J59" s="57">
        <v>0</v>
      </c>
      <c r="K59" s="57">
        <v>3120</v>
      </c>
      <c r="L59" s="57">
        <v>0</v>
      </c>
      <c r="M59" s="54" t="s">
        <v>249</v>
      </c>
      <c r="N59" s="54" t="s">
        <v>79</v>
      </c>
      <c r="O59" s="54" t="s">
        <v>193</v>
      </c>
      <c r="P59" s="54" t="s">
        <v>250</v>
      </c>
    </row>
    <row r="60" spans="1:16" ht="17.45" customHeight="1" x14ac:dyDescent="0.25">
      <c r="A60" s="54" t="s">
        <v>291</v>
      </c>
      <c r="B60" s="54" t="s">
        <v>248</v>
      </c>
      <c r="C60" s="56">
        <f t="shared" si="7"/>
        <v>32082</v>
      </c>
      <c r="D60" s="56">
        <f t="shared" si="7"/>
        <v>32082</v>
      </c>
      <c r="E60" s="57">
        <v>3196</v>
      </c>
      <c r="F60" s="54" t="s">
        <v>191</v>
      </c>
      <c r="G60" s="58">
        <v>30</v>
      </c>
      <c r="H60" s="56">
        <f>DATE(2017,10,31)</f>
        <v>43039</v>
      </c>
      <c r="I60" s="57">
        <v>0</v>
      </c>
      <c r="J60" s="57">
        <v>0</v>
      </c>
      <c r="K60" s="57">
        <v>3196</v>
      </c>
      <c r="L60" s="57">
        <v>0</v>
      </c>
      <c r="M60" s="54" t="s">
        <v>249</v>
      </c>
      <c r="N60" s="54" t="s">
        <v>79</v>
      </c>
      <c r="O60" s="54" t="s">
        <v>193</v>
      </c>
      <c r="P60" s="54" t="s">
        <v>250</v>
      </c>
    </row>
    <row r="61" spans="1:16" ht="17.45" customHeight="1" x14ac:dyDescent="0.25">
      <c r="A61" s="54" t="s">
        <v>292</v>
      </c>
      <c r="B61" s="54" t="s">
        <v>248</v>
      </c>
      <c r="C61" s="56">
        <f t="shared" si="7"/>
        <v>32082</v>
      </c>
      <c r="D61" s="56">
        <f t="shared" si="7"/>
        <v>32082</v>
      </c>
      <c r="E61" s="57">
        <v>2210</v>
      </c>
      <c r="F61" s="54" t="s">
        <v>191</v>
      </c>
      <c r="G61" s="58">
        <v>30</v>
      </c>
      <c r="H61" s="56">
        <f>DATE(2016,12,31)</f>
        <v>42735</v>
      </c>
      <c r="I61" s="57">
        <v>0</v>
      </c>
      <c r="J61" s="57">
        <v>0</v>
      </c>
      <c r="K61" s="57">
        <v>2210</v>
      </c>
      <c r="L61" s="57">
        <v>0</v>
      </c>
      <c r="M61" s="54" t="s">
        <v>249</v>
      </c>
      <c r="N61" s="54" t="s">
        <v>79</v>
      </c>
      <c r="O61" s="54" t="s">
        <v>193</v>
      </c>
      <c r="P61" s="54" t="s">
        <v>250</v>
      </c>
    </row>
    <row r="62" spans="1:16" ht="17.45" customHeight="1" x14ac:dyDescent="0.25">
      <c r="A62" s="54" t="s">
        <v>293</v>
      </c>
      <c r="B62" s="54" t="s">
        <v>248</v>
      </c>
      <c r="C62" s="56">
        <f t="shared" si="7"/>
        <v>32082</v>
      </c>
      <c r="D62" s="56">
        <f t="shared" si="7"/>
        <v>32082</v>
      </c>
      <c r="E62" s="57">
        <v>8180</v>
      </c>
      <c r="F62" s="54" t="s">
        <v>191</v>
      </c>
      <c r="G62" s="58">
        <v>30</v>
      </c>
      <c r="H62" s="56">
        <f>DATE(2016,12,31)</f>
        <v>42735</v>
      </c>
      <c r="I62" s="57">
        <v>0</v>
      </c>
      <c r="J62" s="57">
        <v>0</v>
      </c>
      <c r="K62" s="57">
        <v>8180</v>
      </c>
      <c r="L62" s="57">
        <v>0</v>
      </c>
      <c r="M62" s="54" t="s">
        <v>249</v>
      </c>
      <c r="N62" s="54" t="s">
        <v>79</v>
      </c>
      <c r="O62" s="54" t="s">
        <v>193</v>
      </c>
      <c r="P62" s="54" t="s">
        <v>250</v>
      </c>
    </row>
    <row r="63" spans="1:16" ht="17.45" customHeight="1" x14ac:dyDescent="0.25">
      <c r="A63" s="54" t="s">
        <v>294</v>
      </c>
      <c r="B63" s="54" t="s">
        <v>248</v>
      </c>
      <c r="C63" s="56">
        <f t="shared" si="7"/>
        <v>32082</v>
      </c>
      <c r="D63" s="56">
        <f t="shared" si="7"/>
        <v>32082</v>
      </c>
      <c r="E63" s="57">
        <v>748</v>
      </c>
      <c r="F63" s="54" t="s">
        <v>191</v>
      </c>
      <c r="G63" s="58">
        <v>30</v>
      </c>
      <c r="H63" s="56">
        <f>DATE(2017,10,31)</f>
        <v>43039</v>
      </c>
      <c r="I63" s="57">
        <v>0</v>
      </c>
      <c r="J63" s="57">
        <v>0</v>
      </c>
      <c r="K63" s="57">
        <v>748</v>
      </c>
      <c r="L63" s="57">
        <v>0</v>
      </c>
      <c r="M63" s="54" t="s">
        <v>249</v>
      </c>
      <c r="N63" s="54" t="s">
        <v>79</v>
      </c>
      <c r="O63" s="54" t="s">
        <v>193</v>
      </c>
      <c r="P63" s="54" t="s">
        <v>250</v>
      </c>
    </row>
    <row r="64" spans="1:16" ht="17.45" customHeight="1" x14ac:dyDescent="0.25">
      <c r="A64" s="54" t="s">
        <v>295</v>
      </c>
      <c r="B64" s="54" t="s">
        <v>248</v>
      </c>
      <c r="C64" s="56">
        <f>DATE(1988,4,1)</f>
        <v>32234</v>
      </c>
      <c r="D64" s="56">
        <f>DATE(1988,4,1)</f>
        <v>32234</v>
      </c>
      <c r="E64" s="57">
        <v>5069</v>
      </c>
      <c r="F64" s="54" t="s">
        <v>191</v>
      </c>
      <c r="G64" s="58">
        <v>30</v>
      </c>
      <c r="H64" s="56">
        <f>DATE(2017,12,31)</f>
        <v>43100</v>
      </c>
      <c r="I64" s="57">
        <v>0</v>
      </c>
      <c r="J64" s="57">
        <v>0</v>
      </c>
      <c r="K64" s="57">
        <v>5069</v>
      </c>
      <c r="L64" s="57">
        <v>0</v>
      </c>
      <c r="M64" s="54" t="s">
        <v>249</v>
      </c>
      <c r="N64" s="54" t="s">
        <v>79</v>
      </c>
      <c r="O64" s="54" t="s">
        <v>193</v>
      </c>
      <c r="P64" s="54" t="s">
        <v>250</v>
      </c>
    </row>
    <row r="65" spans="1:16" ht="17.45" customHeight="1" x14ac:dyDescent="0.25">
      <c r="A65" s="54" t="s">
        <v>296</v>
      </c>
      <c r="B65" s="54" t="s">
        <v>1</v>
      </c>
      <c r="C65" s="56">
        <f t="shared" ref="C65:D67" si="8">DATE(1989,1,1)</f>
        <v>32509</v>
      </c>
      <c r="D65" s="56">
        <f t="shared" si="8"/>
        <v>32509</v>
      </c>
      <c r="E65" s="57">
        <v>5044</v>
      </c>
      <c r="F65" s="54" t="s">
        <v>191</v>
      </c>
      <c r="G65" s="58">
        <v>30</v>
      </c>
      <c r="H65" s="56">
        <f>DATE(2018,12,31)</f>
        <v>43465</v>
      </c>
      <c r="I65" s="57">
        <v>0</v>
      </c>
      <c r="J65" s="57">
        <v>0</v>
      </c>
      <c r="K65" s="57">
        <v>5044</v>
      </c>
      <c r="L65" s="57">
        <v>0</v>
      </c>
      <c r="M65" s="54" t="s">
        <v>249</v>
      </c>
      <c r="N65" s="54" t="s">
        <v>79</v>
      </c>
      <c r="O65" s="54" t="s">
        <v>193</v>
      </c>
      <c r="P65" s="54" t="s">
        <v>250</v>
      </c>
    </row>
    <row r="66" spans="1:16" ht="17.45" customHeight="1" x14ac:dyDescent="0.25">
      <c r="A66" s="54" t="s">
        <v>297</v>
      </c>
      <c r="B66" s="54" t="s">
        <v>298</v>
      </c>
      <c r="C66" s="56">
        <f t="shared" si="8"/>
        <v>32509</v>
      </c>
      <c r="D66" s="56">
        <f t="shared" si="8"/>
        <v>32509</v>
      </c>
      <c r="E66" s="57">
        <v>91865</v>
      </c>
      <c r="F66" s="54" t="s">
        <v>191</v>
      </c>
      <c r="G66" s="58">
        <v>30</v>
      </c>
      <c r="H66" s="56">
        <f>DATE(2018,12,31)</f>
        <v>43465</v>
      </c>
      <c r="I66" s="57">
        <v>0</v>
      </c>
      <c r="J66" s="57">
        <v>0</v>
      </c>
      <c r="K66" s="57">
        <v>91865</v>
      </c>
      <c r="L66" s="57">
        <v>0</v>
      </c>
      <c r="M66" s="54" t="s">
        <v>249</v>
      </c>
      <c r="N66" s="54" t="s">
        <v>79</v>
      </c>
      <c r="O66" s="54" t="s">
        <v>193</v>
      </c>
      <c r="P66" s="54" t="s">
        <v>250</v>
      </c>
    </row>
    <row r="67" spans="1:16" ht="17.45" customHeight="1" x14ac:dyDescent="0.25">
      <c r="A67" s="54" t="s">
        <v>299</v>
      </c>
      <c r="B67" s="54" t="s">
        <v>1</v>
      </c>
      <c r="C67" s="56">
        <f t="shared" si="8"/>
        <v>32509</v>
      </c>
      <c r="D67" s="56">
        <f t="shared" si="8"/>
        <v>32509</v>
      </c>
      <c r="E67" s="57">
        <v>15058</v>
      </c>
      <c r="F67" s="54" t="s">
        <v>191</v>
      </c>
      <c r="G67" s="58">
        <v>30</v>
      </c>
      <c r="H67" s="56">
        <f>DATE(2018,12,31)</f>
        <v>43465</v>
      </c>
      <c r="I67" s="57">
        <v>0</v>
      </c>
      <c r="J67" s="57">
        <v>0</v>
      </c>
      <c r="K67" s="57">
        <v>15058</v>
      </c>
      <c r="L67" s="57">
        <v>0</v>
      </c>
      <c r="M67" s="54" t="s">
        <v>249</v>
      </c>
      <c r="N67" s="54" t="s">
        <v>79</v>
      </c>
      <c r="O67" s="54" t="s">
        <v>193</v>
      </c>
      <c r="P67" s="54" t="s">
        <v>250</v>
      </c>
    </row>
    <row r="68" spans="1:16" ht="17.45" customHeight="1" x14ac:dyDescent="0.25">
      <c r="A68" s="54" t="s">
        <v>300</v>
      </c>
      <c r="B68" s="54" t="s">
        <v>301</v>
      </c>
      <c r="C68" s="56">
        <f t="shared" ref="C68:D70" si="9">DATE(1990,1,1)</f>
        <v>32874</v>
      </c>
      <c r="D68" s="56">
        <f t="shared" si="9"/>
        <v>32874</v>
      </c>
      <c r="E68" s="57">
        <v>13482</v>
      </c>
      <c r="F68" s="54" t="s">
        <v>191</v>
      </c>
      <c r="G68" s="58">
        <v>30</v>
      </c>
      <c r="H68" s="56">
        <f>DATE(2019,12,31)</f>
        <v>43830</v>
      </c>
      <c r="I68" s="57">
        <v>0</v>
      </c>
      <c r="J68" s="57">
        <v>0</v>
      </c>
      <c r="K68" s="57">
        <v>13482</v>
      </c>
      <c r="L68" s="57">
        <v>0</v>
      </c>
      <c r="M68" s="54" t="s">
        <v>249</v>
      </c>
      <c r="N68" s="54" t="s">
        <v>79</v>
      </c>
      <c r="O68" s="54" t="s">
        <v>193</v>
      </c>
      <c r="P68" s="54" t="s">
        <v>250</v>
      </c>
    </row>
    <row r="69" spans="1:16" ht="17.45" customHeight="1" x14ac:dyDescent="0.25">
      <c r="A69" s="54" t="s">
        <v>302</v>
      </c>
      <c r="B69" s="54" t="s">
        <v>270</v>
      </c>
      <c r="C69" s="56">
        <f t="shared" si="9"/>
        <v>32874</v>
      </c>
      <c r="D69" s="56">
        <f t="shared" si="9"/>
        <v>32874</v>
      </c>
      <c r="E69" s="57">
        <v>2264</v>
      </c>
      <c r="F69" s="54" t="s">
        <v>191</v>
      </c>
      <c r="G69" s="58">
        <v>30</v>
      </c>
      <c r="H69" s="56">
        <f>DATE(2019,12,31)</f>
        <v>43830</v>
      </c>
      <c r="I69" s="57">
        <v>0</v>
      </c>
      <c r="J69" s="57">
        <v>0</v>
      </c>
      <c r="K69" s="57">
        <v>2264</v>
      </c>
      <c r="L69" s="57">
        <v>0</v>
      </c>
      <c r="M69" s="54" t="s">
        <v>249</v>
      </c>
      <c r="N69" s="54" t="s">
        <v>79</v>
      </c>
      <c r="O69" s="54" t="s">
        <v>193</v>
      </c>
      <c r="P69" s="54" t="s">
        <v>250</v>
      </c>
    </row>
    <row r="70" spans="1:16" ht="17.45" customHeight="1" x14ac:dyDescent="0.25">
      <c r="A70" s="54" t="s">
        <v>303</v>
      </c>
      <c r="B70" s="54" t="s">
        <v>304</v>
      </c>
      <c r="C70" s="56">
        <f t="shared" si="9"/>
        <v>32874</v>
      </c>
      <c r="D70" s="56">
        <f t="shared" si="9"/>
        <v>32874</v>
      </c>
      <c r="E70" s="57">
        <v>4173</v>
      </c>
      <c r="F70" s="54" t="s">
        <v>191</v>
      </c>
      <c r="G70" s="58">
        <v>30</v>
      </c>
      <c r="H70" s="56">
        <f>DATE(2019,12,31)</f>
        <v>43830</v>
      </c>
      <c r="I70" s="57">
        <v>0</v>
      </c>
      <c r="J70" s="57">
        <v>0</v>
      </c>
      <c r="K70" s="57">
        <v>4173</v>
      </c>
      <c r="L70" s="57">
        <v>0</v>
      </c>
      <c r="M70" s="54" t="s">
        <v>249</v>
      </c>
      <c r="N70" s="54" t="s">
        <v>79</v>
      </c>
      <c r="O70" s="54" t="s">
        <v>193</v>
      </c>
      <c r="P70" s="54" t="s">
        <v>250</v>
      </c>
    </row>
    <row r="71" spans="1:16" ht="17.45" customHeight="1" x14ac:dyDescent="0.25">
      <c r="A71" s="54" t="s">
        <v>305</v>
      </c>
      <c r="B71" s="54" t="s">
        <v>1</v>
      </c>
      <c r="C71" s="56">
        <f>DATE(1992,1,1)</f>
        <v>33604</v>
      </c>
      <c r="D71" s="56">
        <f>DATE(1992,1,1)</f>
        <v>33604</v>
      </c>
      <c r="E71" s="57">
        <v>1254</v>
      </c>
      <c r="F71" s="54" t="s">
        <v>191</v>
      </c>
      <c r="G71" s="58">
        <v>30</v>
      </c>
      <c r="H71" s="56">
        <f>DATE(2021,12,31)</f>
        <v>44561</v>
      </c>
      <c r="I71" s="57">
        <v>0</v>
      </c>
      <c r="J71" s="57">
        <v>0</v>
      </c>
      <c r="K71" s="57">
        <v>1254</v>
      </c>
      <c r="L71" s="57">
        <v>0</v>
      </c>
      <c r="M71" s="54" t="s">
        <v>249</v>
      </c>
      <c r="N71" s="54" t="s">
        <v>79</v>
      </c>
      <c r="O71" s="54" t="s">
        <v>193</v>
      </c>
      <c r="P71" s="54" t="s">
        <v>250</v>
      </c>
    </row>
    <row r="72" spans="1:16" ht="17.45" customHeight="1" x14ac:dyDescent="0.25">
      <c r="A72" s="54" t="s">
        <v>306</v>
      </c>
      <c r="B72" s="54" t="s">
        <v>270</v>
      </c>
      <c r="C72" s="56">
        <f>DATE(1992,1,1)</f>
        <v>33604</v>
      </c>
      <c r="D72" s="56">
        <f>DATE(1992,1,1)</f>
        <v>33604</v>
      </c>
      <c r="E72" s="57">
        <v>9995</v>
      </c>
      <c r="F72" s="54" t="s">
        <v>191</v>
      </c>
      <c r="G72" s="58">
        <v>30</v>
      </c>
      <c r="H72" s="56">
        <f>DATE(2021,12,31)</f>
        <v>44561</v>
      </c>
      <c r="I72" s="57">
        <v>0</v>
      </c>
      <c r="J72" s="57">
        <v>0</v>
      </c>
      <c r="K72" s="57">
        <v>9995</v>
      </c>
      <c r="L72" s="57">
        <v>0</v>
      </c>
      <c r="M72" s="54" t="s">
        <v>249</v>
      </c>
      <c r="N72" s="54" t="s">
        <v>79</v>
      </c>
      <c r="O72" s="54" t="s">
        <v>193</v>
      </c>
      <c r="P72" s="54" t="s">
        <v>250</v>
      </c>
    </row>
    <row r="73" spans="1:16" ht="17.45" customHeight="1" x14ac:dyDescent="0.25">
      <c r="A73" s="54" t="s">
        <v>307</v>
      </c>
      <c r="B73" s="54" t="s">
        <v>308</v>
      </c>
      <c r="C73" s="56">
        <f>DATE(1992,3,31)</f>
        <v>33694</v>
      </c>
      <c r="D73" s="56">
        <f>DATE(1992,3,31)</f>
        <v>33694</v>
      </c>
      <c r="E73" s="57">
        <v>5942</v>
      </c>
      <c r="F73" s="54" t="s">
        <v>191</v>
      </c>
      <c r="G73" s="58">
        <v>30</v>
      </c>
      <c r="H73" s="56">
        <f>DATE(2021,12,31)</f>
        <v>44561</v>
      </c>
      <c r="I73" s="57">
        <v>0</v>
      </c>
      <c r="J73" s="57">
        <v>0</v>
      </c>
      <c r="K73" s="57">
        <v>5942</v>
      </c>
      <c r="L73" s="57">
        <v>0</v>
      </c>
      <c r="M73" s="54" t="s">
        <v>249</v>
      </c>
      <c r="N73" s="54" t="s">
        <v>79</v>
      </c>
      <c r="O73" s="54" t="s">
        <v>193</v>
      </c>
      <c r="P73" s="54" t="s">
        <v>250</v>
      </c>
    </row>
    <row r="74" spans="1:16" ht="17.45" customHeight="1" x14ac:dyDescent="0.25">
      <c r="A74" s="54" t="s">
        <v>309</v>
      </c>
      <c r="B74" s="54" t="s">
        <v>310</v>
      </c>
      <c r="C74" s="56">
        <f>DATE(1992,4,30)</f>
        <v>33724</v>
      </c>
      <c r="D74" s="56">
        <f>DATE(1992,4,30)</f>
        <v>33724</v>
      </c>
      <c r="E74" s="57">
        <v>17275</v>
      </c>
      <c r="F74" s="54" t="s">
        <v>191</v>
      </c>
      <c r="G74" s="58">
        <v>30</v>
      </c>
      <c r="H74" s="56">
        <f>DATE(2022,4,30)</f>
        <v>44681</v>
      </c>
      <c r="I74" s="57">
        <v>0</v>
      </c>
      <c r="J74" s="57">
        <v>0</v>
      </c>
      <c r="K74" s="57">
        <v>17275</v>
      </c>
      <c r="L74" s="57">
        <v>0</v>
      </c>
      <c r="M74" s="54" t="s">
        <v>249</v>
      </c>
      <c r="N74" s="54" t="s">
        <v>79</v>
      </c>
      <c r="O74" s="54" t="s">
        <v>193</v>
      </c>
      <c r="P74" s="54" t="s">
        <v>250</v>
      </c>
    </row>
    <row r="75" spans="1:16" ht="17.45" customHeight="1" x14ac:dyDescent="0.25">
      <c r="A75" s="54" t="s">
        <v>311</v>
      </c>
      <c r="B75" s="54" t="s">
        <v>312</v>
      </c>
      <c r="C75" s="56">
        <f>DATE(1992,6,30)</f>
        <v>33785</v>
      </c>
      <c r="D75" s="56">
        <f>DATE(1992,6,30)</f>
        <v>33785</v>
      </c>
      <c r="E75" s="57">
        <v>2727</v>
      </c>
      <c r="F75" s="54" t="s">
        <v>191</v>
      </c>
      <c r="G75" s="58">
        <v>30</v>
      </c>
      <c r="H75" s="56">
        <f>DATE(2021,12,31)</f>
        <v>44561</v>
      </c>
      <c r="I75" s="57">
        <v>0</v>
      </c>
      <c r="J75" s="57">
        <v>0</v>
      </c>
      <c r="K75" s="57">
        <v>2727</v>
      </c>
      <c r="L75" s="57">
        <v>0</v>
      </c>
      <c r="M75" s="54" t="s">
        <v>249</v>
      </c>
      <c r="N75" s="54" t="s">
        <v>79</v>
      </c>
      <c r="O75" s="54" t="s">
        <v>193</v>
      </c>
      <c r="P75" s="54" t="s">
        <v>250</v>
      </c>
    </row>
    <row r="76" spans="1:16" ht="17.45" customHeight="1" x14ac:dyDescent="0.25">
      <c r="A76" s="54" t="s">
        <v>313</v>
      </c>
      <c r="B76" s="54" t="s">
        <v>314</v>
      </c>
      <c r="C76" s="56">
        <f>DATE(1992,8,31)</f>
        <v>33847</v>
      </c>
      <c r="D76" s="56">
        <f>DATE(1992,8,31)</f>
        <v>33847</v>
      </c>
      <c r="E76" s="57">
        <v>2234</v>
      </c>
      <c r="F76" s="54" t="s">
        <v>191</v>
      </c>
      <c r="G76" s="58">
        <v>30</v>
      </c>
      <c r="H76" s="56">
        <f>DATE(2021,12,31)</f>
        <v>44561</v>
      </c>
      <c r="I76" s="57">
        <v>0</v>
      </c>
      <c r="J76" s="57">
        <v>0</v>
      </c>
      <c r="K76" s="57">
        <v>2234</v>
      </c>
      <c r="L76" s="57">
        <v>0</v>
      </c>
      <c r="M76" s="54" t="s">
        <v>249</v>
      </c>
      <c r="N76" s="54" t="s">
        <v>79</v>
      </c>
      <c r="O76" s="54" t="s">
        <v>193</v>
      </c>
      <c r="P76" s="54" t="s">
        <v>250</v>
      </c>
    </row>
    <row r="77" spans="1:16" ht="17.45" customHeight="1" x14ac:dyDescent="0.25">
      <c r="A77" s="54" t="s">
        <v>315</v>
      </c>
      <c r="B77" s="54" t="s">
        <v>248</v>
      </c>
      <c r="C77" s="56">
        <f>DATE(1993,1,1)</f>
        <v>33970</v>
      </c>
      <c r="D77" s="56">
        <f>DATE(1993,1,1)</f>
        <v>33970</v>
      </c>
      <c r="E77" s="57">
        <v>13945</v>
      </c>
      <c r="F77" s="54" t="s">
        <v>191</v>
      </c>
      <c r="G77" s="58">
        <v>30</v>
      </c>
      <c r="H77" s="56">
        <f>DATE(2022,12,31)</f>
        <v>44926</v>
      </c>
      <c r="I77" s="57">
        <v>0</v>
      </c>
      <c r="J77" s="57">
        <v>0</v>
      </c>
      <c r="K77" s="57">
        <v>13945</v>
      </c>
      <c r="L77" s="57">
        <v>0</v>
      </c>
      <c r="M77" s="54" t="s">
        <v>249</v>
      </c>
      <c r="N77" s="54" t="s">
        <v>79</v>
      </c>
      <c r="O77" s="54" t="s">
        <v>193</v>
      </c>
      <c r="P77" s="54" t="s">
        <v>250</v>
      </c>
    </row>
    <row r="78" spans="1:16" ht="17.45" customHeight="1" x14ac:dyDescent="0.25">
      <c r="A78" s="54" t="s">
        <v>316</v>
      </c>
      <c r="B78" s="54" t="s">
        <v>317</v>
      </c>
      <c r="C78" s="56">
        <f>DATE(1994,1,1)</f>
        <v>34335</v>
      </c>
      <c r="D78" s="56">
        <f>DATE(1994,1,1)</f>
        <v>34335</v>
      </c>
      <c r="E78" s="57">
        <v>2227</v>
      </c>
      <c r="F78" s="54" t="s">
        <v>191</v>
      </c>
      <c r="G78" s="58">
        <v>30</v>
      </c>
      <c r="H78" s="56">
        <f t="shared" ref="H78:H141" si="10">DATE(2023,6,30)</f>
        <v>45107</v>
      </c>
      <c r="I78" s="57">
        <v>6.19</v>
      </c>
      <c r="J78" s="57">
        <v>37.14</v>
      </c>
      <c r="K78" s="57">
        <v>2189.85</v>
      </c>
      <c r="L78" s="57">
        <v>37.15</v>
      </c>
      <c r="M78" s="54" t="s">
        <v>249</v>
      </c>
      <c r="N78" s="54" t="s">
        <v>79</v>
      </c>
      <c r="O78" s="54" t="s">
        <v>193</v>
      </c>
      <c r="P78" s="54" t="s">
        <v>250</v>
      </c>
    </row>
    <row r="79" spans="1:16" ht="17.45" customHeight="1" x14ac:dyDescent="0.25">
      <c r="A79" s="54" t="s">
        <v>318</v>
      </c>
      <c r="B79" s="54" t="s">
        <v>319</v>
      </c>
      <c r="C79" s="56">
        <f t="shared" ref="C79:D81" si="11">DATE(1996,12,31)</f>
        <v>35430</v>
      </c>
      <c r="D79" s="56">
        <f t="shared" si="11"/>
        <v>35430</v>
      </c>
      <c r="E79" s="57">
        <v>6650.72</v>
      </c>
      <c r="F79" s="54" t="s">
        <v>191</v>
      </c>
      <c r="G79" s="58">
        <v>30</v>
      </c>
      <c r="H79" s="56">
        <f t="shared" si="10"/>
        <v>45107</v>
      </c>
      <c r="I79" s="57">
        <v>18.47</v>
      </c>
      <c r="J79" s="57">
        <v>110.82</v>
      </c>
      <c r="K79" s="57">
        <v>6096.46</v>
      </c>
      <c r="L79" s="57">
        <v>554.26</v>
      </c>
      <c r="M79" s="54" t="s">
        <v>249</v>
      </c>
      <c r="N79" s="54" t="s">
        <v>79</v>
      </c>
      <c r="O79" s="54" t="s">
        <v>193</v>
      </c>
      <c r="P79" s="54" t="s">
        <v>250</v>
      </c>
    </row>
    <row r="80" spans="1:16" ht="17.45" customHeight="1" x14ac:dyDescent="0.25">
      <c r="A80" s="54" t="s">
        <v>320</v>
      </c>
      <c r="B80" s="54" t="s">
        <v>321</v>
      </c>
      <c r="C80" s="56">
        <f t="shared" si="11"/>
        <v>35430</v>
      </c>
      <c r="D80" s="56">
        <f t="shared" si="11"/>
        <v>35430</v>
      </c>
      <c r="E80" s="57">
        <v>14327.15</v>
      </c>
      <c r="F80" s="54" t="s">
        <v>191</v>
      </c>
      <c r="G80" s="58">
        <v>30</v>
      </c>
      <c r="H80" s="56">
        <f t="shared" si="10"/>
        <v>45107</v>
      </c>
      <c r="I80" s="57">
        <v>39.799999999999997</v>
      </c>
      <c r="J80" s="57">
        <v>238.8</v>
      </c>
      <c r="K80" s="57">
        <v>13133.22</v>
      </c>
      <c r="L80" s="57">
        <v>1193.93</v>
      </c>
      <c r="M80" s="54" t="s">
        <v>249</v>
      </c>
      <c r="N80" s="54" t="s">
        <v>79</v>
      </c>
      <c r="O80" s="54" t="s">
        <v>193</v>
      </c>
      <c r="P80" s="54" t="s">
        <v>250</v>
      </c>
    </row>
    <row r="81" spans="1:16" ht="17.45" customHeight="1" x14ac:dyDescent="0.25">
      <c r="A81" s="54" t="s">
        <v>322</v>
      </c>
      <c r="B81" s="54" t="s">
        <v>319</v>
      </c>
      <c r="C81" s="56">
        <f t="shared" si="11"/>
        <v>35430</v>
      </c>
      <c r="D81" s="56">
        <f t="shared" si="11"/>
        <v>35430</v>
      </c>
      <c r="E81" s="57">
        <v>8903.0300000000007</v>
      </c>
      <c r="F81" s="54" t="s">
        <v>191</v>
      </c>
      <c r="G81" s="58">
        <v>30</v>
      </c>
      <c r="H81" s="56">
        <f t="shared" si="10"/>
        <v>45107</v>
      </c>
      <c r="I81" s="57">
        <v>24.73</v>
      </c>
      <c r="J81" s="57">
        <v>148.38</v>
      </c>
      <c r="K81" s="57">
        <v>8161.14</v>
      </c>
      <c r="L81" s="57">
        <v>741.89</v>
      </c>
      <c r="M81" s="54" t="s">
        <v>249</v>
      </c>
      <c r="N81" s="54" t="s">
        <v>79</v>
      </c>
      <c r="O81" s="54" t="s">
        <v>193</v>
      </c>
      <c r="P81" s="54" t="s">
        <v>250</v>
      </c>
    </row>
    <row r="82" spans="1:16" ht="17.45" customHeight="1" x14ac:dyDescent="0.25">
      <c r="A82" s="54" t="s">
        <v>323</v>
      </c>
      <c r="B82" s="54" t="s">
        <v>324</v>
      </c>
      <c r="C82" s="56">
        <f>DATE(1997,12,31)</f>
        <v>35795</v>
      </c>
      <c r="D82" s="56">
        <f>DATE(1997,12,31)</f>
        <v>35795</v>
      </c>
      <c r="E82" s="57">
        <v>9561.31</v>
      </c>
      <c r="F82" s="54" t="s">
        <v>191</v>
      </c>
      <c r="G82" s="58">
        <v>30</v>
      </c>
      <c r="H82" s="56">
        <f t="shared" si="10"/>
        <v>45107</v>
      </c>
      <c r="I82" s="57">
        <v>26.56</v>
      </c>
      <c r="J82" s="57">
        <v>159.36000000000001</v>
      </c>
      <c r="K82" s="57">
        <v>8445.82</v>
      </c>
      <c r="L82" s="57">
        <v>1115.49</v>
      </c>
      <c r="M82" s="54" t="s">
        <v>249</v>
      </c>
      <c r="N82" s="54" t="s">
        <v>79</v>
      </c>
      <c r="O82" s="54" t="s">
        <v>193</v>
      </c>
      <c r="P82" s="54" t="s">
        <v>250</v>
      </c>
    </row>
    <row r="83" spans="1:16" ht="17.45" customHeight="1" x14ac:dyDescent="0.25">
      <c r="A83" s="54" t="s">
        <v>325</v>
      </c>
      <c r="B83" s="54" t="s">
        <v>324</v>
      </c>
      <c r="C83" s="56">
        <f>DATE(1997,12,31)</f>
        <v>35795</v>
      </c>
      <c r="D83" s="56">
        <f>DATE(1997,12,31)</f>
        <v>35795</v>
      </c>
      <c r="E83" s="57">
        <v>16368.21</v>
      </c>
      <c r="F83" s="54" t="s">
        <v>191</v>
      </c>
      <c r="G83" s="58">
        <v>30</v>
      </c>
      <c r="H83" s="56">
        <f t="shared" si="10"/>
        <v>45107</v>
      </c>
      <c r="I83" s="57">
        <v>45.47</v>
      </c>
      <c r="J83" s="57">
        <v>272.82</v>
      </c>
      <c r="K83" s="57">
        <v>14458.65</v>
      </c>
      <c r="L83" s="57">
        <v>1909.56</v>
      </c>
      <c r="M83" s="54" t="s">
        <v>249</v>
      </c>
      <c r="N83" s="54" t="s">
        <v>79</v>
      </c>
      <c r="O83" s="54" t="s">
        <v>193</v>
      </c>
      <c r="P83" s="54" t="s">
        <v>250</v>
      </c>
    </row>
    <row r="84" spans="1:16" ht="17.45" customHeight="1" x14ac:dyDescent="0.25">
      <c r="A84" s="54" t="s">
        <v>326</v>
      </c>
      <c r="B84" s="54" t="s">
        <v>327</v>
      </c>
      <c r="C84" s="56">
        <f t="shared" ref="C84:D86" si="12">DATE(1998,12,31)</f>
        <v>36160</v>
      </c>
      <c r="D84" s="56">
        <f t="shared" si="12"/>
        <v>36160</v>
      </c>
      <c r="E84" s="57">
        <v>2033.98</v>
      </c>
      <c r="F84" s="54" t="s">
        <v>191</v>
      </c>
      <c r="G84" s="58">
        <v>30</v>
      </c>
      <c r="H84" s="56">
        <f t="shared" si="10"/>
        <v>45107</v>
      </c>
      <c r="I84" s="57">
        <v>5.65</v>
      </c>
      <c r="J84" s="57">
        <v>33.9</v>
      </c>
      <c r="K84" s="57">
        <v>1728.88</v>
      </c>
      <c r="L84" s="57">
        <v>305.10000000000002</v>
      </c>
      <c r="M84" s="54" t="s">
        <v>249</v>
      </c>
      <c r="N84" s="54" t="s">
        <v>79</v>
      </c>
      <c r="O84" s="54" t="s">
        <v>193</v>
      </c>
      <c r="P84" s="54" t="s">
        <v>250</v>
      </c>
    </row>
    <row r="85" spans="1:16" ht="17.45" customHeight="1" x14ac:dyDescent="0.25">
      <c r="A85" s="54" t="s">
        <v>328</v>
      </c>
      <c r="B85" s="54" t="s">
        <v>329</v>
      </c>
      <c r="C85" s="56">
        <f t="shared" si="12"/>
        <v>36160</v>
      </c>
      <c r="D85" s="56">
        <f t="shared" si="12"/>
        <v>36160</v>
      </c>
      <c r="E85" s="57">
        <v>15206.49</v>
      </c>
      <c r="F85" s="54" t="s">
        <v>191</v>
      </c>
      <c r="G85" s="58">
        <v>30</v>
      </c>
      <c r="H85" s="56">
        <f t="shared" si="10"/>
        <v>45107</v>
      </c>
      <c r="I85" s="57">
        <v>42.24</v>
      </c>
      <c r="J85" s="57">
        <v>253.44</v>
      </c>
      <c r="K85" s="57">
        <v>12925.46</v>
      </c>
      <c r="L85" s="57">
        <v>2281.0300000000002</v>
      </c>
      <c r="M85" s="54" t="s">
        <v>249</v>
      </c>
      <c r="N85" s="54" t="s">
        <v>79</v>
      </c>
      <c r="O85" s="54" t="s">
        <v>193</v>
      </c>
      <c r="P85" s="54" t="s">
        <v>250</v>
      </c>
    </row>
    <row r="86" spans="1:16" ht="17.45" customHeight="1" x14ac:dyDescent="0.25">
      <c r="A86" s="54" t="s">
        <v>330</v>
      </c>
      <c r="B86" s="54" t="s">
        <v>329</v>
      </c>
      <c r="C86" s="56">
        <f t="shared" si="12"/>
        <v>36160</v>
      </c>
      <c r="D86" s="56">
        <f t="shared" si="12"/>
        <v>36160</v>
      </c>
      <c r="E86" s="57">
        <v>6577.78</v>
      </c>
      <c r="F86" s="54" t="s">
        <v>191</v>
      </c>
      <c r="G86" s="58">
        <v>30</v>
      </c>
      <c r="H86" s="56">
        <f t="shared" si="10"/>
        <v>45107</v>
      </c>
      <c r="I86" s="57">
        <v>18.27</v>
      </c>
      <c r="J86" s="57">
        <v>109.62</v>
      </c>
      <c r="K86" s="57">
        <v>5591.11</v>
      </c>
      <c r="L86" s="57">
        <v>986.67</v>
      </c>
      <c r="M86" s="54" t="s">
        <v>249</v>
      </c>
      <c r="N86" s="54" t="s">
        <v>79</v>
      </c>
      <c r="O86" s="54" t="s">
        <v>193</v>
      </c>
      <c r="P86" s="54" t="s">
        <v>250</v>
      </c>
    </row>
    <row r="87" spans="1:16" ht="17.45" customHeight="1" x14ac:dyDescent="0.25">
      <c r="A87" s="54" t="s">
        <v>331</v>
      </c>
      <c r="B87" s="54" t="s">
        <v>332</v>
      </c>
      <c r="C87" s="56">
        <f>DATE(1999,12,31)</f>
        <v>36525</v>
      </c>
      <c r="D87" s="56">
        <f>DATE(1999,12,31)</f>
        <v>36525</v>
      </c>
      <c r="E87" s="57">
        <v>11845.99</v>
      </c>
      <c r="F87" s="54" t="s">
        <v>191</v>
      </c>
      <c r="G87" s="58">
        <v>30</v>
      </c>
      <c r="H87" s="56">
        <f t="shared" si="10"/>
        <v>45107</v>
      </c>
      <c r="I87" s="57">
        <v>32.909999999999997</v>
      </c>
      <c r="J87" s="57">
        <v>197.46</v>
      </c>
      <c r="K87" s="57">
        <v>9674.31</v>
      </c>
      <c r="L87" s="57">
        <v>2171.6799999999998</v>
      </c>
      <c r="M87" s="54" t="s">
        <v>249</v>
      </c>
      <c r="N87" s="54" t="s">
        <v>79</v>
      </c>
      <c r="O87" s="54" t="s">
        <v>193</v>
      </c>
      <c r="P87" s="54" t="s">
        <v>250</v>
      </c>
    </row>
    <row r="88" spans="1:16" ht="17.45" customHeight="1" x14ac:dyDescent="0.25">
      <c r="A88" s="54" t="s">
        <v>333</v>
      </c>
      <c r="B88" s="54" t="s">
        <v>332</v>
      </c>
      <c r="C88" s="56">
        <f>DATE(1999,12,31)</f>
        <v>36525</v>
      </c>
      <c r="D88" s="56">
        <f>DATE(1999,12,31)</f>
        <v>36525</v>
      </c>
      <c r="E88" s="57">
        <v>12449.05</v>
      </c>
      <c r="F88" s="54" t="s">
        <v>191</v>
      </c>
      <c r="G88" s="58">
        <v>30</v>
      </c>
      <c r="H88" s="56">
        <f t="shared" si="10"/>
        <v>45107</v>
      </c>
      <c r="I88" s="57">
        <v>34.58</v>
      </c>
      <c r="J88" s="57">
        <v>207.48</v>
      </c>
      <c r="K88" s="57">
        <v>10166.75</v>
      </c>
      <c r="L88" s="57">
        <v>2282.3000000000002</v>
      </c>
      <c r="M88" s="54" t="s">
        <v>249</v>
      </c>
      <c r="N88" s="54" t="s">
        <v>79</v>
      </c>
      <c r="O88" s="54" t="s">
        <v>193</v>
      </c>
      <c r="P88" s="54" t="s">
        <v>250</v>
      </c>
    </row>
    <row r="89" spans="1:16" ht="17.45" customHeight="1" x14ac:dyDescent="0.25">
      <c r="A89" s="54" t="s">
        <v>334</v>
      </c>
      <c r="B89" s="54" t="s">
        <v>335</v>
      </c>
      <c r="C89" s="56">
        <f>DATE(2000,12,31)</f>
        <v>36891</v>
      </c>
      <c r="D89" s="56">
        <f>DATE(2000,12,31)</f>
        <v>36891</v>
      </c>
      <c r="E89" s="57">
        <v>1567.62</v>
      </c>
      <c r="F89" s="54" t="s">
        <v>336</v>
      </c>
      <c r="G89" s="58">
        <v>30</v>
      </c>
      <c r="H89" s="56">
        <f t="shared" si="10"/>
        <v>45107</v>
      </c>
      <c r="I89" s="57">
        <v>4.42</v>
      </c>
      <c r="J89" s="57">
        <v>26.52</v>
      </c>
      <c r="K89" s="57">
        <v>1169.3699999999999</v>
      </c>
      <c r="L89" s="57">
        <v>398.25</v>
      </c>
      <c r="M89" s="54" t="s">
        <v>249</v>
      </c>
      <c r="N89" s="54" t="s">
        <v>79</v>
      </c>
      <c r="O89" s="54" t="s">
        <v>193</v>
      </c>
      <c r="P89" s="54" t="s">
        <v>250</v>
      </c>
    </row>
    <row r="90" spans="1:16" ht="17.45" customHeight="1" x14ac:dyDescent="0.25">
      <c r="A90" s="54" t="s">
        <v>337</v>
      </c>
      <c r="B90" s="54" t="s">
        <v>338</v>
      </c>
      <c r="C90" s="56">
        <f>DATE(2004,12,31)</f>
        <v>38352</v>
      </c>
      <c r="D90" s="56">
        <f>DATE(2004,12,31)</f>
        <v>38352</v>
      </c>
      <c r="E90" s="57">
        <v>12326.17</v>
      </c>
      <c r="F90" s="54" t="s">
        <v>191</v>
      </c>
      <c r="G90" s="58">
        <v>30</v>
      </c>
      <c r="H90" s="56">
        <f t="shared" si="10"/>
        <v>45107</v>
      </c>
      <c r="I90" s="57">
        <v>34.24</v>
      </c>
      <c r="J90" s="57">
        <v>205.44</v>
      </c>
      <c r="K90" s="57">
        <v>8011.99</v>
      </c>
      <c r="L90" s="57">
        <v>4314.18</v>
      </c>
      <c r="M90" s="54" t="s">
        <v>249</v>
      </c>
      <c r="N90" s="54" t="s">
        <v>79</v>
      </c>
      <c r="O90" s="54" t="s">
        <v>193</v>
      </c>
      <c r="P90" s="54" t="s">
        <v>250</v>
      </c>
    </row>
    <row r="91" spans="1:16" ht="17.45" customHeight="1" x14ac:dyDescent="0.25">
      <c r="A91" s="54" t="s">
        <v>339</v>
      </c>
      <c r="B91" s="54" t="s">
        <v>340</v>
      </c>
      <c r="C91" s="56">
        <f>DATE(2005,9,1)</f>
        <v>38596</v>
      </c>
      <c r="D91" s="56">
        <f>DATE(2005,9,1)</f>
        <v>38596</v>
      </c>
      <c r="E91" s="57">
        <v>166248.79999999999</v>
      </c>
      <c r="F91" s="54" t="s">
        <v>191</v>
      </c>
      <c r="G91" s="58">
        <v>30</v>
      </c>
      <c r="H91" s="56">
        <f t="shared" si="10"/>
        <v>45107</v>
      </c>
      <c r="I91" s="57">
        <v>461.8</v>
      </c>
      <c r="J91" s="57">
        <v>2770.8</v>
      </c>
      <c r="K91" s="57">
        <v>98825.51</v>
      </c>
      <c r="L91" s="57">
        <v>67423.289999999994</v>
      </c>
      <c r="M91" s="54" t="s">
        <v>249</v>
      </c>
      <c r="N91" s="54" t="s">
        <v>79</v>
      </c>
      <c r="O91" s="54" t="s">
        <v>193</v>
      </c>
      <c r="P91" s="54" t="s">
        <v>250</v>
      </c>
    </row>
    <row r="92" spans="1:16" ht="17.45" customHeight="1" x14ac:dyDescent="0.25">
      <c r="A92" s="54" t="s">
        <v>341</v>
      </c>
      <c r="B92" s="54" t="s">
        <v>342</v>
      </c>
      <c r="C92" s="56">
        <f>DATE(2006,12,31)</f>
        <v>39082</v>
      </c>
      <c r="D92" s="56">
        <f>DATE(2006,12,31)</f>
        <v>39082</v>
      </c>
      <c r="E92" s="57">
        <v>80769</v>
      </c>
      <c r="F92" s="54" t="s">
        <v>191</v>
      </c>
      <c r="G92" s="58">
        <v>30</v>
      </c>
      <c r="H92" s="56">
        <f t="shared" si="10"/>
        <v>45107</v>
      </c>
      <c r="I92" s="57">
        <v>224.36</v>
      </c>
      <c r="J92" s="57">
        <v>1346.16</v>
      </c>
      <c r="K92" s="57">
        <v>44422.96</v>
      </c>
      <c r="L92" s="57">
        <v>36346.04</v>
      </c>
      <c r="M92" s="54" t="s">
        <v>249</v>
      </c>
      <c r="N92" s="54" t="s">
        <v>79</v>
      </c>
      <c r="O92" s="54" t="s">
        <v>193</v>
      </c>
      <c r="P92" s="54" t="s">
        <v>250</v>
      </c>
    </row>
    <row r="93" spans="1:16" ht="17.45" customHeight="1" x14ac:dyDescent="0.25">
      <c r="A93" s="54" t="s">
        <v>343</v>
      </c>
      <c r="B93" s="54" t="s">
        <v>342</v>
      </c>
      <c r="C93" s="56">
        <f>DATE(2008,3,31)</f>
        <v>39538</v>
      </c>
      <c r="D93" s="56">
        <f>DATE(2008,3,31)</f>
        <v>39538</v>
      </c>
      <c r="E93" s="57">
        <v>1285</v>
      </c>
      <c r="F93" s="54" t="s">
        <v>191</v>
      </c>
      <c r="G93" s="58">
        <v>30</v>
      </c>
      <c r="H93" s="56">
        <f t="shared" si="10"/>
        <v>45107</v>
      </c>
      <c r="I93" s="57">
        <v>3.57</v>
      </c>
      <c r="J93" s="57">
        <v>21.42</v>
      </c>
      <c r="K93" s="57">
        <v>653.17999999999995</v>
      </c>
      <c r="L93" s="57">
        <v>631.82000000000005</v>
      </c>
      <c r="M93" s="54" t="s">
        <v>249</v>
      </c>
      <c r="N93" s="54" t="s">
        <v>79</v>
      </c>
      <c r="O93" s="54" t="s">
        <v>193</v>
      </c>
      <c r="P93" s="54" t="s">
        <v>250</v>
      </c>
    </row>
    <row r="94" spans="1:16" ht="17.45" customHeight="1" x14ac:dyDescent="0.25">
      <c r="A94" s="54" t="s">
        <v>344</v>
      </c>
      <c r="B94" s="54" t="s">
        <v>342</v>
      </c>
      <c r="C94" s="56">
        <f>DATE(2008,4,30)</f>
        <v>39568</v>
      </c>
      <c r="D94" s="56">
        <f>DATE(2008,4,30)</f>
        <v>39568</v>
      </c>
      <c r="E94" s="57">
        <v>15775.59</v>
      </c>
      <c r="F94" s="54" t="s">
        <v>191</v>
      </c>
      <c r="G94" s="58">
        <v>30</v>
      </c>
      <c r="H94" s="56">
        <f t="shared" si="10"/>
        <v>45107</v>
      </c>
      <c r="I94" s="57">
        <v>43.82</v>
      </c>
      <c r="J94" s="57">
        <v>262.92</v>
      </c>
      <c r="K94" s="57">
        <v>7975.39</v>
      </c>
      <c r="L94" s="57">
        <v>7800.2</v>
      </c>
      <c r="M94" s="54" t="s">
        <v>249</v>
      </c>
      <c r="N94" s="54" t="s">
        <v>79</v>
      </c>
      <c r="O94" s="54" t="s">
        <v>193</v>
      </c>
      <c r="P94" s="54" t="s">
        <v>250</v>
      </c>
    </row>
    <row r="95" spans="1:16" ht="17.45" customHeight="1" x14ac:dyDescent="0.25">
      <c r="A95" s="54" t="s">
        <v>345</v>
      </c>
      <c r="B95" s="54" t="s">
        <v>342</v>
      </c>
      <c r="C95" s="56">
        <f>DATE(2008,5,30)</f>
        <v>39598</v>
      </c>
      <c r="D95" s="56">
        <f>DATE(2008,5,30)</f>
        <v>39598</v>
      </c>
      <c r="E95" s="57">
        <v>8476.1</v>
      </c>
      <c r="F95" s="54" t="s">
        <v>191</v>
      </c>
      <c r="G95" s="58">
        <v>30</v>
      </c>
      <c r="H95" s="56">
        <f t="shared" si="10"/>
        <v>45107</v>
      </c>
      <c r="I95" s="57">
        <v>23.54</v>
      </c>
      <c r="J95" s="57">
        <v>141.24</v>
      </c>
      <c r="K95" s="57">
        <v>4261.6099999999997</v>
      </c>
      <c r="L95" s="57">
        <v>4214.49</v>
      </c>
      <c r="M95" s="54" t="s">
        <v>249</v>
      </c>
      <c r="N95" s="54" t="s">
        <v>79</v>
      </c>
      <c r="O95" s="54" t="s">
        <v>193</v>
      </c>
      <c r="P95" s="54" t="s">
        <v>250</v>
      </c>
    </row>
    <row r="96" spans="1:16" ht="17.45" customHeight="1" x14ac:dyDescent="0.25">
      <c r="A96" s="54" t="s">
        <v>346</v>
      </c>
      <c r="B96" s="54" t="s">
        <v>342</v>
      </c>
      <c r="C96" s="56">
        <f>DATE(2008,6,30)</f>
        <v>39629</v>
      </c>
      <c r="D96" s="56">
        <f>DATE(2008,6,30)</f>
        <v>39629</v>
      </c>
      <c r="E96" s="57">
        <v>5027.87</v>
      </c>
      <c r="F96" s="54" t="s">
        <v>191</v>
      </c>
      <c r="G96" s="58">
        <v>30</v>
      </c>
      <c r="H96" s="56">
        <f t="shared" si="10"/>
        <v>45107</v>
      </c>
      <c r="I96" s="57">
        <v>13.97</v>
      </c>
      <c r="J96" s="57">
        <v>83.82</v>
      </c>
      <c r="K96" s="57">
        <v>2514.02</v>
      </c>
      <c r="L96" s="57">
        <v>2513.85</v>
      </c>
      <c r="M96" s="54" t="s">
        <v>249</v>
      </c>
      <c r="N96" s="54" t="s">
        <v>79</v>
      </c>
      <c r="O96" s="54" t="s">
        <v>193</v>
      </c>
      <c r="P96" s="54" t="s">
        <v>250</v>
      </c>
    </row>
    <row r="97" spans="1:16" ht="17.45" customHeight="1" x14ac:dyDescent="0.25">
      <c r="A97" s="54" t="s">
        <v>347</v>
      </c>
      <c r="B97" s="54" t="s">
        <v>342</v>
      </c>
      <c r="C97" s="56">
        <f>DATE(2008,7,31)</f>
        <v>39660</v>
      </c>
      <c r="D97" s="56">
        <f>DATE(2008,7,31)</f>
        <v>39660</v>
      </c>
      <c r="E97" s="57">
        <v>17156.849999999999</v>
      </c>
      <c r="F97" s="54" t="s">
        <v>191</v>
      </c>
      <c r="G97" s="58">
        <v>30</v>
      </c>
      <c r="H97" s="56">
        <f t="shared" si="10"/>
        <v>45107</v>
      </c>
      <c r="I97" s="57">
        <v>47.66</v>
      </c>
      <c r="J97" s="57">
        <v>285.95999999999998</v>
      </c>
      <c r="K97" s="57">
        <v>8530.85</v>
      </c>
      <c r="L97" s="57">
        <v>8626</v>
      </c>
      <c r="M97" s="54" t="s">
        <v>249</v>
      </c>
      <c r="N97" s="54" t="s">
        <v>79</v>
      </c>
      <c r="O97" s="54" t="s">
        <v>193</v>
      </c>
      <c r="P97" s="54" t="s">
        <v>250</v>
      </c>
    </row>
    <row r="98" spans="1:16" ht="17.45" customHeight="1" x14ac:dyDescent="0.25">
      <c r="A98" s="54" t="s">
        <v>348</v>
      </c>
      <c r="B98" s="54" t="s">
        <v>342</v>
      </c>
      <c r="C98" s="56">
        <f>DATE(2008,8,31)</f>
        <v>39691</v>
      </c>
      <c r="D98" s="56">
        <f>DATE(2008,8,31)</f>
        <v>39691</v>
      </c>
      <c r="E98" s="57">
        <v>15245.76</v>
      </c>
      <c r="F98" s="54" t="s">
        <v>191</v>
      </c>
      <c r="G98" s="58">
        <v>30</v>
      </c>
      <c r="H98" s="56">
        <f t="shared" si="10"/>
        <v>45107</v>
      </c>
      <c r="I98" s="57">
        <v>42.35</v>
      </c>
      <c r="J98" s="57">
        <v>254.1</v>
      </c>
      <c r="K98" s="57">
        <v>7538.17</v>
      </c>
      <c r="L98" s="57">
        <v>7707.59</v>
      </c>
      <c r="M98" s="54" t="s">
        <v>249</v>
      </c>
      <c r="N98" s="54" t="s">
        <v>79</v>
      </c>
      <c r="O98" s="54" t="s">
        <v>193</v>
      </c>
      <c r="P98" s="54" t="s">
        <v>250</v>
      </c>
    </row>
    <row r="99" spans="1:16" ht="17.45" customHeight="1" x14ac:dyDescent="0.25">
      <c r="A99" s="54" t="s">
        <v>349</v>
      </c>
      <c r="B99" s="54" t="s">
        <v>342</v>
      </c>
      <c r="C99" s="56">
        <f>DATE(2008,9,30)</f>
        <v>39721</v>
      </c>
      <c r="D99" s="56">
        <f>DATE(2008,9,30)</f>
        <v>39721</v>
      </c>
      <c r="E99" s="57">
        <v>10855.54</v>
      </c>
      <c r="F99" s="54" t="s">
        <v>191</v>
      </c>
      <c r="G99" s="58">
        <v>30</v>
      </c>
      <c r="H99" s="56">
        <f t="shared" si="10"/>
        <v>45107</v>
      </c>
      <c r="I99" s="57">
        <v>30.15</v>
      </c>
      <c r="J99" s="57">
        <v>180.9</v>
      </c>
      <c r="K99" s="57">
        <v>5337.26</v>
      </c>
      <c r="L99" s="57">
        <v>5518.28</v>
      </c>
      <c r="M99" s="54" t="s">
        <v>249</v>
      </c>
      <c r="N99" s="54" t="s">
        <v>79</v>
      </c>
      <c r="O99" s="54" t="s">
        <v>193</v>
      </c>
      <c r="P99" s="54" t="s">
        <v>250</v>
      </c>
    </row>
    <row r="100" spans="1:16" ht="17.45" customHeight="1" x14ac:dyDescent="0.25">
      <c r="A100" s="54" t="s">
        <v>350</v>
      </c>
      <c r="B100" s="54" t="s">
        <v>342</v>
      </c>
      <c r="C100" s="56">
        <f>DATE(2008,10,31)</f>
        <v>39752</v>
      </c>
      <c r="D100" s="56">
        <f>DATE(2008,10,31)</f>
        <v>39752</v>
      </c>
      <c r="E100" s="57">
        <v>13315.43</v>
      </c>
      <c r="F100" s="54" t="s">
        <v>191</v>
      </c>
      <c r="G100" s="58">
        <v>30</v>
      </c>
      <c r="H100" s="56">
        <f t="shared" si="10"/>
        <v>45107</v>
      </c>
      <c r="I100" s="57">
        <v>36.99</v>
      </c>
      <c r="J100" s="57">
        <v>221.94</v>
      </c>
      <c r="K100" s="57">
        <v>6509.83</v>
      </c>
      <c r="L100" s="57">
        <v>6805.6</v>
      </c>
      <c r="M100" s="54" t="s">
        <v>249</v>
      </c>
      <c r="N100" s="54" t="s">
        <v>79</v>
      </c>
      <c r="O100" s="54" t="s">
        <v>193</v>
      </c>
      <c r="P100" s="54" t="s">
        <v>250</v>
      </c>
    </row>
    <row r="101" spans="1:16" ht="17.45" customHeight="1" x14ac:dyDescent="0.25">
      <c r="A101" s="54" t="s">
        <v>351</v>
      </c>
      <c r="B101" s="54" t="s">
        <v>352</v>
      </c>
      <c r="C101" s="56">
        <f>DATE(2008,11,1)</f>
        <v>39753</v>
      </c>
      <c r="D101" s="56">
        <f>DATE(2008,11,1)</f>
        <v>39753</v>
      </c>
      <c r="E101" s="57">
        <v>5600</v>
      </c>
      <c r="F101" s="54" t="s">
        <v>191</v>
      </c>
      <c r="G101" s="58">
        <v>30</v>
      </c>
      <c r="H101" s="56">
        <f t="shared" si="10"/>
        <v>45107</v>
      </c>
      <c r="I101" s="57">
        <v>15.56</v>
      </c>
      <c r="J101" s="57">
        <v>93.36</v>
      </c>
      <c r="K101" s="57">
        <v>2737.85</v>
      </c>
      <c r="L101" s="57">
        <v>2862.15</v>
      </c>
      <c r="M101" s="54" t="s">
        <v>249</v>
      </c>
      <c r="N101" s="54" t="s">
        <v>79</v>
      </c>
      <c r="O101" s="54" t="s">
        <v>193</v>
      </c>
      <c r="P101" s="54" t="s">
        <v>250</v>
      </c>
    </row>
    <row r="102" spans="1:16" ht="17.45" customHeight="1" x14ac:dyDescent="0.25">
      <c r="A102" s="54" t="s">
        <v>353</v>
      </c>
      <c r="B102" s="54" t="s">
        <v>354</v>
      </c>
      <c r="C102" s="56">
        <f>DATE(2008,11,30)</f>
        <v>39782</v>
      </c>
      <c r="D102" s="56">
        <f>DATE(2008,11,30)</f>
        <v>39782</v>
      </c>
      <c r="E102" s="57">
        <v>20659.599999999999</v>
      </c>
      <c r="F102" s="54" t="s">
        <v>191</v>
      </c>
      <c r="G102" s="58">
        <v>30</v>
      </c>
      <c r="H102" s="56">
        <f t="shared" si="10"/>
        <v>45107</v>
      </c>
      <c r="I102" s="57">
        <v>57.39</v>
      </c>
      <c r="J102" s="57">
        <v>344.34</v>
      </c>
      <c r="K102" s="57">
        <v>10042.84</v>
      </c>
      <c r="L102" s="57">
        <v>10616.76</v>
      </c>
      <c r="M102" s="54" t="s">
        <v>249</v>
      </c>
      <c r="N102" s="54" t="s">
        <v>79</v>
      </c>
      <c r="O102" s="54" t="s">
        <v>193</v>
      </c>
      <c r="P102" s="54" t="s">
        <v>250</v>
      </c>
    </row>
    <row r="103" spans="1:16" ht="17.45" customHeight="1" x14ac:dyDescent="0.25">
      <c r="A103" s="54" t="s">
        <v>355</v>
      </c>
      <c r="B103" s="54" t="s">
        <v>342</v>
      </c>
      <c r="C103" s="56">
        <f>DATE(2008,12,31)</f>
        <v>39813</v>
      </c>
      <c r="D103" s="56">
        <f>DATE(2008,12,31)</f>
        <v>39813</v>
      </c>
      <c r="E103" s="57">
        <v>2400.58</v>
      </c>
      <c r="F103" s="54" t="s">
        <v>191</v>
      </c>
      <c r="G103" s="58">
        <v>30</v>
      </c>
      <c r="H103" s="56">
        <f t="shared" si="10"/>
        <v>45107</v>
      </c>
      <c r="I103" s="57">
        <v>6.67</v>
      </c>
      <c r="J103" s="57">
        <v>40.020000000000003</v>
      </c>
      <c r="K103" s="57">
        <v>1160.3</v>
      </c>
      <c r="L103" s="57">
        <v>1240.28</v>
      </c>
      <c r="M103" s="54" t="s">
        <v>249</v>
      </c>
      <c r="N103" s="54" t="s">
        <v>79</v>
      </c>
      <c r="O103" s="54" t="s">
        <v>193</v>
      </c>
      <c r="P103" s="54" t="s">
        <v>250</v>
      </c>
    </row>
    <row r="104" spans="1:16" ht="17.45" customHeight="1" x14ac:dyDescent="0.25">
      <c r="A104" s="54" t="s">
        <v>356</v>
      </c>
      <c r="B104" s="54" t="s">
        <v>357</v>
      </c>
      <c r="C104" s="56">
        <f>DATE(2009,1,1)</f>
        <v>39814</v>
      </c>
      <c r="D104" s="56">
        <f>DATE(2009,1,1)</f>
        <v>39814</v>
      </c>
      <c r="E104" s="57">
        <v>2150.98</v>
      </c>
      <c r="F104" s="54" t="s">
        <v>191</v>
      </c>
      <c r="G104" s="58">
        <v>30</v>
      </c>
      <c r="H104" s="56">
        <f t="shared" si="10"/>
        <v>45107</v>
      </c>
      <c r="I104" s="57">
        <v>5.97</v>
      </c>
      <c r="J104" s="57">
        <v>35.82</v>
      </c>
      <c r="K104" s="57">
        <v>1039.6199999999999</v>
      </c>
      <c r="L104" s="57">
        <v>1111.3599999999999</v>
      </c>
      <c r="M104" s="54" t="s">
        <v>249</v>
      </c>
      <c r="N104" s="54" t="s">
        <v>79</v>
      </c>
      <c r="O104" s="54" t="s">
        <v>193</v>
      </c>
      <c r="P104" s="54" t="s">
        <v>250</v>
      </c>
    </row>
    <row r="105" spans="1:16" ht="17.45" customHeight="1" x14ac:dyDescent="0.25">
      <c r="A105" s="54" t="s">
        <v>358</v>
      </c>
      <c r="B105" s="54" t="s">
        <v>357</v>
      </c>
      <c r="C105" s="56">
        <f>DATE(2009,2,1)</f>
        <v>39845</v>
      </c>
      <c r="D105" s="56">
        <f>DATE(2009,2,1)</f>
        <v>39845</v>
      </c>
      <c r="E105" s="57">
        <v>8490.74</v>
      </c>
      <c r="F105" s="54" t="s">
        <v>191</v>
      </c>
      <c r="G105" s="58">
        <v>30</v>
      </c>
      <c r="H105" s="56">
        <f t="shared" si="10"/>
        <v>45107</v>
      </c>
      <c r="I105" s="57">
        <v>23.59</v>
      </c>
      <c r="J105" s="57">
        <v>141.54</v>
      </c>
      <c r="K105" s="57">
        <v>4080.28</v>
      </c>
      <c r="L105" s="57">
        <v>4410.46</v>
      </c>
      <c r="M105" s="54" t="s">
        <v>249</v>
      </c>
      <c r="N105" s="54" t="s">
        <v>79</v>
      </c>
      <c r="O105" s="54" t="s">
        <v>193</v>
      </c>
      <c r="P105" s="54" t="s">
        <v>250</v>
      </c>
    </row>
    <row r="106" spans="1:16" ht="17.45" customHeight="1" x14ac:dyDescent="0.25">
      <c r="A106" s="54" t="s">
        <v>359</v>
      </c>
      <c r="B106" s="54" t="s">
        <v>357</v>
      </c>
      <c r="C106" s="56">
        <f>DATE(2009,3,1)</f>
        <v>39873</v>
      </c>
      <c r="D106" s="56">
        <f>DATE(2009,3,1)</f>
        <v>39873</v>
      </c>
      <c r="E106" s="57">
        <v>5654.2</v>
      </c>
      <c r="F106" s="54" t="s">
        <v>191</v>
      </c>
      <c r="G106" s="58">
        <v>30</v>
      </c>
      <c r="H106" s="56">
        <f t="shared" si="10"/>
        <v>45107</v>
      </c>
      <c r="I106" s="57">
        <v>15.71</v>
      </c>
      <c r="J106" s="57">
        <v>94.26</v>
      </c>
      <c r="K106" s="57">
        <v>2701.43</v>
      </c>
      <c r="L106" s="57">
        <v>2952.77</v>
      </c>
      <c r="M106" s="54" t="s">
        <v>249</v>
      </c>
      <c r="N106" s="54" t="s">
        <v>79</v>
      </c>
      <c r="O106" s="54" t="s">
        <v>193</v>
      </c>
      <c r="P106" s="54" t="s">
        <v>250</v>
      </c>
    </row>
    <row r="107" spans="1:16" ht="17.45" customHeight="1" x14ac:dyDescent="0.25">
      <c r="A107" s="54" t="s">
        <v>360</v>
      </c>
      <c r="B107" s="54" t="s">
        <v>357</v>
      </c>
      <c r="C107" s="56">
        <f>DATE(2009,4,1)</f>
        <v>39904</v>
      </c>
      <c r="D107" s="56">
        <f>DATE(2009,4,1)</f>
        <v>39904</v>
      </c>
      <c r="E107" s="57">
        <v>7018.6</v>
      </c>
      <c r="F107" s="54" t="s">
        <v>191</v>
      </c>
      <c r="G107" s="58">
        <v>30</v>
      </c>
      <c r="H107" s="56">
        <f t="shared" si="10"/>
        <v>45107</v>
      </c>
      <c r="I107" s="57">
        <v>19.5</v>
      </c>
      <c r="J107" s="57">
        <v>117</v>
      </c>
      <c r="K107" s="57">
        <v>3333.82</v>
      </c>
      <c r="L107" s="57">
        <v>3684.78</v>
      </c>
      <c r="M107" s="54" t="s">
        <v>249</v>
      </c>
      <c r="N107" s="54" t="s">
        <v>79</v>
      </c>
      <c r="O107" s="54" t="s">
        <v>193</v>
      </c>
      <c r="P107" s="54" t="s">
        <v>250</v>
      </c>
    </row>
    <row r="108" spans="1:16" ht="17.45" customHeight="1" x14ac:dyDescent="0.25">
      <c r="A108" s="54" t="s">
        <v>361</v>
      </c>
      <c r="B108" s="54" t="s">
        <v>362</v>
      </c>
      <c r="C108" s="56">
        <f>DATE(2009,5,1)</f>
        <v>39934</v>
      </c>
      <c r="D108" s="56">
        <f>DATE(2009,5,1)</f>
        <v>39934</v>
      </c>
      <c r="E108" s="57">
        <v>10758.12</v>
      </c>
      <c r="F108" s="54" t="s">
        <v>191</v>
      </c>
      <c r="G108" s="58">
        <v>30</v>
      </c>
      <c r="H108" s="56">
        <f t="shared" si="10"/>
        <v>45107</v>
      </c>
      <c r="I108" s="57">
        <v>29.88</v>
      </c>
      <c r="J108" s="57">
        <v>179.28</v>
      </c>
      <c r="K108" s="57">
        <v>5080.1499999999996</v>
      </c>
      <c r="L108" s="57">
        <v>5677.97</v>
      </c>
      <c r="M108" s="54" t="s">
        <v>249</v>
      </c>
      <c r="N108" s="54" t="s">
        <v>79</v>
      </c>
      <c r="O108" s="54" t="s">
        <v>193</v>
      </c>
      <c r="P108" s="54" t="s">
        <v>250</v>
      </c>
    </row>
    <row r="109" spans="1:16" ht="17.45" customHeight="1" x14ac:dyDescent="0.25">
      <c r="A109" s="54" t="s">
        <v>363</v>
      </c>
      <c r="B109" s="54" t="s">
        <v>364</v>
      </c>
      <c r="C109" s="56">
        <f>DATE(2009,6,1)</f>
        <v>39965</v>
      </c>
      <c r="D109" s="56">
        <f>DATE(2009,6,1)</f>
        <v>39965</v>
      </c>
      <c r="E109" s="57">
        <v>6844.12</v>
      </c>
      <c r="F109" s="54" t="s">
        <v>191</v>
      </c>
      <c r="G109" s="58">
        <v>30</v>
      </c>
      <c r="H109" s="56">
        <f t="shared" si="10"/>
        <v>45107</v>
      </c>
      <c r="I109" s="57">
        <v>19.010000000000002</v>
      </c>
      <c r="J109" s="57">
        <v>114.06</v>
      </c>
      <c r="K109" s="57">
        <v>3212.96</v>
      </c>
      <c r="L109" s="57">
        <v>3631.16</v>
      </c>
      <c r="M109" s="54" t="s">
        <v>249</v>
      </c>
      <c r="N109" s="54" t="s">
        <v>79</v>
      </c>
      <c r="O109" s="54" t="s">
        <v>193</v>
      </c>
      <c r="P109" s="54" t="s">
        <v>250</v>
      </c>
    </row>
    <row r="110" spans="1:16" ht="17.45" customHeight="1" x14ac:dyDescent="0.25">
      <c r="A110" s="54" t="s">
        <v>365</v>
      </c>
      <c r="B110" s="54" t="s">
        <v>357</v>
      </c>
      <c r="C110" s="56">
        <f>DATE(2009,7,1)</f>
        <v>39995</v>
      </c>
      <c r="D110" s="56">
        <f>DATE(2009,7,1)</f>
        <v>39995</v>
      </c>
      <c r="E110" s="57">
        <v>5829.46</v>
      </c>
      <c r="F110" s="54" t="s">
        <v>191</v>
      </c>
      <c r="G110" s="58">
        <v>30</v>
      </c>
      <c r="H110" s="56">
        <f t="shared" si="10"/>
        <v>45107</v>
      </c>
      <c r="I110" s="57">
        <v>16.190000000000001</v>
      </c>
      <c r="J110" s="57">
        <v>97.14</v>
      </c>
      <c r="K110" s="57">
        <v>2720.46</v>
      </c>
      <c r="L110" s="57">
        <v>3109</v>
      </c>
      <c r="M110" s="54" t="s">
        <v>249</v>
      </c>
      <c r="N110" s="54" t="s">
        <v>79</v>
      </c>
      <c r="O110" s="54" t="s">
        <v>193</v>
      </c>
      <c r="P110" s="54" t="s">
        <v>250</v>
      </c>
    </row>
    <row r="111" spans="1:16" ht="17.45" customHeight="1" x14ac:dyDescent="0.25">
      <c r="A111" s="54" t="s">
        <v>366</v>
      </c>
      <c r="B111" s="54" t="s">
        <v>367</v>
      </c>
      <c r="C111" s="56">
        <f>DATE(2009,8,1)</f>
        <v>40026</v>
      </c>
      <c r="D111" s="56">
        <f>DATE(2009,8,1)</f>
        <v>40026</v>
      </c>
      <c r="E111" s="57">
        <v>12191.43</v>
      </c>
      <c r="F111" s="54" t="s">
        <v>191</v>
      </c>
      <c r="G111" s="58">
        <v>30</v>
      </c>
      <c r="H111" s="56">
        <f t="shared" si="10"/>
        <v>45107</v>
      </c>
      <c r="I111" s="57">
        <v>33.869999999999997</v>
      </c>
      <c r="J111" s="57">
        <v>203.22</v>
      </c>
      <c r="K111" s="57">
        <v>5655.49</v>
      </c>
      <c r="L111" s="57">
        <v>6535.94</v>
      </c>
      <c r="M111" s="54" t="s">
        <v>249</v>
      </c>
      <c r="N111" s="54" t="s">
        <v>79</v>
      </c>
      <c r="O111" s="54" t="s">
        <v>193</v>
      </c>
      <c r="P111" s="54" t="s">
        <v>250</v>
      </c>
    </row>
    <row r="112" spans="1:16" ht="17.45" customHeight="1" x14ac:dyDescent="0.25">
      <c r="A112" s="54" t="s">
        <v>368</v>
      </c>
      <c r="B112" s="54" t="s">
        <v>357</v>
      </c>
      <c r="C112" s="56">
        <f>DATE(2009,9,1)</f>
        <v>40057</v>
      </c>
      <c r="D112" s="56">
        <f>DATE(2009,9,1)</f>
        <v>40057</v>
      </c>
      <c r="E112" s="57">
        <v>8395.36</v>
      </c>
      <c r="F112" s="54" t="s">
        <v>191</v>
      </c>
      <c r="G112" s="58">
        <v>30</v>
      </c>
      <c r="H112" s="56">
        <f t="shared" si="10"/>
        <v>45107</v>
      </c>
      <c r="I112" s="57">
        <v>23.32</v>
      </c>
      <c r="J112" s="57">
        <v>139.91999999999999</v>
      </c>
      <c r="K112" s="57">
        <v>3871.25</v>
      </c>
      <c r="L112" s="57">
        <v>4524.1099999999997</v>
      </c>
      <c r="M112" s="54" t="s">
        <v>249</v>
      </c>
      <c r="N112" s="54" t="s">
        <v>79</v>
      </c>
      <c r="O112" s="54" t="s">
        <v>193</v>
      </c>
      <c r="P112" s="54" t="s">
        <v>250</v>
      </c>
    </row>
    <row r="113" spans="1:16" ht="17.45" customHeight="1" x14ac:dyDescent="0.25">
      <c r="A113" s="54" t="s">
        <v>369</v>
      </c>
      <c r="B113" s="54" t="s">
        <v>357</v>
      </c>
      <c r="C113" s="56">
        <f>DATE(2009,10,1)</f>
        <v>40087</v>
      </c>
      <c r="D113" s="56">
        <f>DATE(2009,10,1)</f>
        <v>40087</v>
      </c>
      <c r="E113" s="57">
        <v>7142.72</v>
      </c>
      <c r="F113" s="54" t="s">
        <v>191</v>
      </c>
      <c r="G113" s="58">
        <v>30</v>
      </c>
      <c r="H113" s="56">
        <f t="shared" si="10"/>
        <v>45107</v>
      </c>
      <c r="I113" s="57">
        <v>19.84</v>
      </c>
      <c r="J113" s="57">
        <v>119.04</v>
      </c>
      <c r="K113" s="57">
        <v>3273.73</v>
      </c>
      <c r="L113" s="57">
        <v>3868.99</v>
      </c>
      <c r="M113" s="54" t="s">
        <v>249</v>
      </c>
      <c r="N113" s="54" t="s">
        <v>79</v>
      </c>
      <c r="O113" s="54" t="s">
        <v>193</v>
      </c>
      <c r="P113" s="54" t="s">
        <v>250</v>
      </c>
    </row>
    <row r="114" spans="1:16" ht="17.45" customHeight="1" x14ac:dyDescent="0.25">
      <c r="A114" s="54" t="s">
        <v>370</v>
      </c>
      <c r="B114" s="54" t="s">
        <v>342</v>
      </c>
      <c r="C114" s="56">
        <f>DATE(2009,11,1)</f>
        <v>40118</v>
      </c>
      <c r="D114" s="56">
        <f>DATE(2009,11,1)</f>
        <v>40118</v>
      </c>
      <c r="E114" s="57">
        <v>9722.7199999999993</v>
      </c>
      <c r="F114" s="54" t="s">
        <v>191</v>
      </c>
      <c r="G114" s="58">
        <v>30</v>
      </c>
      <c r="H114" s="56">
        <f t="shared" si="10"/>
        <v>45107</v>
      </c>
      <c r="I114" s="57">
        <v>27.01</v>
      </c>
      <c r="J114" s="57">
        <v>162.06</v>
      </c>
      <c r="K114" s="57">
        <v>4429.25</v>
      </c>
      <c r="L114" s="57">
        <v>5293.47</v>
      </c>
      <c r="M114" s="54" t="s">
        <v>249</v>
      </c>
      <c r="N114" s="54" t="s">
        <v>79</v>
      </c>
      <c r="O114" s="54" t="s">
        <v>193</v>
      </c>
      <c r="P114" s="54" t="s">
        <v>250</v>
      </c>
    </row>
    <row r="115" spans="1:16" ht="17.45" customHeight="1" x14ac:dyDescent="0.25">
      <c r="A115" s="54" t="s">
        <v>371</v>
      </c>
      <c r="B115" s="54" t="s">
        <v>357</v>
      </c>
      <c r="C115" s="56">
        <f>DATE(2009,12,1)</f>
        <v>40148</v>
      </c>
      <c r="D115" s="56">
        <f>DATE(2009,12,1)</f>
        <v>40148</v>
      </c>
      <c r="E115" s="57">
        <v>5236.88</v>
      </c>
      <c r="F115" s="54" t="s">
        <v>336</v>
      </c>
      <c r="G115" s="58">
        <v>30</v>
      </c>
      <c r="H115" s="56">
        <f t="shared" si="10"/>
        <v>45107</v>
      </c>
      <c r="I115" s="57">
        <v>14.87</v>
      </c>
      <c r="J115" s="57">
        <v>89.22</v>
      </c>
      <c r="K115" s="57">
        <v>2306.6999999999998</v>
      </c>
      <c r="L115" s="57">
        <v>2930.18</v>
      </c>
      <c r="M115" s="54" t="s">
        <v>249</v>
      </c>
      <c r="N115" s="54" t="s">
        <v>79</v>
      </c>
      <c r="O115" s="54" t="s">
        <v>193</v>
      </c>
      <c r="P115" s="54" t="s">
        <v>250</v>
      </c>
    </row>
    <row r="116" spans="1:16" ht="17.45" customHeight="1" x14ac:dyDescent="0.25">
      <c r="A116" s="54" t="s">
        <v>372</v>
      </c>
      <c r="B116" s="54" t="s">
        <v>357</v>
      </c>
      <c r="C116" s="56">
        <f>DATE(2010,1,1)</f>
        <v>40179</v>
      </c>
      <c r="D116" s="56">
        <f>DATE(2010,1,1)</f>
        <v>40179</v>
      </c>
      <c r="E116" s="57">
        <v>5829.58</v>
      </c>
      <c r="F116" s="54" t="s">
        <v>191</v>
      </c>
      <c r="G116" s="58">
        <v>30</v>
      </c>
      <c r="H116" s="56">
        <f t="shared" si="10"/>
        <v>45107</v>
      </c>
      <c r="I116" s="57">
        <v>16.190000000000001</v>
      </c>
      <c r="J116" s="57">
        <v>97.14</v>
      </c>
      <c r="K116" s="57">
        <v>2623.3</v>
      </c>
      <c r="L116" s="57">
        <v>3206.28</v>
      </c>
      <c r="M116" s="54" t="s">
        <v>249</v>
      </c>
      <c r="N116" s="54" t="s">
        <v>79</v>
      </c>
      <c r="O116" s="54" t="s">
        <v>193</v>
      </c>
      <c r="P116" s="54" t="s">
        <v>250</v>
      </c>
    </row>
    <row r="117" spans="1:16" ht="17.45" customHeight="1" x14ac:dyDescent="0.25">
      <c r="A117" s="54" t="s">
        <v>373</v>
      </c>
      <c r="B117" s="54" t="s">
        <v>357</v>
      </c>
      <c r="C117" s="56">
        <f>DATE(2010,2,28)</f>
        <v>40237</v>
      </c>
      <c r="D117" s="56">
        <f>DATE(2010,2,28)</f>
        <v>40237</v>
      </c>
      <c r="E117" s="57">
        <v>10215.33</v>
      </c>
      <c r="F117" s="54" t="s">
        <v>191</v>
      </c>
      <c r="G117" s="58">
        <v>30</v>
      </c>
      <c r="H117" s="56">
        <f t="shared" si="10"/>
        <v>45107</v>
      </c>
      <c r="I117" s="57">
        <v>28.38</v>
      </c>
      <c r="J117" s="57">
        <v>170.28</v>
      </c>
      <c r="K117" s="57">
        <v>4540.16</v>
      </c>
      <c r="L117" s="57">
        <v>5675.17</v>
      </c>
      <c r="M117" s="54" t="s">
        <v>249</v>
      </c>
      <c r="N117" s="54" t="s">
        <v>79</v>
      </c>
      <c r="O117" s="54" t="s">
        <v>193</v>
      </c>
      <c r="P117" s="54" t="s">
        <v>250</v>
      </c>
    </row>
    <row r="118" spans="1:16" ht="17.45" customHeight="1" x14ac:dyDescent="0.25">
      <c r="A118" s="54" t="s">
        <v>374</v>
      </c>
      <c r="B118" s="54" t="s">
        <v>357</v>
      </c>
      <c r="C118" s="56">
        <f>DATE(2010,3,31)</f>
        <v>40268</v>
      </c>
      <c r="D118" s="56">
        <f>DATE(2010,3,31)</f>
        <v>40268</v>
      </c>
      <c r="E118" s="57">
        <v>7949.38</v>
      </c>
      <c r="F118" s="54" t="s">
        <v>191</v>
      </c>
      <c r="G118" s="58">
        <v>30</v>
      </c>
      <c r="H118" s="56">
        <f t="shared" si="10"/>
        <v>45107</v>
      </c>
      <c r="I118" s="57">
        <v>22.08</v>
      </c>
      <c r="J118" s="57">
        <v>132.47999999999999</v>
      </c>
      <c r="K118" s="57">
        <v>3510.98</v>
      </c>
      <c r="L118" s="57">
        <v>4438.3999999999996</v>
      </c>
      <c r="M118" s="54" t="s">
        <v>249</v>
      </c>
      <c r="N118" s="54" t="s">
        <v>79</v>
      </c>
      <c r="O118" s="54" t="s">
        <v>193</v>
      </c>
      <c r="P118" s="54" t="s">
        <v>250</v>
      </c>
    </row>
    <row r="119" spans="1:16" ht="17.45" customHeight="1" x14ac:dyDescent="0.25">
      <c r="A119" s="54" t="s">
        <v>375</v>
      </c>
      <c r="B119" s="54" t="s">
        <v>357</v>
      </c>
      <c r="C119" s="56">
        <f>DATE(2010,4,30)</f>
        <v>40298</v>
      </c>
      <c r="D119" s="56">
        <f>DATE(2010,4,30)</f>
        <v>40298</v>
      </c>
      <c r="E119" s="57">
        <v>5261.63</v>
      </c>
      <c r="F119" s="54" t="s">
        <v>191</v>
      </c>
      <c r="G119" s="58">
        <v>30</v>
      </c>
      <c r="H119" s="56">
        <f t="shared" si="10"/>
        <v>45107</v>
      </c>
      <c r="I119" s="57">
        <v>14.62</v>
      </c>
      <c r="J119" s="57">
        <v>87.72</v>
      </c>
      <c r="K119" s="57">
        <v>2309.33</v>
      </c>
      <c r="L119" s="57">
        <v>2952.3</v>
      </c>
      <c r="M119" s="54" t="s">
        <v>249</v>
      </c>
      <c r="N119" s="54" t="s">
        <v>79</v>
      </c>
      <c r="O119" s="54" t="s">
        <v>193</v>
      </c>
      <c r="P119" s="54" t="s">
        <v>250</v>
      </c>
    </row>
    <row r="120" spans="1:16" ht="17.45" customHeight="1" x14ac:dyDescent="0.25">
      <c r="A120" s="54" t="s">
        <v>376</v>
      </c>
      <c r="B120" s="54" t="s">
        <v>357</v>
      </c>
      <c r="C120" s="56">
        <f>DATE(2010,5,31)</f>
        <v>40329</v>
      </c>
      <c r="D120" s="56">
        <f>DATE(2010,5,31)</f>
        <v>40329</v>
      </c>
      <c r="E120" s="57">
        <v>9204.6</v>
      </c>
      <c r="F120" s="54" t="s">
        <v>191</v>
      </c>
      <c r="G120" s="58">
        <v>30</v>
      </c>
      <c r="H120" s="56">
        <f t="shared" si="10"/>
        <v>45107</v>
      </c>
      <c r="I120" s="57">
        <v>25.57</v>
      </c>
      <c r="J120" s="57">
        <v>153.41999999999999</v>
      </c>
      <c r="K120" s="57">
        <v>4014.24</v>
      </c>
      <c r="L120" s="57">
        <v>5190.3599999999997</v>
      </c>
      <c r="M120" s="54" t="s">
        <v>249</v>
      </c>
      <c r="N120" s="54" t="s">
        <v>79</v>
      </c>
      <c r="O120" s="54" t="s">
        <v>193</v>
      </c>
      <c r="P120" s="54" t="s">
        <v>250</v>
      </c>
    </row>
    <row r="121" spans="1:16" ht="17.45" customHeight="1" x14ac:dyDescent="0.25">
      <c r="A121" s="54" t="s">
        <v>377</v>
      </c>
      <c r="B121" s="54" t="s">
        <v>357</v>
      </c>
      <c r="C121" s="56">
        <f>DATE(2010,5,31)</f>
        <v>40329</v>
      </c>
      <c r="D121" s="56">
        <f>DATE(2010,5,31)</f>
        <v>40329</v>
      </c>
      <c r="E121" s="57">
        <v>17057.78</v>
      </c>
      <c r="F121" s="54" t="s">
        <v>191</v>
      </c>
      <c r="G121" s="58">
        <v>30</v>
      </c>
      <c r="H121" s="56">
        <f t="shared" si="10"/>
        <v>45107</v>
      </c>
      <c r="I121" s="57">
        <v>47.38</v>
      </c>
      <c r="J121" s="57">
        <v>284.27999999999997</v>
      </c>
      <c r="K121" s="57">
        <v>7439.04</v>
      </c>
      <c r="L121" s="57">
        <v>9618.74</v>
      </c>
      <c r="M121" s="54" t="s">
        <v>249</v>
      </c>
      <c r="N121" s="54" t="s">
        <v>79</v>
      </c>
      <c r="O121" s="54" t="s">
        <v>193</v>
      </c>
      <c r="P121" s="54" t="s">
        <v>250</v>
      </c>
    </row>
    <row r="122" spans="1:16" ht="17.45" customHeight="1" x14ac:dyDescent="0.25">
      <c r="A122" s="54" t="s">
        <v>378</v>
      </c>
      <c r="B122" s="54" t="s">
        <v>357</v>
      </c>
      <c r="C122" s="56">
        <f>DATE(2010,6,30)</f>
        <v>40359</v>
      </c>
      <c r="D122" s="56">
        <f>DATE(2010,6,30)</f>
        <v>40359</v>
      </c>
      <c r="E122" s="57">
        <v>9906.07</v>
      </c>
      <c r="F122" s="54" t="s">
        <v>191</v>
      </c>
      <c r="G122" s="58">
        <v>30</v>
      </c>
      <c r="H122" s="56">
        <f t="shared" si="10"/>
        <v>45107</v>
      </c>
      <c r="I122" s="57">
        <v>27.52</v>
      </c>
      <c r="J122" s="57">
        <v>165.12</v>
      </c>
      <c r="K122" s="57">
        <v>4292.62</v>
      </c>
      <c r="L122" s="57">
        <v>5613.45</v>
      </c>
      <c r="M122" s="54" t="s">
        <v>249</v>
      </c>
      <c r="N122" s="54" t="s">
        <v>79</v>
      </c>
      <c r="O122" s="54" t="s">
        <v>193</v>
      </c>
      <c r="P122" s="54" t="s">
        <v>250</v>
      </c>
    </row>
    <row r="123" spans="1:16" ht="17.45" customHeight="1" x14ac:dyDescent="0.25">
      <c r="A123" s="54" t="s">
        <v>379</v>
      </c>
      <c r="B123" s="54" t="s">
        <v>357</v>
      </c>
      <c r="C123" s="56">
        <f>DATE(2010,7,30)</f>
        <v>40389</v>
      </c>
      <c r="D123" s="56">
        <f>DATE(2010,7,30)</f>
        <v>40389</v>
      </c>
      <c r="E123" s="57">
        <v>3855</v>
      </c>
      <c r="F123" s="54" t="s">
        <v>191</v>
      </c>
      <c r="G123" s="58">
        <v>30</v>
      </c>
      <c r="H123" s="56">
        <f t="shared" si="10"/>
        <v>45107</v>
      </c>
      <c r="I123" s="57">
        <v>10.71</v>
      </c>
      <c r="J123" s="57">
        <v>64.260000000000005</v>
      </c>
      <c r="K123" s="57">
        <v>1659.8</v>
      </c>
      <c r="L123" s="57">
        <v>2195.1999999999998</v>
      </c>
      <c r="M123" s="54" t="s">
        <v>249</v>
      </c>
      <c r="N123" s="54" t="s">
        <v>79</v>
      </c>
      <c r="O123" s="54" t="s">
        <v>193</v>
      </c>
      <c r="P123" s="54" t="s">
        <v>250</v>
      </c>
    </row>
    <row r="124" spans="1:16" ht="17.45" customHeight="1" x14ac:dyDescent="0.25">
      <c r="A124" s="54" t="s">
        <v>380</v>
      </c>
      <c r="B124" s="54" t="s">
        <v>357</v>
      </c>
      <c r="C124" s="56">
        <f>DATE(2010,8,31)</f>
        <v>40421</v>
      </c>
      <c r="D124" s="56">
        <f>DATE(2010,8,31)</f>
        <v>40421</v>
      </c>
      <c r="E124" s="57">
        <v>12064.93</v>
      </c>
      <c r="F124" s="54" t="s">
        <v>191</v>
      </c>
      <c r="G124" s="58">
        <v>30</v>
      </c>
      <c r="H124" s="56">
        <f t="shared" si="10"/>
        <v>45107</v>
      </c>
      <c r="I124" s="57">
        <v>33.51</v>
      </c>
      <c r="J124" s="57">
        <v>201.06</v>
      </c>
      <c r="K124" s="57">
        <v>5161.07</v>
      </c>
      <c r="L124" s="57">
        <v>6903.86</v>
      </c>
      <c r="M124" s="54" t="s">
        <v>249</v>
      </c>
      <c r="N124" s="54" t="s">
        <v>79</v>
      </c>
      <c r="O124" s="54" t="s">
        <v>193</v>
      </c>
      <c r="P124" s="54" t="s">
        <v>250</v>
      </c>
    </row>
    <row r="125" spans="1:16" ht="17.45" customHeight="1" x14ac:dyDescent="0.25">
      <c r="A125" s="54" t="s">
        <v>381</v>
      </c>
      <c r="B125" s="54" t="s">
        <v>357</v>
      </c>
      <c r="C125" s="56">
        <f>DATE(2010,9,30)</f>
        <v>40451</v>
      </c>
      <c r="D125" s="56">
        <f>DATE(2010,9,30)</f>
        <v>40451</v>
      </c>
      <c r="E125" s="57">
        <v>13776.67</v>
      </c>
      <c r="F125" s="54" t="s">
        <v>191</v>
      </c>
      <c r="G125" s="58">
        <v>30</v>
      </c>
      <c r="H125" s="56">
        <f t="shared" si="10"/>
        <v>45107</v>
      </c>
      <c r="I125" s="57">
        <v>38.270000000000003</v>
      </c>
      <c r="J125" s="57">
        <v>229.62</v>
      </c>
      <c r="K125" s="57">
        <v>5855.08</v>
      </c>
      <c r="L125" s="57">
        <v>7921.59</v>
      </c>
      <c r="M125" s="54" t="s">
        <v>249</v>
      </c>
      <c r="N125" s="54" t="s">
        <v>79</v>
      </c>
      <c r="O125" s="54" t="s">
        <v>193</v>
      </c>
      <c r="P125" s="54" t="s">
        <v>250</v>
      </c>
    </row>
    <row r="126" spans="1:16" ht="17.45" customHeight="1" x14ac:dyDescent="0.25">
      <c r="A126" s="54" t="s">
        <v>382</v>
      </c>
      <c r="B126" s="54" t="s">
        <v>357</v>
      </c>
      <c r="C126" s="56">
        <f>DATE(2010,10,31)</f>
        <v>40482</v>
      </c>
      <c r="D126" s="56">
        <f>DATE(2010,10,31)</f>
        <v>40482</v>
      </c>
      <c r="E126" s="57">
        <v>11743.6</v>
      </c>
      <c r="F126" s="54" t="s">
        <v>191</v>
      </c>
      <c r="G126" s="58">
        <v>30</v>
      </c>
      <c r="H126" s="56">
        <f t="shared" si="10"/>
        <v>45107</v>
      </c>
      <c r="I126" s="57">
        <v>32.619999999999997</v>
      </c>
      <c r="J126" s="57">
        <v>195.72</v>
      </c>
      <c r="K126" s="57">
        <v>4958.3599999999997</v>
      </c>
      <c r="L126" s="57">
        <v>6785.24</v>
      </c>
      <c r="M126" s="54" t="s">
        <v>249</v>
      </c>
      <c r="N126" s="54" t="s">
        <v>79</v>
      </c>
      <c r="O126" s="54" t="s">
        <v>193</v>
      </c>
      <c r="P126" s="54" t="s">
        <v>250</v>
      </c>
    </row>
    <row r="127" spans="1:16" ht="17.45" customHeight="1" x14ac:dyDescent="0.25">
      <c r="A127" s="54" t="s">
        <v>383</v>
      </c>
      <c r="B127" s="54" t="s">
        <v>357</v>
      </c>
      <c r="C127" s="56">
        <f>DATE(2010,11,30)</f>
        <v>40512</v>
      </c>
      <c r="D127" s="56">
        <f>DATE(2010,11,30)</f>
        <v>40512</v>
      </c>
      <c r="E127" s="57">
        <v>6510.3</v>
      </c>
      <c r="F127" s="54" t="s">
        <v>191</v>
      </c>
      <c r="G127" s="58">
        <v>30</v>
      </c>
      <c r="H127" s="56">
        <f t="shared" si="10"/>
        <v>45107</v>
      </c>
      <c r="I127" s="57">
        <v>18.079999999999998</v>
      </c>
      <c r="J127" s="57">
        <v>108.48</v>
      </c>
      <c r="K127" s="57">
        <v>2730.7</v>
      </c>
      <c r="L127" s="57">
        <v>3779.6</v>
      </c>
      <c r="M127" s="54" t="s">
        <v>249</v>
      </c>
      <c r="N127" s="54" t="s">
        <v>79</v>
      </c>
      <c r="O127" s="54" t="s">
        <v>193</v>
      </c>
      <c r="P127" s="54" t="s">
        <v>250</v>
      </c>
    </row>
    <row r="128" spans="1:16" ht="17.45" customHeight="1" x14ac:dyDescent="0.25">
      <c r="A128" s="54" t="s">
        <v>384</v>
      </c>
      <c r="B128" s="54" t="s">
        <v>357</v>
      </c>
      <c r="C128" s="56">
        <f>DATE(2010,12,31)</f>
        <v>40543</v>
      </c>
      <c r="D128" s="56">
        <f>DATE(2010,12,31)</f>
        <v>40543</v>
      </c>
      <c r="E128" s="57">
        <v>10018.44</v>
      </c>
      <c r="F128" s="54" t="s">
        <v>191</v>
      </c>
      <c r="G128" s="58">
        <v>30</v>
      </c>
      <c r="H128" s="56">
        <f t="shared" si="10"/>
        <v>45107</v>
      </c>
      <c r="I128" s="57">
        <v>27.83</v>
      </c>
      <c r="J128" s="57">
        <v>166.98</v>
      </c>
      <c r="K128" s="57">
        <v>4174.38</v>
      </c>
      <c r="L128" s="57">
        <v>5844.06</v>
      </c>
      <c r="M128" s="54" t="s">
        <v>249</v>
      </c>
      <c r="N128" s="54" t="s">
        <v>79</v>
      </c>
      <c r="O128" s="54" t="s">
        <v>193</v>
      </c>
      <c r="P128" s="54" t="s">
        <v>250</v>
      </c>
    </row>
    <row r="129" spans="1:16" ht="17.45" customHeight="1" x14ac:dyDescent="0.25">
      <c r="A129" s="54" t="s">
        <v>385</v>
      </c>
      <c r="B129" s="54" t="s">
        <v>357</v>
      </c>
      <c r="C129" s="56">
        <f>DATE(2011,1,31)</f>
        <v>40574</v>
      </c>
      <c r="D129" s="56">
        <f>DATE(2011,1,31)</f>
        <v>40574</v>
      </c>
      <c r="E129" s="57">
        <v>4497.5</v>
      </c>
      <c r="F129" s="54" t="s">
        <v>191</v>
      </c>
      <c r="G129" s="58">
        <v>30</v>
      </c>
      <c r="H129" s="56">
        <f t="shared" si="10"/>
        <v>45107</v>
      </c>
      <c r="I129" s="57">
        <v>12.49</v>
      </c>
      <c r="J129" s="57">
        <v>74.94</v>
      </c>
      <c r="K129" s="57">
        <v>1861.48</v>
      </c>
      <c r="L129" s="57">
        <v>2636.02</v>
      </c>
      <c r="M129" s="54" t="s">
        <v>249</v>
      </c>
      <c r="N129" s="54" t="s">
        <v>79</v>
      </c>
      <c r="O129" s="54" t="s">
        <v>193</v>
      </c>
      <c r="P129" s="54" t="s">
        <v>250</v>
      </c>
    </row>
    <row r="130" spans="1:16" ht="17.45" customHeight="1" x14ac:dyDescent="0.25">
      <c r="A130" s="54" t="s">
        <v>386</v>
      </c>
      <c r="B130" s="54" t="s">
        <v>357</v>
      </c>
      <c r="C130" s="56">
        <f>DATE(2011,2,28)</f>
        <v>40602</v>
      </c>
      <c r="D130" s="56">
        <f>DATE(2011,2,28)</f>
        <v>40602</v>
      </c>
      <c r="E130" s="57">
        <v>3911</v>
      </c>
      <c r="F130" s="54" t="s">
        <v>191</v>
      </c>
      <c r="G130" s="58">
        <v>30</v>
      </c>
      <c r="H130" s="56">
        <f t="shared" si="10"/>
        <v>45107</v>
      </c>
      <c r="I130" s="57">
        <v>10.86</v>
      </c>
      <c r="J130" s="57">
        <v>65.16</v>
      </c>
      <c r="K130" s="57">
        <v>1607.87</v>
      </c>
      <c r="L130" s="57">
        <v>2303.13</v>
      </c>
      <c r="M130" s="54" t="s">
        <v>249</v>
      </c>
      <c r="N130" s="54" t="s">
        <v>79</v>
      </c>
      <c r="O130" s="54" t="s">
        <v>193</v>
      </c>
      <c r="P130" s="54" t="s">
        <v>250</v>
      </c>
    </row>
    <row r="131" spans="1:16" ht="17.45" customHeight="1" x14ac:dyDescent="0.25">
      <c r="A131" s="54" t="s">
        <v>387</v>
      </c>
      <c r="B131" s="54" t="s">
        <v>357</v>
      </c>
      <c r="C131" s="56">
        <f>DATE(2011,3,31)</f>
        <v>40633</v>
      </c>
      <c r="D131" s="56">
        <f>DATE(2011,3,31)</f>
        <v>40633</v>
      </c>
      <c r="E131" s="57">
        <v>5379.26</v>
      </c>
      <c r="F131" s="54" t="s">
        <v>191</v>
      </c>
      <c r="G131" s="58">
        <v>30</v>
      </c>
      <c r="H131" s="56">
        <f t="shared" si="10"/>
        <v>45107</v>
      </c>
      <c r="I131" s="57">
        <v>14.94</v>
      </c>
      <c r="J131" s="57">
        <v>89.64</v>
      </c>
      <c r="K131" s="57">
        <v>2196.5300000000002</v>
      </c>
      <c r="L131" s="57">
        <v>3182.73</v>
      </c>
      <c r="M131" s="54" t="s">
        <v>249</v>
      </c>
      <c r="N131" s="54" t="s">
        <v>79</v>
      </c>
      <c r="O131" s="54" t="s">
        <v>193</v>
      </c>
      <c r="P131" s="54" t="s">
        <v>250</v>
      </c>
    </row>
    <row r="132" spans="1:16" ht="17.45" customHeight="1" x14ac:dyDescent="0.25">
      <c r="A132" s="54" t="s">
        <v>388</v>
      </c>
      <c r="B132" s="54" t="s">
        <v>357</v>
      </c>
      <c r="C132" s="56">
        <f>DATE(2011,4,30)</f>
        <v>40663</v>
      </c>
      <c r="D132" s="56">
        <f>DATE(2011,4,30)</f>
        <v>40663</v>
      </c>
      <c r="E132" s="57">
        <v>783.29</v>
      </c>
      <c r="F132" s="54" t="s">
        <v>191</v>
      </c>
      <c r="G132" s="58">
        <v>30</v>
      </c>
      <c r="H132" s="56">
        <f t="shared" si="10"/>
        <v>45107</v>
      </c>
      <c r="I132" s="57">
        <v>2.1800000000000002</v>
      </c>
      <c r="J132" s="57">
        <v>13.08</v>
      </c>
      <c r="K132" s="57">
        <v>317.7</v>
      </c>
      <c r="L132" s="57">
        <v>465.59</v>
      </c>
      <c r="M132" s="54" t="s">
        <v>249</v>
      </c>
      <c r="N132" s="54" t="s">
        <v>79</v>
      </c>
      <c r="O132" s="54" t="s">
        <v>193</v>
      </c>
      <c r="P132" s="54" t="s">
        <v>250</v>
      </c>
    </row>
    <row r="133" spans="1:16" ht="17.45" customHeight="1" x14ac:dyDescent="0.25">
      <c r="A133" s="54" t="s">
        <v>389</v>
      </c>
      <c r="B133" s="54" t="s">
        <v>357</v>
      </c>
      <c r="C133" s="56">
        <f>DATE(2011,5,31)</f>
        <v>40694</v>
      </c>
      <c r="D133" s="56">
        <f>DATE(2011,5,31)</f>
        <v>40694</v>
      </c>
      <c r="E133" s="57">
        <v>9803.2099999999991</v>
      </c>
      <c r="F133" s="54" t="s">
        <v>191</v>
      </c>
      <c r="G133" s="58">
        <v>30</v>
      </c>
      <c r="H133" s="56">
        <f t="shared" si="10"/>
        <v>45107</v>
      </c>
      <c r="I133" s="57">
        <v>27.23</v>
      </c>
      <c r="J133" s="57">
        <v>163.38</v>
      </c>
      <c r="K133" s="57">
        <v>3948.47</v>
      </c>
      <c r="L133" s="57">
        <v>5854.74</v>
      </c>
      <c r="M133" s="54" t="s">
        <v>249</v>
      </c>
      <c r="N133" s="54" t="s">
        <v>79</v>
      </c>
      <c r="O133" s="54" t="s">
        <v>193</v>
      </c>
      <c r="P133" s="54" t="s">
        <v>250</v>
      </c>
    </row>
    <row r="134" spans="1:16" ht="17.45" customHeight="1" x14ac:dyDescent="0.25">
      <c r="A134" s="54" t="s">
        <v>390</v>
      </c>
      <c r="B134" s="54" t="s">
        <v>357</v>
      </c>
      <c r="C134" s="56">
        <f>DATE(2011,6,30)</f>
        <v>40724</v>
      </c>
      <c r="D134" s="56">
        <f>DATE(2011,6,30)</f>
        <v>40724</v>
      </c>
      <c r="E134" s="57">
        <v>9881.39</v>
      </c>
      <c r="F134" s="54" t="s">
        <v>191</v>
      </c>
      <c r="G134" s="58">
        <v>30</v>
      </c>
      <c r="H134" s="56">
        <f t="shared" si="10"/>
        <v>45107</v>
      </c>
      <c r="I134" s="57">
        <v>27.45</v>
      </c>
      <c r="J134" s="57">
        <v>164.7</v>
      </c>
      <c r="K134" s="57">
        <v>3952.57</v>
      </c>
      <c r="L134" s="57">
        <v>5928.82</v>
      </c>
      <c r="M134" s="54" t="s">
        <v>249</v>
      </c>
      <c r="N134" s="54" t="s">
        <v>79</v>
      </c>
      <c r="O134" s="54" t="s">
        <v>193</v>
      </c>
      <c r="P134" s="54" t="s">
        <v>250</v>
      </c>
    </row>
    <row r="135" spans="1:16" ht="17.45" customHeight="1" x14ac:dyDescent="0.25">
      <c r="A135" s="54" t="s">
        <v>391</v>
      </c>
      <c r="B135" s="54" t="s">
        <v>357</v>
      </c>
      <c r="C135" s="56">
        <f>DATE(2011,7,31)</f>
        <v>40755</v>
      </c>
      <c r="D135" s="56">
        <f>DATE(2011,7,31)</f>
        <v>40755</v>
      </c>
      <c r="E135" s="57">
        <v>7576.9</v>
      </c>
      <c r="F135" s="54" t="s">
        <v>191</v>
      </c>
      <c r="G135" s="58">
        <v>30</v>
      </c>
      <c r="H135" s="56">
        <f t="shared" si="10"/>
        <v>45107</v>
      </c>
      <c r="I135" s="57">
        <v>21.05</v>
      </c>
      <c r="J135" s="57">
        <v>126.3</v>
      </c>
      <c r="K135" s="57">
        <v>3009.7</v>
      </c>
      <c r="L135" s="57">
        <v>4567.2</v>
      </c>
      <c r="M135" s="54" t="s">
        <v>249</v>
      </c>
      <c r="N135" s="54" t="s">
        <v>79</v>
      </c>
      <c r="O135" s="54" t="s">
        <v>193</v>
      </c>
      <c r="P135" s="54" t="s">
        <v>250</v>
      </c>
    </row>
    <row r="136" spans="1:16" ht="17.45" customHeight="1" x14ac:dyDescent="0.25">
      <c r="A136" s="54" t="s">
        <v>392</v>
      </c>
      <c r="B136" s="54" t="s">
        <v>357</v>
      </c>
      <c r="C136" s="56">
        <f>DATE(2011,8,31)</f>
        <v>40786</v>
      </c>
      <c r="D136" s="56">
        <f>DATE(2011,8,31)</f>
        <v>40786</v>
      </c>
      <c r="E136" s="57">
        <v>4537.5200000000004</v>
      </c>
      <c r="F136" s="54" t="s">
        <v>191</v>
      </c>
      <c r="G136" s="58">
        <v>30</v>
      </c>
      <c r="H136" s="56">
        <f t="shared" si="10"/>
        <v>45107</v>
      </c>
      <c r="I136" s="57">
        <v>12.6</v>
      </c>
      <c r="J136" s="57">
        <v>75.599999999999994</v>
      </c>
      <c r="K136" s="57">
        <v>1789.77</v>
      </c>
      <c r="L136" s="57">
        <v>2747.75</v>
      </c>
      <c r="M136" s="54" t="s">
        <v>249</v>
      </c>
      <c r="N136" s="54" t="s">
        <v>79</v>
      </c>
      <c r="O136" s="54" t="s">
        <v>193</v>
      </c>
      <c r="P136" s="54" t="s">
        <v>250</v>
      </c>
    </row>
    <row r="137" spans="1:16" ht="17.45" customHeight="1" x14ac:dyDescent="0.25">
      <c r="A137" s="54" t="s">
        <v>393</v>
      </c>
      <c r="B137" s="54" t="s">
        <v>394</v>
      </c>
      <c r="C137" s="56">
        <f>DATE(2011,9,30)</f>
        <v>40816</v>
      </c>
      <c r="D137" s="56">
        <f>DATE(2011,9,30)</f>
        <v>40816</v>
      </c>
      <c r="E137" s="57">
        <v>2551.13</v>
      </c>
      <c r="F137" s="54" t="s">
        <v>191</v>
      </c>
      <c r="G137" s="58">
        <v>30</v>
      </c>
      <c r="H137" s="56">
        <f t="shared" si="10"/>
        <v>45107</v>
      </c>
      <c r="I137" s="57">
        <v>7.09</v>
      </c>
      <c r="J137" s="57">
        <v>42.54</v>
      </c>
      <c r="K137" s="57">
        <v>999.24</v>
      </c>
      <c r="L137" s="57">
        <v>1551.89</v>
      </c>
      <c r="M137" s="54" t="s">
        <v>249</v>
      </c>
      <c r="N137" s="54" t="s">
        <v>79</v>
      </c>
      <c r="O137" s="54" t="s">
        <v>193</v>
      </c>
      <c r="P137" s="54" t="s">
        <v>250</v>
      </c>
    </row>
    <row r="138" spans="1:16" ht="17.45" customHeight="1" x14ac:dyDescent="0.25">
      <c r="A138" s="54" t="s">
        <v>395</v>
      </c>
      <c r="B138" s="54" t="s">
        <v>357</v>
      </c>
      <c r="C138" s="56">
        <f>DATE(2011,9,30)</f>
        <v>40816</v>
      </c>
      <c r="D138" s="56">
        <f>DATE(2011,9,30)</f>
        <v>40816</v>
      </c>
      <c r="E138" s="57">
        <v>6070.32</v>
      </c>
      <c r="F138" s="54" t="s">
        <v>191</v>
      </c>
      <c r="G138" s="58">
        <v>30</v>
      </c>
      <c r="H138" s="56">
        <f t="shared" si="10"/>
        <v>45107</v>
      </c>
      <c r="I138" s="57">
        <v>16.86</v>
      </c>
      <c r="J138" s="57">
        <v>101.16</v>
      </c>
      <c r="K138" s="57">
        <v>2377.4899999999998</v>
      </c>
      <c r="L138" s="57">
        <v>3692.83</v>
      </c>
      <c r="M138" s="54" t="s">
        <v>249</v>
      </c>
      <c r="N138" s="54" t="s">
        <v>79</v>
      </c>
      <c r="O138" s="54" t="s">
        <v>193</v>
      </c>
      <c r="P138" s="54" t="s">
        <v>250</v>
      </c>
    </row>
    <row r="139" spans="1:16" ht="17.45" customHeight="1" x14ac:dyDescent="0.25">
      <c r="A139" s="54" t="s">
        <v>396</v>
      </c>
      <c r="B139" s="54" t="s">
        <v>397</v>
      </c>
      <c r="C139" s="56">
        <f>DATE(2011,10,31)</f>
        <v>40847</v>
      </c>
      <c r="D139" s="56">
        <f>DATE(2011,10,31)</f>
        <v>40847</v>
      </c>
      <c r="E139" s="57">
        <v>3079.22</v>
      </c>
      <c r="F139" s="54" t="s">
        <v>191</v>
      </c>
      <c r="G139" s="58">
        <v>30</v>
      </c>
      <c r="H139" s="56">
        <f t="shared" si="10"/>
        <v>45107</v>
      </c>
      <c r="I139" s="57">
        <v>8.5500000000000007</v>
      </c>
      <c r="J139" s="57">
        <v>51.3</v>
      </c>
      <c r="K139" s="57">
        <v>1197.45</v>
      </c>
      <c r="L139" s="57">
        <v>1881.77</v>
      </c>
      <c r="M139" s="54" t="s">
        <v>249</v>
      </c>
      <c r="N139" s="54" t="s">
        <v>79</v>
      </c>
      <c r="O139" s="54" t="s">
        <v>193</v>
      </c>
      <c r="P139" s="54" t="s">
        <v>250</v>
      </c>
    </row>
    <row r="140" spans="1:16" ht="17.45" customHeight="1" x14ac:dyDescent="0.25">
      <c r="A140" s="54" t="s">
        <v>398</v>
      </c>
      <c r="B140" s="54" t="s">
        <v>357</v>
      </c>
      <c r="C140" s="56">
        <f>DATE(2011,10,31)</f>
        <v>40847</v>
      </c>
      <c r="D140" s="56">
        <f>DATE(2011,10,31)</f>
        <v>40847</v>
      </c>
      <c r="E140" s="57">
        <v>5140</v>
      </c>
      <c r="F140" s="54" t="s">
        <v>191</v>
      </c>
      <c r="G140" s="58">
        <v>30</v>
      </c>
      <c r="H140" s="56">
        <f t="shared" si="10"/>
        <v>45107</v>
      </c>
      <c r="I140" s="57">
        <v>14.28</v>
      </c>
      <c r="J140" s="57">
        <v>85.68</v>
      </c>
      <c r="K140" s="57">
        <v>1998.87</v>
      </c>
      <c r="L140" s="57">
        <v>3141.13</v>
      </c>
      <c r="M140" s="54" t="s">
        <v>249</v>
      </c>
      <c r="N140" s="54" t="s">
        <v>79</v>
      </c>
      <c r="O140" s="54" t="s">
        <v>193</v>
      </c>
      <c r="P140" s="54" t="s">
        <v>250</v>
      </c>
    </row>
    <row r="141" spans="1:16" ht="17.45" customHeight="1" x14ac:dyDescent="0.25">
      <c r="A141" s="54" t="s">
        <v>399</v>
      </c>
      <c r="B141" s="54" t="s">
        <v>357</v>
      </c>
      <c r="C141" s="56">
        <f>DATE(2011,11,30)</f>
        <v>40877</v>
      </c>
      <c r="D141" s="56">
        <f>DATE(2011,11,30)</f>
        <v>40877</v>
      </c>
      <c r="E141" s="57">
        <v>2700.72</v>
      </c>
      <c r="F141" s="54" t="s">
        <v>191</v>
      </c>
      <c r="G141" s="58">
        <v>30</v>
      </c>
      <c r="H141" s="56">
        <f t="shared" si="10"/>
        <v>45107</v>
      </c>
      <c r="I141" s="57">
        <v>7.5</v>
      </c>
      <c r="J141" s="57">
        <v>45</v>
      </c>
      <c r="K141" s="57">
        <v>1042.72</v>
      </c>
      <c r="L141" s="57">
        <v>1658</v>
      </c>
      <c r="M141" s="54" t="s">
        <v>249</v>
      </c>
      <c r="N141" s="54" t="s">
        <v>79</v>
      </c>
      <c r="O141" s="54" t="s">
        <v>193</v>
      </c>
      <c r="P141" s="54" t="s">
        <v>250</v>
      </c>
    </row>
    <row r="142" spans="1:16" ht="17.45" customHeight="1" x14ac:dyDescent="0.25">
      <c r="A142" s="54" t="s">
        <v>400</v>
      </c>
      <c r="B142" s="54" t="s">
        <v>357</v>
      </c>
      <c r="C142" s="56">
        <f>DATE(2011,12,31)</f>
        <v>40908</v>
      </c>
      <c r="D142" s="56">
        <f>DATE(2011,12,31)</f>
        <v>40908</v>
      </c>
      <c r="E142" s="57">
        <v>5967.7</v>
      </c>
      <c r="F142" s="54" t="s">
        <v>191</v>
      </c>
      <c r="G142" s="58">
        <v>30</v>
      </c>
      <c r="H142" s="56">
        <f t="shared" ref="H142:H176" si="13">DATE(2023,6,30)</f>
        <v>45107</v>
      </c>
      <c r="I142" s="57">
        <v>16.579999999999998</v>
      </c>
      <c r="J142" s="57">
        <v>99.48</v>
      </c>
      <c r="K142" s="57">
        <v>2287.6</v>
      </c>
      <c r="L142" s="57">
        <v>3680.1</v>
      </c>
      <c r="M142" s="54" t="s">
        <v>249</v>
      </c>
      <c r="N142" s="54" t="s">
        <v>79</v>
      </c>
      <c r="O142" s="54" t="s">
        <v>193</v>
      </c>
      <c r="P142" s="54" t="s">
        <v>250</v>
      </c>
    </row>
    <row r="143" spans="1:16" ht="17.45" customHeight="1" x14ac:dyDescent="0.25">
      <c r="A143" s="54" t="s">
        <v>401</v>
      </c>
      <c r="B143" s="54" t="s">
        <v>357</v>
      </c>
      <c r="C143" s="56">
        <f>DATE(2012,1,31)</f>
        <v>40939</v>
      </c>
      <c r="D143" s="56">
        <f>DATE(2012,1,31)</f>
        <v>40939</v>
      </c>
      <c r="E143" s="57">
        <v>2570</v>
      </c>
      <c r="F143" s="54" t="s">
        <v>191</v>
      </c>
      <c r="G143" s="58">
        <v>30</v>
      </c>
      <c r="H143" s="56">
        <f t="shared" si="13"/>
        <v>45107</v>
      </c>
      <c r="I143" s="57">
        <v>7.14</v>
      </c>
      <c r="J143" s="57">
        <v>42.84</v>
      </c>
      <c r="K143" s="57">
        <v>978.07</v>
      </c>
      <c r="L143" s="57">
        <v>1591.93</v>
      </c>
      <c r="M143" s="54" t="s">
        <v>249</v>
      </c>
      <c r="N143" s="54" t="s">
        <v>79</v>
      </c>
      <c r="O143" s="54" t="s">
        <v>193</v>
      </c>
      <c r="P143" s="54" t="s">
        <v>250</v>
      </c>
    </row>
    <row r="144" spans="1:16" ht="17.45" customHeight="1" x14ac:dyDescent="0.25">
      <c r="A144" s="54" t="s">
        <v>402</v>
      </c>
      <c r="B144" s="54" t="s">
        <v>357</v>
      </c>
      <c r="C144" s="56">
        <f>DATE(2012,2,29)</f>
        <v>40968</v>
      </c>
      <c r="D144" s="56">
        <f>DATE(2012,2,29)</f>
        <v>40968</v>
      </c>
      <c r="E144" s="57">
        <v>1619</v>
      </c>
      <c r="F144" s="54" t="s">
        <v>191</v>
      </c>
      <c r="G144" s="58">
        <v>30</v>
      </c>
      <c r="H144" s="56">
        <f t="shared" si="13"/>
        <v>45107</v>
      </c>
      <c r="I144" s="57">
        <v>4.5</v>
      </c>
      <c r="J144" s="57">
        <v>27</v>
      </c>
      <c r="K144" s="57">
        <v>611.66999999999996</v>
      </c>
      <c r="L144" s="57">
        <v>1007.33</v>
      </c>
      <c r="M144" s="54" t="s">
        <v>249</v>
      </c>
      <c r="N144" s="54" t="s">
        <v>79</v>
      </c>
      <c r="O144" s="54" t="s">
        <v>193</v>
      </c>
      <c r="P144" s="54" t="s">
        <v>250</v>
      </c>
    </row>
    <row r="145" spans="1:16" ht="17.45" customHeight="1" x14ac:dyDescent="0.25">
      <c r="A145" s="54" t="s">
        <v>403</v>
      </c>
      <c r="B145" s="54" t="s">
        <v>357</v>
      </c>
      <c r="C145" s="56">
        <f>DATE(2012,3,31)</f>
        <v>40999</v>
      </c>
      <c r="D145" s="56">
        <f>DATE(2012,3,31)</f>
        <v>40999</v>
      </c>
      <c r="E145" s="57">
        <v>1729.37</v>
      </c>
      <c r="F145" s="54" t="s">
        <v>191</v>
      </c>
      <c r="G145" s="58">
        <v>30</v>
      </c>
      <c r="H145" s="56">
        <f t="shared" si="13"/>
        <v>45107</v>
      </c>
      <c r="I145" s="57">
        <v>4.8</v>
      </c>
      <c r="J145" s="57">
        <v>28.8</v>
      </c>
      <c r="K145" s="57">
        <v>648.54</v>
      </c>
      <c r="L145" s="57">
        <v>1080.83</v>
      </c>
      <c r="M145" s="54" t="s">
        <v>249</v>
      </c>
      <c r="N145" s="54" t="s">
        <v>79</v>
      </c>
      <c r="O145" s="54" t="s">
        <v>193</v>
      </c>
      <c r="P145" s="54" t="s">
        <v>250</v>
      </c>
    </row>
    <row r="146" spans="1:16" ht="17.45" customHeight="1" x14ac:dyDescent="0.25">
      <c r="A146" s="54" t="s">
        <v>404</v>
      </c>
      <c r="B146" s="54" t="s">
        <v>405</v>
      </c>
      <c r="C146" s="56">
        <f>DATE(2012,4,30)</f>
        <v>41029</v>
      </c>
      <c r="D146" s="56">
        <f>DATE(2012,4,30)</f>
        <v>41029</v>
      </c>
      <c r="E146" s="57">
        <v>5402.5</v>
      </c>
      <c r="F146" s="54" t="s">
        <v>191</v>
      </c>
      <c r="G146" s="58">
        <v>30</v>
      </c>
      <c r="H146" s="56">
        <f t="shared" si="13"/>
        <v>45107</v>
      </c>
      <c r="I146" s="57">
        <v>15.01</v>
      </c>
      <c r="J146" s="57">
        <v>90.06</v>
      </c>
      <c r="K146" s="57">
        <v>2010.92</v>
      </c>
      <c r="L146" s="57">
        <v>3391.58</v>
      </c>
      <c r="M146" s="54" t="s">
        <v>249</v>
      </c>
      <c r="N146" s="54" t="s">
        <v>79</v>
      </c>
      <c r="O146" s="54" t="s">
        <v>193</v>
      </c>
      <c r="P146" s="54" t="s">
        <v>250</v>
      </c>
    </row>
    <row r="147" spans="1:16" ht="17.45" customHeight="1" x14ac:dyDescent="0.25">
      <c r="A147" s="54" t="s">
        <v>406</v>
      </c>
      <c r="B147" s="54" t="s">
        <v>357</v>
      </c>
      <c r="C147" s="56">
        <f>DATE(2012,5,31)</f>
        <v>41060</v>
      </c>
      <c r="D147" s="56">
        <f>DATE(2012,5,31)</f>
        <v>41060</v>
      </c>
      <c r="E147" s="57">
        <v>2813.84</v>
      </c>
      <c r="F147" s="54" t="s">
        <v>191</v>
      </c>
      <c r="G147" s="58">
        <v>30</v>
      </c>
      <c r="H147" s="56">
        <f t="shared" si="13"/>
        <v>45107</v>
      </c>
      <c r="I147" s="57">
        <v>7.82</v>
      </c>
      <c r="J147" s="57">
        <v>46.92</v>
      </c>
      <c r="K147" s="57">
        <v>1039.54</v>
      </c>
      <c r="L147" s="57">
        <v>1774.3</v>
      </c>
      <c r="M147" s="54" t="s">
        <v>249</v>
      </c>
      <c r="N147" s="54" t="s">
        <v>79</v>
      </c>
      <c r="O147" s="54" t="s">
        <v>193</v>
      </c>
      <c r="P147" s="54" t="s">
        <v>250</v>
      </c>
    </row>
    <row r="148" spans="1:16" ht="17.45" customHeight="1" x14ac:dyDescent="0.25">
      <c r="A148" s="54" t="s">
        <v>407</v>
      </c>
      <c r="B148" s="54" t="s">
        <v>357</v>
      </c>
      <c r="C148" s="56">
        <f>DATE(2012,6,30)</f>
        <v>41090</v>
      </c>
      <c r="D148" s="56">
        <f>DATE(2012,6,30)</f>
        <v>41090</v>
      </c>
      <c r="E148" s="57">
        <v>7148.62</v>
      </c>
      <c r="F148" s="54" t="s">
        <v>191</v>
      </c>
      <c r="G148" s="58">
        <v>30</v>
      </c>
      <c r="H148" s="56">
        <f t="shared" si="13"/>
        <v>45107</v>
      </c>
      <c r="I148" s="57">
        <v>19.86</v>
      </c>
      <c r="J148" s="57">
        <v>119.16</v>
      </c>
      <c r="K148" s="57">
        <v>2621.1999999999998</v>
      </c>
      <c r="L148" s="57">
        <v>4527.42</v>
      </c>
      <c r="M148" s="54" t="s">
        <v>249</v>
      </c>
      <c r="N148" s="54" t="s">
        <v>79</v>
      </c>
      <c r="O148" s="54" t="s">
        <v>193</v>
      </c>
      <c r="P148" s="54" t="s">
        <v>250</v>
      </c>
    </row>
    <row r="149" spans="1:16" ht="17.45" customHeight="1" x14ac:dyDescent="0.25">
      <c r="A149" s="54" t="s">
        <v>408</v>
      </c>
      <c r="B149" s="54" t="s">
        <v>405</v>
      </c>
      <c r="C149" s="56">
        <f>DATE(2012,7,31)</f>
        <v>41121</v>
      </c>
      <c r="D149" s="56">
        <f>DATE(2012,7,31)</f>
        <v>41121</v>
      </c>
      <c r="E149" s="57">
        <v>11526.2</v>
      </c>
      <c r="F149" s="54" t="s">
        <v>191</v>
      </c>
      <c r="G149" s="58">
        <v>30</v>
      </c>
      <c r="H149" s="56">
        <f t="shared" si="13"/>
        <v>45107</v>
      </c>
      <c r="I149" s="57">
        <v>32.020000000000003</v>
      </c>
      <c r="J149" s="57">
        <v>192.12</v>
      </c>
      <c r="K149" s="57">
        <v>4194.3100000000004</v>
      </c>
      <c r="L149" s="57">
        <v>7331.89</v>
      </c>
      <c r="M149" s="54" t="s">
        <v>249</v>
      </c>
      <c r="N149" s="54" t="s">
        <v>79</v>
      </c>
      <c r="O149" s="54" t="s">
        <v>193</v>
      </c>
      <c r="P149" s="54" t="s">
        <v>250</v>
      </c>
    </row>
    <row r="150" spans="1:16" ht="17.45" customHeight="1" x14ac:dyDescent="0.25">
      <c r="A150" s="54" t="s">
        <v>409</v>
      </c>
      <c r="B150" s="54" t="s">
        <v>357</v>
      </c>
      <c r="C150" s="56">
        <f>DATE(2012,8,31)</f>
        <v>41152</v>
      </c>
      <c r="D150" s="56">
        <f>DATE(2012,8,31)</f>
        <v>41152</v>
      </c>
      <c r="E150" s="57">
        <v>4211.16</v>
      </c>
      <c r="F150" s="54" t="s">
        <v>191</v>
      </c>
      <c r="G150" s="58">
        <v>30</v>
      </c>
      <c r="H150" s="56">
        <f t="shared" si="13"/>
        <v>45107</v>
      </c>
      <c r="I150" s="57">
        <v>11.7</v>
      </c>
      <c r="J150" s="57">
        <v>70.2</v>
      </c>
      <c r="K150" s="57">
        <v>1520.69</v>
      </c>
      <c r="L150" s="57">
        <v>2690.47</v>
      </c>
      <c r="M150" s="54" t="s">
        <v>249</v>
      </c>
      <c r="N150" s="54" t="s">
        <v>79</v>
      </c>
      <c r="O150" s="54" t="s">
        <v>193</v>
      </c>
      <c r="P150" s="54" t="s">
        <v>250</v>
      </c>
    </row>
    <row r="151" spans="1:16" ht="17.45" customHeight="1" x14ac:dyDescent="0.25">
      <c r="A151" s="54" t="s">
        <v>410</v>
      </c>
      <c r="B151" s="54" t="s">
        <v>357</v>
      </c>
      <c r="C151" s="56">
        <f>DATE(2012,9,30)</f>
        <v>41182</v>
      </c>
      <c r="D151" s="56">
        <f>DATE(2012,9,30)</f>
        <v>41182</v>
      </c>
      <c r="E151" s="57">
        <v>3025.05</v>
      </c>
      <c r="F151" s="54" t="s">
        <v>191</v>
      </c>
      <c r="G151" s="58">
        <v>30</v>
      </c>
      <c r="H151" s="56">
        <f t="shared" si="13"/>
        <v>45107</v>
      </c>
      <c r="I151" s="57">
        <v>8.4</v>
      </c>
      <c r="J151" s="57">
        <v>50.4</v>
      </c>
      <c r="K151" s="57">
        <v>1084.01</v>
      </c>
      <c r="L151" s="57">
        <v>1941.04</v>
      </c>
      <c r="M151" s="54" t="s">
        <v>249</v>
      </c>
      <c r="N151" s="54" t="s">
        <v>79</v>
      </c>
      <c r="O151" s="54" t="s">
        <v>193</v>
      </c>
      <c r="P151" s="54" t="s">
        <v>250</v>
      </c>
    </row>
    <row r="152" spans="1:16" ht="17.45" customHeight="1" x14ac:dyDescent="0.25">
      <c r="A152" s="54" t="s">
        <v>411</v>
      </c>
      <c r="B152" s="54" t="s">
        <v>357</v>
      </c>
      <c r="C152" s="56">
        <f>DATE(2012,10,31)</f>
        <v>41213</v>
      </c>
      <c r="D152" s="56">
        <f>DATE(2012,10,31)</f>
        <v>41213</v>
      </c>
      <c r="E152" s="57">
        <v>2719.21</v>
      </c>
      <c r="F152" s="54" t="s">
        <v>191</v>
      </c>
      <c r="G152" s="58">
        <v>30</v>
      </c>
      <c r="H152" s="56">
        <f t="shared" si="13"/>
        <v>45107</v>
      </c>
      <c r="I152" s="57">
        <v>7.55</v>
      </c>
      <c r="J152" s="57">
        <v>45.3</v>
      </c>
      <c r="K152" s="57">
        <v>966.81</v>
      </c>
      <c r="L152" s="57">
        <v>1752.4</v>
      </c>
      <c r="M152" s="54" t="s">
        <v>249</v>
      </c>
      <c r="N152" s="54" t="s">
        <v>79</v>
      </c>
      <c r="O152" s="54" t="s">
        <v>193</v>
      </c>
      <c r="P152" s="54" t="s">
        <v>250</v>
      </c>
    </row>
    <row r="153" spans="1:16" ht="17.45" customHeight="1" x14ac:dyDescent="0.25">
      <c r="A153" s="54" t="s">
        <v>412</v>
      </c>
      <c r="B153" s="54" t="s">
        <v>405</v>
      </c>
      <c r="C153" s="56">
        <f>DATE(2012,11,30)</f>
        <v>41243</v>
      </c>
      <c r="D153" s="56">
        <f>DATE(2012,11,30)</f>
        <v>41243</v>
      </c>
      <c r="E153" s="57">
        <v>4018.2</v>
      </c>
      <c r="F153" s="54" t="s">
        <v>191</v>
      </c>
      <c r="G153" s="58">
        <v>30</v>
      </c>
      <c r="H153" s="56">
        <f t="shared" si="13"/>
        <v>45107</v>
      </c>
      <c r="I153" s="57">
        <v>11.16</v>
      </c>
      <c r="J153" s="57">
        <v>66.959999999999994</v>
      </c>
      <c r="K153" s="57">
        <v>1417.52</v>
      </c>
      <c r="L153" s="57">
        <v>2600.6799999999998</v>
      </c>
      <c r="M153" s="54" t="s">
        <v>249</v>
      </c>
      <c r="N153" s="54" t="s">
        <v>79</v>
      </c>
      <c r="O153" s="54" t="s">
        <v>193</v>
      </c>
      <c r="P153" s="54" t="s">
        <v>250</v>
      </c>
    </row>
    <row r="154" spans="1:16" ht="17.45" customHeight="1" x14ac:dyDescent="0.25">
      <c r="A154" s="54" t="s">
        <v>413</v>
      </c>
      <c r="B154" s="54" t="s">
        <v>414</v>
      </c>
      <c r="C154" s="56">
        <f t="shared" ref="C154:D156" si="14">DATE(2012,12,31)</f>
        <v>41274</v>
      </c>
      <c r="D154" s="56">
        <f t="shared" si="14"/>
        <v>41274</v>
      </c>
      <c r="E154" s="57">
        <v>10224.43</v>
      </c>
      <c r="F154" s="54" t="s">
        <v>191</v>
      </c>
      <c r="G154" s="58">
        <v>30</v>
      </c>
      <c r="H154" s="56">
        <f t="shared" si="13"/>
        <v>45107</v>
      </c>
      <c r="I154" s="57">
        <v>28.4</v>
      </c>
      <c r="J154" s="57">
        <v>170.4</v>
      </c>
      <c r="K154" s="57">
        <v>3578.51</v>
      </c>
      <c r="L154" s="57">
        <v>6645.92</v>
      </c>
      <c r="M154" s="54" t="s">
        <v>249</v>
      </c>
      <c r="N154" s="54" t="s">
        <v>79</v>
      </c>
      <c r="O154" s="54" t="s">
        <v>193</v>
      </c>
      <c r="P154" s="54" t="s">
        <v>250</v>
      </c>
    </row>
    <row r="155" spans="1:16" ht="17.45" customHeight="1" x14ac:dyDescent="0.25">
      <c r="A155" s="54" t="s">
        <v>415</v>
      </c>
      <c r="B155" s="54" t="s">
        <v>416</v>
      </c>
      <c r="C155" s="56">
        <f t="shared" si="14"/>
        <v>41274</v>
      </c>
      <c r="D155" s="56">
        <f t="shared" si="14"/>
        <v>41274</v>
      </c>
      <c r="E155" s="57">
        <v>24297.58</v>
      </c>
      <c r="F155" s="54" t="s">
        <v>191</v>
      </c>
      <c r="G155" s="58">
        <v>30</v>
      </c>
      <c r="H155" s="56">
        <f t="shared" si="13"/>
        <v>45107</v>
      </c>
      <c r="I155" s="57">
        <v>67.489999999999995</v>
      </c>
      <c r="J155" s="57">
        <v>404.94</v>
      </c>
      <c r="K155" s="57">
        <v>8504.14</v>
      </c>
      <c r="L155" s="57">
        <v>15793.44</v>
      </c>
      <c r="M155" s="54" t="s">
        <v>249</v>
      </c>
      <c r="N155" s="54" t="s">
        <v>79</v>
      </c>
      <c r="O155" s="54" t="s">
        <v>193</v>
      </c>
      <c r="P155" s="54" t="s">
        <v>250</v>
      </c>
    </row>
    <row r="156" spans="1:16" ht="17.45" customHeight="1" x14ac:dyDescent="0.25">
      <c r="A156" s="54" t="s">
        <v>417</v>
      </c>
      <c r="B156" s="54" t="s">
        <v>357</v>
      </c>
      <c r="C156" s="56">
        <f t="shared" si="14"/>
        <v>41274</v>
      </c>
      <c r="D156" s="56">
        <f t="shared" si="14"/>
        <v>41274</v>
      </c>
      <c r="E156" s="57">
        <v>1289.3900000000001</v>
      </c>
      <c r="F156" s="54" t="s">
        <v>191</v>
      </c>
      <c r="G156" s="58">
        <v>30</v>
      </c>
      <c r="H156" s="56">
        <f t="shared" si="13"/>
        <v>45107</v>
      </c>
      <c r="I156" s="57">
        <v>3.58</v>
      </c>
      <c r="J156" s="57">
        <v>21.48</v>
      </c>
      <c r="K156" s="57">
        <v>451.28</v>
      </c>
      <c r="L156" s="57">
        <v>838.11</v>
      </c>
      <c r="M156" s="54" t="s">
        <v>249</v>
      </c>
      <c r="N156" s="54" t="s">
        <v>79</v>
      </c>
      <c r="O156" s="54" t="s">
        <v>193</v>
      </c>
      <c r="P156" s="54" t="s">
        <v>250</v>
      </c>
    </row>
    <row r="157" spans="1:16" ht="17.45" customHeight="1" x14ac:dyDescent="0.25">
      <c r="A157" s="54" t="s">
        <v>418</v>
      </c>
      <c r="B157" s="54" t="s">
        <v>357</v>
      </c>
      <c r="C157" s="56">
        <f>DATE(2013,1,31)</f>
        <v>41305</v>
      </c>
      <c r="D157" s="56">
        <f>DATE(2013,1,31)</f>
        <v>41305</v>
      </c>
      <c r="E157" s="57">
        <v>1662.13</v>
      </c>
      <c r="F157" s="54" t="s">
        <v>191</v>
      </c>
      <c r="G157" s="58">
        <v>30</v>
      </c>
      <c r="H157" s="56">
        <f t="shared" si="13"/>
        <v>45107</v>
      </c>
      <c r="I157" s="57">
        <v>4.62</v>
      </c>
      <c r="J157" s="57">
        <v>27.72</v>
      </c>
      <c r="K157" s="57">
        <v>577.11</v>
      </c>
      <c r="L157" s="57">
        <v>1085.02</v>
      </c>
      <c r="M157" s="54" t="s">
        <v>249</v>
      </c>
      <c r="N157" s="54" t="s">
        <v>79</v>
      </c>
      <c r="O157" s="54" t="s">
        <v>193</v>
      </c>
      <c r="P157" s="54" t="s">
        <v>250</v>
      </c>
    </row>
    <row r="158" spans="1:16" ht="17.45" customHeight="1" x14ac:dyDescent="0.25">
      <c r="A158" s="54" t="s">
        <v>419</v>
      </c>
      <c r="B158" s="54" t="s">
        <v>357</v>
      </c>
      <c r="C158" s="56">
        <f>DATE(2013,2,28)</f>
        <v>41333</v>
      </c>
      <c r="D158" s="56">
        <f>DATE(2013,2,28)</f>
        <v>41333</v>
      </c>
      <c r="E158" s="57">
        <v>1985.6</v>
      </c>
      <c r="F158" s="54" t="s">
        <v>191</v>
      </c>
      <c r="G158" s="58">
        <v>30</v>
      </c>
      <c r="H158" s="56">
        <f t="shared" si="13"/>
        <v>45107</v>
      </c>
      <c r="I158" s="57">
        <v>5.52</v>
      </c>
      <c r="J158" s="57">
        <v>33.119999999999997</v>
      </c>
      <c r="K158" s="57">
        <v>683.99</v>
      </c>
      <c r="L158" s="57">
        <v>1301.6099999999999</v>
      </c>
      <c r="M158" s="54" t="s">
        <v>249</v>
      </c>
      <c r="N158" s="54" t="s">
        <v>79</v>
      </c>
      <c r="O158" s="54" t="s">
        <v>193</v>
      </c>
      <c r="P158" s="54" t="s">
        <v>250</v>
      </c>
    </row>
    <row r="159" spans="1:16" ht="17.45" customHeight="1" x14ac:dyDescent="0.25">
      <c r="A159" s="54" t="s">
        <v>420</v>
      </c>
      <c r="B159" s="54" t="s">
        <v>367</v>
      </c>
      <c r="C159" s="56">
        <f>DATE(2013,3,31)</f>
        <v>41364</v>
      </c>
      <c r="D159" s="56">
        <f>DATE(2013,3,31)</f>
        <v>41364</v>
      </c>
      <c r="E159" s="57">
        <v>1285</v>
      </c>
      <c r="F159" s="54" t="s">
        <v>191</v>
      </c>
      <c r="G159" s="58">
        <v>30</v>
      </c>
      <c r="H159" s="56">
        <f t="shared" si="13"/>
        <v>45107</v>
      </c>
      <c r="I159" s="57">
        <v>3.57</v>
      </c>
      <c r="J159" s="57">
        <v>21.42</v>
      </c>
      <c r="K159" s="57">
        <v>439.02</v>
      </c>
      <c r="L159" s="57">
        <v>845.98</v>
      </c>
      <c r="M159" s="54" t="s">
        <v>249</v>
      </c>
      <c r="N159" s="54" t="s">
        <v>79</v>
      </c>
      <c r="O159" s="54" t="s">
        <v>193</v>
      </c>
      <c r="P159" s="54" t="s">
        <v>250</v>
      </c>
    </row>
    <row r="160" spans="1:16" ht="17.45" customHeight="1" x14ac:dyDescent="0.25">
      <c r="A160" s="54" t="s">
        <v>421</v>
      </c>
      <c r="B160" s="54" t="s">
        <v>357</v>
      </c>
      <c r="C160" s="56">
        <f>DATE(2013,4,30)</f>
        <v>41394</v>
      </c>
      <c r="D160" s="56">
        <f>DATE(2013,4,30)</f>
        <v>41394</v>
      </c>
      <c r="E160" s="57">
        <v>1285</v>
      </c>
      <c r="F160" s="54" t="s">
        <v>191</v>
      </c>
      <c r="G160" s="58">
        <v>30</v>
      </c>
      <c r="H160" s="56">
        <f t="shared" si="13"/>
        <v>45107</v>
      </c>
      <c r="I160" s="57">
        <v>3.57</v>
      </c>
      <c r="J160" s="57">
        <v>21.42</v>
      </c>
      <c r="K160" s="57">
        <v>435.45</v>
      </c>
      <c r="L160" s="57">
        <v>849.55</v>
      </c>
      <c r="M160" s="54" t="s">
        <v>249</v>
      </c>
      <c r="N160" s="54" t="s">
        <v>79</v>
      </c>
      <c r="O160" s="54" t="s">
        <v>193</v>
      </c>
      <c r="P160" s="54" t="s">
        <v>250</v>
      </c>
    </row>
    <row r="161" spans="1:16" ht="17.45" customHeight="1" x14ac:dyDescent="0.25">
      <c r="A161" s="54" t="s">
        <v>422</v>
      </c>
      <c r="B161" s="54" t="s">
        <v>357</v>
      </c>
      <c r="C161" s="56">
        <f>DATE(2013,5,31)</f>
        <v>41425</v>
      </c>
      <c r="D161" s="56">
        <f>DATE(2013,5,31)</f>
        <v>41425</v>
      </c>
      <c r="E161" s="57">
        <v>2779.5</v>
      </c>
      <c r="F161" s="54" t="s">
        <v>191</v>
      </c>
      <c r="G161" s="58">
        <v>30</v>
      </c>
      <c r="H161" s="56">
        <f t="shared" si="13"/>
        <v>45107</v>
      </c>
      <c r="I161" s="57">
        <v>7.72</v>
      </c>
      <c r="J161" s="57">
        <v>46.32</v>
      </c>
      <c r="K161" s="57">
        <v>934.22</v>
      </c>
      <c r="L161" s="57">
        <v>1845.28</v>
      </c>
      <c r="M161" s="54" t="s">
        <v>249</v>
      </c>
      <c r="N161" s="54" t="s">
        <v>79</v>
      </c>
      <c r="O161" s="54" t="s">
        <v>193</v>
      </c>
      <c r="P161" s="54" t="s">
        <v>250</v>
      </c>
    </row>
    <row r="162" spans="1:16" ht="17.45" customHeight="1" x14ac:dyDescent="0.25">
      <c r="A162" s="54" t="s">
        <v>423</v>
      </c>
      <c r="B162" s="54" t="s">
        <v>357</v>
      </c>
      <c r="C162" s="56">
        <f>DATE(2013,6,30)</f>
        <v>41455</v>
      </c>
      <c r="D162" s="56">
        <f>DATE(2013,6,30)</f>
        <v>41455</v>
      </c>
      <c r="E162" s="57">
        <v>1285</v>
      </c>
      <c r="F162" s="54" t="s">
        <v>191</v>
      </c>
      <c r="G162" s="58">
        <v>30</v>
      </c>
      <c r="H162" s="56">
        <f t="shared" si="13"/>
        <v>45107</v>
      </c>
      <c r="I162" s="57">
        <v>3.57</v>
      </c>
      <c r="J162" s="57">
        <v>21.42</v>
      </c>
      <c r="K162" s="57">
        <v>428.31</v>
      </c>
      <c r="L162" s="57">
        <v>856.69</v>
      </c>
      <c r="M162" s="54" t="s">
        <v>249</v>
      </c>
      <c r="N162" s="54" t="s">
        <v>79</v>
      </c>
      <c r="O162" s="54" t="s">
        <v>193</v>
      </c>
      <c r="P162" s="54" t="s">
        <v>250</v>
      </c>
    </row>
    <row r="163" spans="1:16" ht="17.45" customHeight="1" x14ac:dyDescent="0.25">
      <c r="A163" s="54" t="s">
        <v>424</v>
      </c>
      <c r="B163" s="54" t="s">
        <v>357</v>
      </c>
      <c r="C163" s="56">
        <f>DATE(2013,7,31)</f>
        <v>41486</v>
      </c>
      <c r="D163" s="56">
        <f>DATE(2013,7,31)</f>
        <v>41486</v>
      </c>
      <c r="E163" s="57">
        <v>1831.7</v>
      </c>
      <c r="F163" s="54" t="s">
        <v>191</v>
      </c>
      <c r="G163" s="58">
        <v>30</v>
      </c>
      <c r="H163" s="56">
        <f t="shared" si="13"/>
        <v>45107</v>
      </c>
      <c r="I163" s="57">
        <v>5.09</v>
      </c>
      <c r="J163" s="57">
        <v>30.54</v>
      </c>
      <c r="K163" s="57">
        <v>605.52</v>
      </c>
      <c r="L163" s="57">
        <v>1226.18</v>
      </c>
      <c r="M163" s="54" t="s">
        <v>249</v>
      </c>
      <c r="N163" s="54" t="s">
        <v>79</v>
      </c>
      <c r="O163" s="54" t="s">
        <v>193</v>
      </c>
      <c r="P163" s="54" t="s">
        <v>250</v>
      </c>
    </row>
    <row r="164" spans="1:16" ht="17.45" customHeight="1" x14ac:dyDescent="0.25">
      <c r="A164" s="54" t="s">
        <v>425</v>
      </c>
      <c r="B164" s="54" t="s">
        <v>426</v>
      </c>
      <c r="C164" s="56">
        <f>DATE(2013,8,31)</f>
        <v>41517</v>
      </c>
      <c r="D164" s="56">
        <f>DATE(2013,8,31)</f>
        <v>41517</v>
      </c>
      <c r="E164" s="57">
        <v>15702.15</v>
      </c>
      <c r="F164" s="54" t="s">
        <v>191</v>
      </c>
      <c r="G164" s="58">
        <v>30</v>
      </c>
      <c r="H164" s="56">
        <f t="shared" si="13"/>
        <v>45107</v>
      </c>
      <c r="I164" s="57">
        <v>43.62</v>
      </c>
      <c r="J164" s="57">
        <v>261.72000000000003</v>
      </c>
      <c r="K164" s="57">
        <v>5146.88</v>
      </c>
      <c r="L164" s="57">
        <v>10555.27</v>
      </c>
      <c r="M164" s="54" t="s">
        <v>249</v>
      </c>
      <c r="N164" s="54" t="s">
        <v>79</v>
      </c>
      <c r="O164" s="54" t="s">
        <v>193</v>
      </c>
      <c r="P164" s="54" t="s">
        <v>250</v>
      </c>
    </row>
    <row r="165" spans="1:16" ht="17.45" customHeight="1" x14ac:dyDescent="0.25">
      <c r="A165" s="54" t="s">
        <v>427</v>
      </c>
      <c r="B165" s="54" t="s">
        <v>362</v>
      </c>
      <c r="C165" s="56">
        <f>DATE(2013,8,31)</f>
        <v>41517</v>
      </c>
      <c r="D165" s="56">
        <f>DATE(2013,8,31)</f>
        <v>41517</v>
      </c>
      <c r="E165" s="57">
        <v>3729.66</v>
      </c>
      <c r="F165" s="54" t="s">
        <v>191</v>
      </c>
      <c r="G165" s="58">
        <v>30</v>
      </c>
      <c r="H165" s="56">
        <f t="shared" si="13"/>
        <v>45107</v>
      </c>
      <c r="I165" s="57">
        <v>10.36</v>
      </c>
      <c r="J165" s="57">
        <v>62.16</v>
      </c>
      <c r="K165" s="57">
        <v>1222.48</v>
      </c>
      <c r="L165" s="57">
        <v>2507.1799999999998</v>
      </c>
      <c r="M165" s="54" t="s">
        <v>249</v>
      </c>
      <c r="N165" s="54" t="s">
        <v>79</v>
      </c>
      <c r="O165" s="54" t="s">
        <v>193</v>
      </c>
      <c r="P165" s="54" t="s">
        <v>250</v>
      </c>
    </row>
    <row r="166" spans="1:16" ht="17.45" customHeight="1" x14ac:dyDescent="0.25">
      <c r="A166" s="54" t="s">
        <v>428</v>
      </c>
      <c r="B166" s="54" t="s">
        <v>429</v>
      </c>
      <c r="C166" s="56">
        <f>DATE(2013,9,30)</f>
        <v>41547</v>
      </c>
      <c r="D166" s="56">
        <f>DATE(2013,9,30)</f>
        <v>41547</v>
      </c>
      <c r="E166" s="57">
        <v>4244.78</v>
      </c>
      <c r="F166" s="54" t="s">
        <v>191</v>
      </c>
      <c r="G166" s="58">
        <v>30</v>
      </c>
      <c r="H166" s="56">
        <f t="shared" si="13"/>
        <v>45107</v>
      </c>
      <c r="I166" s="57">
        <v>11.79</v>
      </c>
      <c r="J166" s="57">
        <v>70.739999999999995</v>
      </c>
      <c r="K166" s="57">
        <v>1379.52</v>
      </c>
      <c r="L166" s="57">
        <v>2865.26</v>
      </c>
      <c r="M166" s="54" t="s">
        <v>249</v>
      </c>
      <c r="N166" s="54" t="s">
        <v>79</v>
      </c>
      <c r="O166" s="54" t="s">
        <v>193</v>
      </c>
      <c r="P166" s="54" t="s">
        <v>250</v>
      </c>
    </row>
    <row r="167" spans="1:16" ht="17.45" customHeight="1" x14ac:dyDescent="0.25">
      <c r="A167" s="54" t="s">
        <v>430</v>
      </c>
      <c r="B167" s="54" t="s">
        <v>357</v>
      </c>
      <c r="C167" s="56">
        <f>DATE(2013,10,31)</f>
        <v>41578</v>
      </c>
      <c r="D167" s="56">
        <f>DATE(2013,10,31)</f>
        <v>41578</v>
      </c>
      <c r="E167" s="57">
        <v>1927.5</v>
      </c>
      <c r="F167" s="54" t="s">
        <v>191</v>
      </c>
      <c r="G167" s="58">
        <v>30</v>
      </c>
      <c r="H167" s="56">
        <f t="shared" si="13"/>
        <v>45107</v>
      </c>
      <c r="I167" s="57">
        <v>5.35</v>
      </c>
      <c r="J167" s="57">
        <v>32.1</v>
      </c>
      <c r="K167" s="57">
        <v>621.05999999999995</v>
      </c>
      <c r="L167" s="57">
        <v>1306.44</v>
      </c>
      <c r="M167" s="54" t="s">
        <v>249</v>
      </c>
      <c r="N167" s="54" t="s">
        <v>79</v>
      </c>
      <c r="O167" s="54" t="s">
        <v>193</v>
      </c>
      <c r="P167" s="54" t="s">
        <v>250</v>
      </c>
    </row>
    <row r="168" spans="1:16" ht="17.45" customHeight="1" x14ac:dyDescent="0.25">
      <c r="A168" s="54" t="s">
        <v>431</v>
      </c>
      <c r="B168" s="54" t="s">
        <v>357</v>
      </c>
      <c r="C168" s="56">
        <f>DATE(2013,11,30)</f>
        <v>41608</v>
      </c>
      <c r="D168" s="56">
        <f>DATE(2013,11,30)</f>
        <v>41608</v>
      </c>
      <c r="E168" s="57">
        <v>3561</v>
      </c>
      <c r="F168" s="54" t="s">
        <v>191</v>
      </c>
      <c r="G168" s="58">
        <v>30</v>
      </c>
      <c r="H168" s="56">
        <f t="shared" si="13"/>
        <v>45107</v>
      </c>
      <c r="I168" s="57">
        <v>9.89</v>
      </c>
      <c r="J168" s="57">
        <v>59.34</v>
      </c>
      <c r="K168" s="57">
        <v>1137.53</v>
      </c>
      <c r="L168" s="57">
        <v>2423.4699999999998</v>
      </c>
      <c r="M168" s="54" t="s">
        <v>249</v>
      </c>
      <c r="N168" s="54" t="s">
        <v>79</v>
      </c>
      <c r="O168" s="54" t="s">
        <v>193</v>
      </c>
      <c r="P168" s="54" t="s">
        <v>250</v>
      </c>
    </row>
    <row r="169" spans="1:16" ht="17.45" customHeight="1" x14ac:dyDescent="0.25">
      <c r="A169" s="54" t="s">
        <v>432</v>
      </c>
      <c r="B169" s="54" t="s">
        <v>433</v>
      </c>
      <c r="C169" s="56">
        <f>DATE(2013,12,31)</f>
        <v>41639</v>
      </c>
      <c r="D169" s="56">
        <f>DATE(2013,12,31)</f>
        <v>41639</v>
      </c>
      <c r="E169" s="57">
        <v>40218.69</v>
      </c>
      <c r="F169" s="54" t="s">
        <v>191</v>
      </c>
      <c r="G169" s="58">
        <v>30</v>
      </c>
      <c r="H169" s="56">
        <f t="shared" si="13"/>
        <v>45107</v>
      </c>
      <c r="I169" s="57">
        <v>111.72</v>
      </c>
      <c r="J169" s="57">
        <v>670.32</v>
      </c>
      <c r="K169" s="57">
        <v>12735.9</v>
      </c>
      <c r="L169" s="57">
        <v>27482.79</v>
      </c>
      <c r="M169" s="54" t="s">
        <v>249</v>
      </c>
      <c r="N169" s="54" t="s">
        <v>79</v>
      </c>
      <c r="O169" s="54" t="s">
        <v>193</v>
      </c>
      <c r="P169" s="54" t="s">
        <v>250</v>
      </c>
    </row>
    <row r="170" spans="1:16" ht="17.45" customHeight="1" x14ac:dyDescent="0.25">
      <c r="A170" s="54" t="s">
        <v>434</v>
      </c>
      <c r="B170" s="54" t="s">
        <v>435</v>
      </c>
      <c r="C170" s="56">
        <f>DATE(2013,12,31)</f>
        <v>41639</v>
      </c>
      <c r="D170" s="56">
        <f>DATE(2013,12,31)</f>
        <v>41639</v>
      </c>
      <c r="E170" s="57">
        <v>1927.5</v>
      </c>
      <c r="F170" s="54" t="s">
        <v>191</v>
      </c>
      <c r="G170" s="58">
        <v>30</v>
      </c>
      <c r="H170" s="56">
        <f t="shared" si="13"/>
        <v>45107</v>
      </c>
      <c r="I170" s="57">
        <v>5.35</v>
      </c>
      <c r="J170" s="57">
        <v>32.1</v>
      </c>
      <c r="K170" s="57">
        <v>610.35</v>
      </c>
      <c r="L170" s="57">
        <v>1317.15</v>
      </c>
      <c r="M170" s="54" t="s">
        <v>249</v>
      </c>
      <c r="N170" s="54" t="s">
        <v>79</v>
      </c>
      <c r="O170" s="54" t="s">
        <v>193</v>
      </c>
      <c r="P170" s="54" t="s">
        <v>250</v>
      </c>
    </row>
    <row r="171" spans="1:16" ht="17.45" customHeight="1" x14ac:dyDescent="0.25">
      <c r="A171" s="54" t="s">
        <v>436</v>
      </c>
      <c r="B171" s="54" t="s">
        <v>357</v>
      </c>
      <c r="C171" s="56">
        <f>DATE(2014,1,31)</f>
        <v>41670</v>
      </c>
      <c r="D171" s="56">
        <f>DATE(2014,1,31)</f>
        <v>41670</v>
      </c>
      <c r="E171" s="57">
        <v>642.5</v>
      </c>
      <c r="F171" s="54" t="s">
        <v>191</v>
      </c>
      <c r="G171" s="58">
        <v>30</v>
      </c>
      <c r="H171" s="56">
        <f t="shared" si="13"/>
        <v>45107</v>
      </c>
      <c r="I171" s="57">
        <v>1.78</v>
      </c>
      <c r="J171" s="57">
        <v>10.68</v>
      </c>
      <c r="K171" s="57">
        <v>201.67</v>
      </c>
      <c r="L171" s="57">
        <v>440.83</v>
      </c>
      <c r="M171" s="54" t="s">
        <v>249</v>
      </c>
      <c r="N171" s="54" t="s">
        <v>79</v>
      </c>
      <c r="O171" s="54" t="s">
        <v>193</v>
      </c>
      <c r="P171" s="54" t="s">
        <v>250</v>
      </c>
    </row>
    <row r="172" spans="1:16" ht="17.45" customHeight="1" x14ac:dyDescent="0.25">
      <c r="A172" s="54" t="s">
        <v>437</v>
      </c>
      <c r="B172" s="54" t="s">
        <v>357</v>
      </c>
      <c r="C172" s="56">
        <f>DATE(2014,2,28)</f>
        <v>41698</v>
      </c>
      <c r="D172" s="56">
        <f>DATE(2014,2,28)</f>
        <v>41698</v>
      </c>
      <c r="E172" s="57">
        <v>608.88</v>
      </c>
      <c r="F172" s="54" t="s">
        <v>191</v>
      </c>
      <c r="G172" s="58">
        <v>30</v>
      </c>
      <c r="H172" s="56">
        <f t="shared" si="13"/>
        <v>45107</v>
      </c>
      <c r="I172" s="57">
        <v>1.69</v>
      </c>
      <c r="J172" s="57">
        <v>10.14</v>
      </c>
      <c r="K172" s="57">
        <v>189.45</v>
      </c>
      <c r="L172" s="57">
        <v>419.43</v>
      </c>
      <c r="M172" s="54" t="s">
        <v>249</v>
      </c>
      <c r="N172" s="54" t="s">
        <v>79</v>
      </c>
      <c r="O172" s="54" t="s">
        <v>193</v>
      </c>
      <c r="P172" s="54" t="s">
        <v>250</v>
      </c>
    </row>
    <row r="173" spans="1:16" ht="17.45" customHeight="1" x14ac:dyDescent="0.25">
      <c r="A173" s="54" t="s">
        <v>438</v>
      </c>
      <c r="B173" s="54" t="s">
        <v>357</v>
      </c>
      <c r="C173" s="56">
        <f>DATE(2014,3,31)</f>
        <v>41729</v>
      </c>
      <c r="D173" s="56">
        <f>DATE(2014,3,31)</f>
        <v>41729</v>
      </c>
      <c r="E173" s="57">
        <v>903.43</v>
      </c>
      <c r="F173" s="54" t="s">
        <v>191</v>
      </c>
      <c r="G173" s="58">
        <v>30</v>
      </c>
      <c r="H173" s="56">
        <f t="shared" si="13"/>
        <v>45107</v>
      </c>
      <c r="I173" s="57">
        <v>2.5099999999999998</v>
      </c>
      <c r="J173" s="57">
        <v>15.06</v>
      </c>
      <c r="K173" s="57">
        <v>278.52999999999997</v>
      </c>
      <c r="L173" s="57">
        <v>624.9</v>
      </c>
      <c r="M173" s="54" t="s">
        <v>249</v>
      </c>
      <c r="N173" s="54" t="s">
        <v>79</v>
      </c>
      <c r="O173" s="54" t="s">
        <v>193</v>
      </c>
      <c r="P173" s="54" t="s">
        <v>250</v>
      </c>
    </row>
    <row r="174" spans="1:16" ht="17.45" customHeight="1" x14ac:dyDescent="0.25">
      <c r="A174" s="54" t="s">
        <v>439</v>
      </c>
      <c r="B174" s="54" t="s">
        <v>357</v>
      </c>
      <c r="C174" s="56">
        <f>DATE(2014,4,30)</f>
        <v>41759</v>
      </c>
      <c r="D174" s="56">
        <f>DATE(2014,4,30)</f>
        <v>41759</v>
      </c>
      <c r="E174" s="57">
        <v>4350.1499999999996</v>
      </c>
      <c r="F174" s="54" t="s">
        <v>191</v>
      </c>
      <c r="G174" s="58">
        <v>30</v>
      </c>
      <c r="H174" s="56">
        <f t="shared" si="13"/>
        <v>45107</v>
      </c>
      <c r="I174" s="57">
        <v>12.08</v>
      </c>
      <c r="J174" s="57">
        <v>72.48</v>
      </c>
      <c r="K174" s="57">
        <v>1329.23</v>
      </c>
      <c r="L174" s="57">
        <v>3020.92</v>
      </c>
      <c r="M174" s="54" t="s">
        <v>249</v>
      </c>
      <c r="N174" s="54" t="s">
        <v>79</v>
      </c>
      <c r="O174" s="54" t="s">
        <v>193</v>
      </c>
      <c r="P174" s="54" t="s">
        <v>250</v>
      </c>
    </row>
    <row r="175" spans="1:16" ht="17.45" customHeight="1" x14ac:dyDescent="0.25">
      <c r="A175" s="54" t="s">
        <v>440</v>
      </c>
      <c r="B175" s="54" t="s">
        <v>357</v>
      </c>
      <c r="C175" s="56">
        <f>DATE(2014,5,31)</f>
        <v>41790</v>
      </c>
      <c r="D175" s="56">
        <f>DATE(2014,5,31)</f>
        <v>41790</v>
      </c>
      <c r="E175" s="57">
        <v>4167.51</v>
      </c>
      <c r="F175" s="54" t="s">
        <v>191</v>
      </c>
      <c r="G175" s="58">
        <v>30</v>
      </c>
      <c r="H175" s="56">
        <f t="shared" si="13"/>
        <v>45107</v>
      </c>
      <c r="I175" s="57">
        <v>11.58</v>
      </c>
      <c r="J175" s="57">
        <v>69.48</v>
      </c>
      <c r="K175" s="57">
        <v>1261.8699999999999</v>
      </c>
      <c r="L175" s="57">
        <v>2905.64</v>
      </c>
      <c r="M175" s="54" t="s">
        <v>249</v>
      </c>
      <c r="N175" s="54" t="s">
        <v>79</v>
      </c>
      <c r="O175" s="54" t="s">
        <v>193</v>
      </c>
      <c r="P175" s="54" t="s">
        <v>250</v>
      </c>
    </row>
    <row r="176" spans="1:16" ht="17.45" customHeight="1" x14ac:dyDescent="0.25">
      <c r="A176" s="54" t="s">
        <v>441</v>
      </c>
      <c r="B176" s="54" t="s">
        <v>357</v>
      </c>
      <c r="C176" s="56">
        <f>DATE(2014,6,30)</f>
        <v>41820</v>
      </c>
      <c r="D176" s="56">
        <f>DATE(2014,6,30)</f>
        <v>41820</v>
      </c>
      <c r="E176" s="57">
        <v>1754.38</v>
      </c>
      <c r="F176" s="54" t="s">
        <v>191</v>
      </c>
      <c r="G176" s="58">
        <v>30</v>
      </c>
      <c r="H176" s="56">
        <f t="shared" si="13"/>
        <v>45107</v>
      </c>
      <c r="I176" s="57">
        <v>4.87</v>
      </c>
      <c r="J176" s="57">
        <v>29.22</v>
      </c>
      <c r="K176" s="57">
        <v>526.29999999999995</v>
      </c>
      <c r="L176" s="57">
        <v>1228.08</v>
      </c>
      <c r="M176" s="54" t="s">
        <v>249</v>
      </c>
      <c r="N176" s="54" t="s">
        <v>79</v>
      </c>
      <c r="O176" s="54" t="s">
        <v>193</v>
      </c>
      <c r="P176" s="54" t="s">
        <v>250</v>
      </c>
    </row>
    <row r="177" spans="1:16" ht="17.45" customHeight="1" x14ac:dyDescent="0.25">
      <c r="A177" s="54" t="s">
        <v>442</v>
      </c>
      <c r="B177" s="54" t="s">
        <v>443</v>
      </c>
      <c r="C177" s="56">
        <f t="shared" ref="C177:D179" si="15">DATE(1990,1,1)</f>
        <v>32874</v>
      </c>
      <c r="D177" s="56">
        <f t="shared" si="15"/>
        <v>32874</v>
      </c>
      <c r="E177" s="57">
        <v>7015.63</v>
      </c>
      <c r="F177" s="54" t="s">
        <v>191</v>
      </c>
      <c r="G177" s="58">
        <v>35</v>
      </c>
      <c r="H177" s="56">
        <f>DATE(2022,12,31)</f>
        <v>44926</v>
      </c>
      <c r="I177" s="57">
        <v>0</v>
      </c>
      <c r="J177" s="57">
        <v>0</v>
      </c>
      <c r="K177" s="57">
        <v>7015.63</v>
      </c>
      <c r="L177" s="57">
        <v>0</v>
      </c>
      <c r="M177" s="54" t="s">
        <v>245</v>
      </c>
      <c r="N177" s="54" t="s">
        <v>79</v>
      </c>
      <c r="O177" s="54" t="s">
        <v>193</v>
      </c>
      <c r="P177" s="54" t="s">
        <v>246</v>
      </c>
    </row>
    <row r="178" spans="1:16" ht="17.45" customHeight="1" x14ac:dyDescent="0.25">
      <c r="A178" s="54" t="s">
        <v>444</v>
      </c>
      <c r="B178" s="54" t="s">
        <v>443</v>
      </c>
      <c r="C178" s="56">
        <f t="shared" si="15"/>
        <v>32874</v>
      </c>
      <c r="D178" s="56">
        <f t="shared" si="15"/>
        <v>32874</v>
      </c>
      <c r="E178" s="57">
        <v>8153</v>
      </c>
      <c r="F178" s="54" t="s">
        <v>191</v>
      </c>
      <c r="G178" s="58">
        <v>35</v>
      </c>
      <c r="H178" s="56">
        <f>DATE(2022,12,31)</f>
        <v>44926</v>
      </c>
      <c r="I178" s="57">
        <v>0</v>
      </c>
      <c r="J178" s="57">
        <v>0</v>
      </c>
      <c r="K178" s="57">
        <v>8153</v>
      </c>
      <c r="L178" s="57">
        <v>0</v>
      </c>
      <c r="M178" s="54" t="s">
        <v>245</v>
      </c>
      <c r="N178" s="54" t="s">
        <v>79</v>
      </c>
      <c r="O178" s="54" t="s">
        <v>193</v>
      </c>
      <c r="P178" s="54" t="s">
        <v>246</v>
      </c>
    </row>
    <row r="179" spans="1:16" ht="17.45" customHeight="1" x14ac:dyDescent="0.25">
      <c r="A179" s="54" t="s">
        <v>445</v>
      </c>
      <c r="B179" s="54" t="s">
        <v>443</v>
      </c>
      <c r="C179" s="56">
        <f t="shared" si="15"/>
        <v>32874</v>
      </c>
      <c r="D179" s="56">
        <f t="shared" si="15"/>
        <v>32874</v>
      </c>
      <c r="E179" s="57">
        <v>2501.9899999999998</v>
      </c>
      <c r="F179" s="54" t="s">
        <v>191</v>
      </c>
      <c r="G179" s="58">
        <v>35</v>
      </c>
      <c r="H179" s="56">
        <f>DATE(2021,12,31)</f>
        <v>44561</v>
      </c>
      <c r="I179" s="57">
        <v>0</v>
      </c>
      <c r="J179" s="57">
        <v>0</v>
      </c>
      <c r="K179" s="57">
        <v>2501.9899999999998</v>
      </c>
      <c r="L179" s="57">
        <v>0</v>
      </c>
      <c r="M179" s="54" t="s">
        <v>245</v>
      </c>
      <c r="N179" s="54" t="s">
        <v>79</v>
      </c>
      <c r="O179" s="54" t="s">
        <v>193</v>
      </c>
      <c r="P179" s="54" t="s">
        <v>246</v>
      </c>
    </row>
    <row r="180" spans="1:16" ht="17.45" customHeight="1" x14ac:dyDescent="0.25">
      <c r="A180" s="54" t="s">
        <v>446</v>
      </c>
      <c r="B180" s="54" t="s">
        <v>447</v>
      </c>
      <c r="C180" s="56">
        <f>DATE(1995,6,30)</f>
        <v>34880</v>
      </c>
      <c r="D180" s="56">
        <f>DATE(1995,6,30)</f>
        <v>34880</v>
      </c>
      <c r="E180" s="57">
        <v>2019.78</v>
      </c>
      <c r="F180" s="54" t="s">
        <v>191</v>
      </c>
      <c r="G180" s="58">
        <v>35</v>
      </c>
      <c r="H180" s="56">
        <f t="shared" ref="H180:H243" si="16">DATE(2023,6,30)</f>
        <v>45107</v>
      </c>
      <c r="I180" s="57">
        <v>4.8099999999999996</v>
      </c>
      <c r="J180" s="57">
        <v>28.86</v>
      </c>
      <c r="K180" s="57">
        <v>1769.7</v>
      </c>
      <c r="L180" s="57">
        <v>250.08</v>
      </c>
      <c r="M180" s="54" t="s">
        <v>245</v>
      </c>
      <c r="N180" s="54" t="s">
        <v>79</v>
      </c>
      <c r="O180" s="54" t="s">
        <v>193</v>
      </c>
      <c r="P180" s="54" t="s">
        <v>246</v>
      </c>
    </row>
    <row r="181" spans="1:16" ht="17.45" customHeight="1" x14ac:dyDescent="0.25">
      <c r="A181" s="54" t="s">
        <v>448</v>
      </c>
      <c r="B181" s="54" t="s">
        <v>449</v>
      </c>
      <c r="C181" s="56">
        <f>DATE(2005,12,31)</f>
        <v>38717</v>
      </c>
      <c r="D181" s="56">
        <f>DATE(2005,12,31)</f>
        <v>38717</v>
      </c>
      <c r="E181" s="57">
        <v>70777.899999999994</v>
      </c>
      <c r="F181" s="54" t="s">
        <v>191</v>
      </c>
      <c r="G181" s="58">
        <v>35</v>
      </c>
      <c r="H181" s="56">
        <f t="shared" si="16"/>
        <v>45107</v>
      </c>
      <c r="I181" s="57">
        <v>168.52</v>
      </c>
      <c r="J181" s="57">
        <v>1011.11</v>
      </c>
      <c r="K181" s="57">
        <v>36062.99</v>
      </c>
      <c r="L181" s="57">
        <v>34714.910000000003</v>
      </c>
      <c r="M181" s="54" t="s">
        <v>245</v>
      </c>
      <c r="N181" s="54" t="s">
        <v>79</v>
      </c>
      <c r="O181" s="54" t="s">
        <v>193</v>
      </c>
      <c r="P181" s="54" t="s">
        <v>246</v>
      </c>
    </row>
    <row r="182" spans="1:16" ht="17.45" customHeight="1" x14ac:dyDescent="0.25">
      <c r="A182" s="54" t="s">
        <v>450</v>
      </c>
      <c r="B182" s="54" t="s">
        <v>451</v>
      </c>
      <c r="C182" s="56">
        <f>DATE(2005,12,31)</f>
        <v>38717</v>
      </c>
      <c r="D182" s="56">
        <f>DATE(2005,12,31)</f>
        <v>38717</v>
      </c>
      <c r="E182" s="57">
        <v>66169.539999999994</v>
      </c>
      <c r="F182" s="54" t="s">
        <v>191</v>
      </c>
      <c r="G182" s="58">
        <v>35</v>
      </c>
      <c r="H182" s="56">
        <f t="shared" si="16"/>
        <v>45107</v>
      </c>
      <c r="I182" s="57">
        <v>157.55000000000001</v>
      </c>
      <c r="J182" s="57">
        <v>945.3</v>
      </c>
      <c r="K182" s="57">
        <v>33714.99</v>
      </c>
      <c r="L182" s="57">
        <v>32454.55</v>
      </c>
      <c r="M182" s="54" t="s">
        <v>245</v>
      </c>
      <c r="N182" s="54" t="s">
        <v>79</v>
      </c>
      <c r="O182" s="54" t="s">
        <v>193</v>
      </c>
      <c r="P182" s="54" t="s">
        <v>246</v>
      </c>
    </row>
    <row r="183" spans="1:16" ht="17.45" customHeight="1" x14ac:dyDescent="0.25">
      <c r="A183" s="54" t="s">
        <v>452</v>
      </c>
      <c r="B183" s="54" t="s">
        <v>453</v>
      </c>
      <c r="C183" s="56">
        <f>DATE(2006,1,31)</f>
        <v>38748</v>
      </c>
      <c r="D183" s="56">
        <f>DATE(2006,1,31)</f>
        <v>38748</v>
      </c>
      <c r="E183" s="57">
        <v>12489.69</v>
      </c>
      <c r="F183" s="54" t="s">
        <v>191</v>
      </c>
      <c r="G183" s="58">
        <v>35</v>
      </c>
      <c r="H183" s="56">
        <f t="shared" si="16"/>
        <v>45107</v>
      </c>
      <c r="I183" s="57">
        <v>29.74</v>
      </c>
      <c r="J183" s="57">
        <v>178.44</v>
      </c>
      <c r="K183" s="57">
        <v>6329.11</v>
      </c>
      <c r="L183" s="57">
        <v>6160.58</v>
      </c>
      <c r="M183" s="54" t="s">
        <v>245</v>
      </c>
      <c r="N183" s="54" t="s">
        <v>79</v>
      </c>
      <c r="O183" s="54" t="s">
        <v>193</v>
      </c>
      <c r="P183" s="54" t="s">
        <v>246</v>
      </c>
    </row>
    <row r="184" spans="1:16" ht="17.45" customHeight="1" x14ac:dyDescent="0.25">
      <c r="A184" s="54" t="s">
        <v>454</v>
      </c>
      <c r="B184" s="54" t="s">
        <v>453</v>
      </c>
      <c r="C184" s="56">
        <f>DATE(2006,2,28)</f>
        <v>38776</v>
      </c>
      <c r="D184" s="56">
        <f>DATE(2006,2,28)</f>
        <v>38776</v>
      </c>
      <c r="E184" s="57">
        <v>39088.519999999997</v>
      </c>
      <c r="F184" s="54" t="s">
        <v>191</v>
      </c>
      <c r="G184" s="58">
        <v>35</v>
      </c>
      <c r="H184" s="56">
        <f t="shared" si="16"/>
        <v>45107</v>
      </c>
      <c r="I184" s="57">
        <v>93.07</v>
      </c>
      <c r="J184" s="57">
        <v>558.41</v>
      </c>
      <c r="K184" s="57">
        <v>19699.400000000001</v>
      </c>
      <c r="L184" s="57">
        <v>19389.12</v>
      </c>
      <c r="M184" s="54" t="s">
        <v>245</v>
      </c>
      <c r="N184" s="54" t="s">
        <v>79</v>
      </c>
      <c r="O184" s="54" t="s">
        <v>193</v>
      </c>
      <c r="P184" s="54" t="s">
        <v>246</v>
      </c>
    </row>
    <row r="185" spans="1:16" ht="17.45" customHeight="1" x14ac:dyDescent="0.25">
      <c r="A185" s="54" t="s">
        <v>455</v>
      </c>
      <c r="B185" s="54" t="s">
        <v>456</v>
      </c>
      <c r="C185" s="56">
        <f>DATE(2006,3,23)</f>
        <v>38799</v>
      </c>
      <c r="D185" s="56">
        <f>DATE(2006,3,23)</f>
        <v>38799</v>
      </c>
      <c r="E185" s="57">
        <v>32526.39</v>
      </c>
      <c r="F185" s="54" t="s">
        <v>191</v>
      </c>
      <c r="G185" s="58">
        <v>35</v>
      </c>
      <c r="H185" s="56">
        <f t="shared" si="16"/>
        <v>45107</v>
      </c>
      <c r="I185" s="57">
        <v>77.44</v>
      </c>
      <c r="J185" s="57">
        <v>464.65</v>
      </c>
      <c r="K185" s="57">
        <v>16301.94</v>
      </c>
      <c r="L185" s="57">
        <v>16224.45</v>
      </c>
      <c r="M185" s="54" t="s">
        <v>245</v>
      </c>
      <c r="N185" s="54" t="s">
        <v>79</v>
      </c>
      <c r="O185" s="54" t="s">
        <v>193</v>
      </c>
      <c r="P185" s="54" t="s">
        <v>246</v>
      </c>
    </row>
    <row r="186" spans="1:16" ht="17.45" customHeight="1" x14ac:dyDescent="0.25">
      <c r="A186" s="54" t="s">
        <v>457</v>
      </c>
      <c r="B186" s="54" t="s">
        <v>458</v>
      </c>
      <c r="C186" s="56">
        <f>DATE(2006,5,23)</f>
        <v>38860</v>
      </c>
      <c r="D186" s="56">
        <f>DATE(2006,5,23)</f>
        <v>38860</v>
      </c>
      <c r="E186" s="57">
        <v>8928.73</v>
      </c>
      <c r="F186" s="54" t="s">
        <v>191</v>
      </c>
      <c r="G186" s="58">
        <v>35</v>
      </c>
      <c r="H186" s="56">
        <f t="shared" si="16"/>
        <v>45107</v>
      </c>
      <c r="I186" s="57">
        <v>21.26</v>
      </c>
      <c r="J186" s="57">
        <v>127.56</v>
      </c>
      <c r="K186" s="57">
        <v>4425.41</v>
      </c>
      <c r="L186" s="57">
        <v>4503.32</v>
      </c>
      <c r="M186" s="54" t="s">
        <v>245</v>
      </c>
      <c r="N186" s="54" t="s">
        <v>79</v>
      </c>
      <c r="O186" s="54" t="s">
        <v>193</v>
      </c>
      <c r="P186" s="54" t="s">
        <v>246</v>
      </c>
    </row>
    <row r="187" spans="1:16" ht="17.45" customHeight="1" x14ac:dyDescent="0.25">
      <c r="A187" s="54" t="s">
        <v>459</v>
      </c>
      <c r="B187" s="54" t="s">
        <v>460</v>
      </c>
      <c r="C187" s="56">
        <f>DATE(2006,6,30)</f>
        <v>38898</v>
      </c>
      <c r="D187" s="56">
        <f>DATE(2006,6,30)</f>
        <v>38898</v>
      </c>
      <c r="E187" s="57">
        <v>36619.43</v>
      </c>
      <c r="F187" s="54" t="s">
        <v>191</v>
      </c>
      <c r="G187" s="58">
        <v>35</v>
      </c>
      <c r="H187" s="56">
        <f t="shared" si="16"/>
        <v>45107</v>
      </c>
      <c r="I187" s="57">
        <v>87.19</v>
      </c>
      <c r="J187" s="57">
        <v>523.14</v>
      </c>
      <c r="K187" s="57">
        <v>18048.169999999998</v>
      </c>
      <c r="L187" s="57">
        <v>18571.259999999998</v>
      </c>
      <c r="M187" s="54" t="s">
        <v>245</v>
      </c>
      <c r="N187" s="54" t="s">
        <v>79</v>
      </c>
      <c r="O187" s="54" t="s">
        <v>193</v>
      </c>
      <c r="P187" s="54" t="s">
        <v>246</v>
      </c>
    </row>
    <row r="188" spans="1:16" ht="17.45" customHeight="1" x14ac:dyDescent="0.25">
      <c r="A188" s="54" t="s">
        <v>461</v>
      </c>
      <c r="B188" s="54" t="s">
        <v>460</v>
      </c>
      <c r="C188" s="56">
        <f>DATE(2006,7,27)</f>
        <v>38925</v>
      </c>
      <c r="D188" s="56">
        <f>DATE(2006,7,27)</f>
        <v>38925</v>
      </c>
      <c r="E188" s="57">
        <v>13501.44</v>
      </c>
      <c r="F188" s="54" t="s">
        <v>191</v>
      </c>
      <c r="G188" s="58">
        <v>35</v>
      </c>
      <c r="H188" s="56">
        <f t="shared" si="16"/>
        <v>45107</v>
      </c>
      <c r="I188" s="57">
        <v>32.15</v>
      </c>
      <c r="J188" s="57">
        <v>192.89</v>
      </c>
      <c r="K188" s="57">
        <v>6616.79</v>
      </c>
      <c r="L188" s="57">
        <v>6884.65</v>
      </c>
      <c r="M188" s="54" t="s">
        <v>245</v>
      </c>
      <c r="N188" s="54" t="s">
        <v>79</v>
      </c>
      <c r="O188" s="54" t="s">
        <v>193</v>
      </c>
      <c r="P188" s="54" t="s">
        <v>246</v>
      </c>
    </row>
    <row r="189" spans="1:16" ht="17.45" customHeight="1" x14ac:dyDescent="0.25">
      <c r="A189" s="54" t="s">
        <v>462</v>
      </c>
      <c r="B189" s="54" t="s">
        <v>460</v>
      </c>
      <c r="C189" s="56">
        <f>DATE(2006,8,31)</f>
        <v>38960</v>
      </c>
      <c r="D189" s="56">
        <f>DATE(2006,8,31)</f>
        <v>38960</v>
      </c>
      <c r="E189" s="57">
        <v>13.2</v>
      </c>
      <c r="F189" s="54" t="s">
        <v>191</v>
      </c>
      <c r="G189" s="58">
        <v>35</v>
      </c>
      <c r="H189" s="56">
        <f t="shared" si="16"/>
        <v>45107</v>
      </c>
      <c r="I189" s="57">
        <v>0.03</v>
      </c>
      <c r="J189" s="57">
        <v>0.18</v>
      </c>
      <c r="K189" s="57">
        <v>6.42</v>
      </c>
      <c r="L189" s="57">
        <v>6.78</v>
      </c>
      <c r="M189" s="54" t="s">
        <v>245</v>
      </c>
      <c r="N189" s="54" t="s">
        <v>79</v>
      </c>
      <c r="O189" s="54" t="s">
        <v>193</v>
      </c>
      <c r="P189" s="54" t="s">
        <v>246</v>
      </c>
    </row>
    <row r="190" spans="1:16" ht="17.45" customHeight="1" x14ac:dyDescent="0.25">
      <c r="A190" s="54" t="s">
        <v>463</v>
      </c>
      <c r="B190" s="54" t="s">
        <v>460</v>
      </c>
      <c r="C190" s="56">
        <f>DATE(2006,9,30)</f>
        <v>38990</v>
      </c>
      <c r="D190" s="56">
        <f>DATE(2006,9,30)</f>
        <v>38990</v>
      </c>
      <c r="E190" s="57">
        <v>1759.62</v>
      </c>
      <c r="F190" s="54" t="s">
        <v>191</v>
      </c>
      <c r="G190" s="58">
        <v>35</v>
      </c>
      <c r="H190" s="56">
        <f t="shared" si="16"/>
        <v>45107</v>
      </c>
      <c r="I190" s="57">
        <v>4.1900000000000004</v>
      </c>
      <c r="J190" s="57">
        <v>25.14</v>
      </c>
      <c r="K190" s="57">
        <v>852.57</v>
      </c>
      <c r="L190" s="57">
        <v>907.05</v>
      </c>
      <c r="M190" s="54" t="s">
        <v>245</v>
      </c>
      <c r="N190" s="54" t="s">
        <v>79</v>
      </c>
      <c r="O190" s="54" t="s">
        <v>193</v>
      </c>
      <c r="P190" s="54" t="s">
        <v>246</v>
      </c>
    </row>
    <row r="191" spans="1:16" ht="17.45" customHeight="1" x14ac:dyDescent="0.25">
      <c r="A191" s="54" t="s">
        <v>464</v>
      </c>
      <c r="B191" s="54" t="s">
        <v>460</v>
      </c>
      <c r="C191" s="56">
        <f>DATE(2006,11,1)</f>
        <v>39022</v>
      </c>
      <c r="D191" s="56">
        <f>DATE(2006,11,1)</f>
        <v>39022</v>
      </c>
      <c r="E191" s="57">
        <v>116376.21</v>
      </c>
      <c r="F191" s="54" t="s">
        <v>191</v>
      </c>
      <c r="G191" s="58">
        <v>35</v>
      </c>
      <c r="H191" s="56">
        <f t="shared" si="16"/>
        <v>45107</v>
      </c>
      <c r="I191" s="57">
        <v>277.08999999999997</v>
      </c>
      <c r="J191" s="57">
        <v>1662.52</v>
      </c>
      <c r="K191" s="57">
        <v>56063.81</v>
      </c>
      <c r="L191" s="57">
        <v>60312.4</v>
      </c>
      <c r="M191" s="54" t="s">
        <v>245</v>
      </c>
      <c r="N191" s="54" t="s">
        <v>79</v>
      </c>
      <c r="O191" s="54" t="s">
        <v>193</v>
      </c>
      <c r="P191" s="54" t="s">
        <v>246</v>
      </c>
    </row>
    <row r="192" spans="1:16" ht="17.45" customHeight="1" x14ac:dyDescent="0.25">
      <c r="A192" s="54" t="s">
        <v>465</v>
      </c>
      <c r="B192" s="54" t="s">
        <v>466</v>
      </c>
      <c r="C192" s="56">
        <f>DATE(2006,12,1)</f>
        <v>39052</v>
      </c>
      <c r="D192" s="56">
        <f>DATE(2006,12,1)</f>
        <v>39052</v>
      </c>
      <c r="E192" s="57">
        <v>687.31</v>
      </c>
      <c r="F192" s="54" t="s">
        <v>191</v>
      </c>
      <c r="G192" s="58">
        <v>35</v>
      </c>
      <c r="H192" s="56">
        <f t="shared" si="16"/>
        <v>45107</v>
      </c>
      <c r="I192" s="57">
        <v>1.64</v>
      </c>
      <c r="J192" s="57">
        <v>9.84</v>
      </c>
      <c r="K192" s="57">
        <v>329.23</v>
      </c>
      <c r="L192" s="57">
        <v>358.08</v>
      </c>
      <c r="M192" s="54" t="s">
        <v>245</v>
      </c>
      <c r="N192" s="54" t="s">
        <v>79</v>
      </c>
      <c r="O192" s="54" t="s">
        <v>193</v>
      </c>
      <c r="P192" s="54" t="s">
        <v>246</v>
      </c>
    </row>
    <row r="193" spans="1:16" ht="17.45" customHeight="1" x14ac:dyDescent="0.25">
      <c r="A193" s="54" t="s">
        <v>467</v>
      </c>
      <c r="B193" s="54" t="s">
        <v>466</v>
      </c>
      <c r="C193" s="56">
        <f>DATE(2007,2,28)</f>
        <v>39141</v>
      </c>
      <c r="D193" s="56">
        <f>DATE(2007,2,28)</f>
        <v>39141</v>
      </c>
      <c r="E193" s="57">
        <v>506.94</v>
      </c>
      <c r="F193" s="54" t="s">
        <v>191</v>
      </c>
      <c r="G193" s="58">
        <v>35</v>
      </c>
      <c r="H193" s="56">
        <f t="shared" si="16"/>
        <v>45107</v>
      </c>
      <c r="I193" s="57">
        <v>1.21</v>
      </c>
      <c r="J193" s="57">
        <v>7.25</v>
      </c>
      <c r="K193" s="57">
        <v>238.58</v>
      </c>
      <c r="L193" s="57">
        <v>268.36</v>
      </c>
      <c r="M193" s="54" t="s">
        <v>245</v>
      </c>
      <c r="N193" s="54" t="s">
        <v>79</v>
      </c>
      <c r="O193" s="54" t="s">
        <v>193</v>
      </c>
      <c r="P193" s="54" t="s">
        <v>246</v>
      </c>
    </row>
    <row r="194" spans="1:16" ht="17.45" customHeight="1" x14ac:dyDescent="0.25">
      <c r="A194" s="54" t="s">
        <v>468</v>
      </c>
      <c r="B194" s="54" t="s">
        <v>466</v>
      </c>
      <c r="C194" s="56">
        <f>DATE(2007,3,31)</f>
        <v>39172</v>
      </c>
      <c r="D194" s="56">
        <f>DATE(2007,3,31)</f>
        <v>39172</v>
      </c>
      <c r="E194" s="57">
        <v>8365.1</v>
      </c>
      <c r="F194" s="54" t="s">
        <v>191</v>
      </c>
      <c r="G194" s="58">
        <v>35</v>
      </c>
      <c r="H194" s="56">
        <f t="shared" si="16"/>
        <v>45107</v>
      </c>
      <c r="I194" s="57">
        <v>19.920000000000002</v>
      </c>
      <c r="J194" s="57">
        <v>119.51</v>
      </c>
      <c r="K194" s="57">
        <v>3913.64</v>
      </c>
      <c r="L194" s="57">
        <v>4451.46</v>
      </c>
      <c r="M194" s="54" t="s">
        <v>245</v>
      </c>
      <c r="N194" s="54" t="s">
        <v>79</v>
      </c>
      <c r="O194" s="54" t="s">
        <v>193</v>
      </c>
      <c r="P194" s="54" t="s">
        <v>246</v>
      </c>
    </row>
    <row r="195" spans="1:16" ht="17.45" customHeight="1" x14ac:dyDescent="0.25">
      <c r="A195" s="54" t="s">
        <v>469</v>
      </c>
      <c r="B195" s="54" t="s">
        <v>466</v>
      </c>
      <c r="C195" s="56">
        <f>DATE(2007,4,30)</f>
        <v>39202</v>
      </c>
      <c r="D195" s="56">
        <f>DATE(2007,4,30)</f>
        <v>39202</v>
      </c>
      <c r="E195" s="57">
        <v>1630.33</v>
      </c>
      <c r="F195" s="54" t="s">
        <v>191</v>
      </c>
      <c r="G195" s="58">
        <v>35</v>
      </c>
      <c r="H195" s="56">
        <f t="shared" si="16"/>
        <v>45107</v>
      </c>
      <c r="I195" s="57">
        <v>3.88</v>
      </c>
      <c r="J195" s="57">
        <v>23.28</v>
      </c>
      <c r="K195" s="57">
        <v>758.21</v>
      </c>
      <c r="L195" s="57">
        <v>872.12</v>
      </c>
      <c r="M195" s="54" t="s">
        <v>245</v>
      </c>
      <c r="N195" s="54" t="s">
        <v>79</v>
      </c>
      <c r="O195" s="54" t="s">
        <v>193</v>
      </c>
      <c r="P195" s="54" t="s">
        <v>246</v>
      </c>
    </row>
    <row r="196" spans="1:16" ht="17.45" customHeight="1" x14ac:dyDescent="0.25">
      <c r="A196" s="54" t="s">
        <v>470</v>
      </c>
      <c r="B196" s="54" t="s">
        <v>466</v>
      </c>
      <c r="C196" s="56">
        <f>DATE(2007,5,31)</f>
        <v>39233</v>
      </c>
      <c r="D196" s="56">
        <f>DATE(2007,5,31)</f>
        <v>39233</v>
      </c>
      <c r="E196" s="57">
        <v>1709.71</v>
      </c>
      <c r="F196" s="54" t="s">
        <v>191</v>
      </c>
      <c r="G196" s="58">
        <v>35</v>
      </c>
      <c r="H196" s="56">
        <f t="shared" si="16"/>
        <v>45107</v>
      </c>
      <c r="I196" s="57">
        <v>4.07</v>
      </c>
      <c r="J196" s="57">
        <v>24.42</v>
      </c>
      <c r="K196" s="57">
        <v>790.41</v>
      </c>
      <c r="L196" s="57">
        <v>919.3</v>
      </c>
      <c r="M196" s="54" t="s">
        <v>245</v>
      </c>
      <c r="N196" s="54" t="s">
        <v>79</v>
      </c>
      <c r="O196" s="54" t="s">
        <v>193</v>
      </c>
      <c r="P196" s="54" t="s">
        <v>246</v>
      </c>
    </row>
    <row r="197" spans="1:16" ht="17.45" customHeight="1" x14ac:dyDescent="0.25">
      <c r="A197" s="54" t="s">
        <v>471</v>
      </c>
      <c r="B197" s="54" t="s">
        <v>466</v>
      </c>
      <c r="C197" s="56">
        <f>DATE(2007,6,30)</f>
        <v>39263</v>
      </c>
      <c r="D197" s="56">
        <f>DATE(2007,6,30)</f>
        <v>39263</v>
      </c>
      <c r="E197" s="57">
        <v>3883.99</v>
      </c>
      <c r="F197" s="54" t="s">
        <v>191</v>
      </c>
      <c r="G197" s="58">
        <v>35</v>
      </c>
      <c r="H197" s="56">
        <f t="shared" si="16"/>
        <v>45107</v>
      </c>
      <c r="I197" s="57">
        <v>9.25</v>
      </c>
      <c r="J197" s="57">
        <v>55.5</v>
      </c>
      <c r="K197" s="57">
        <v>1784.79</v>
      </c>
      <c r="L197" s="57">
        <v>2099.1999999999998</v>
      </c>
      <c r="M197" s="54" t="s">
        <v>245</v>
      </c>
      <c r="N197" s="54" t="s">
        <v>79</v>
      </c>
      <c r="O197" s="54" t="s">
        <v>193</v>
      </c>
      <c r="P197" s="54" t="s">
        <v>246</v>
      </c>
    </row>
    <row r="198" spans="1:16" ht="17.45" customHeight="1" x14ac:dyDescent="0.25">
      <c r="A198" s="54" t="s">
        <v>472</v>
      </c>
      <c r="B198" s="54" t="s">
        <v>466</v>
      </c>
      <c r="C198" s="56">
        <f>DATE(2007,7,31)</f>
        <v>39294</v>
      </c>
      <c r="D198" s="56">
        <f>DATE(2007,7,31)</f>
        <v>39294</v>
      </c>
      <c r="E198" s="57">
        <v>14465.37</v>
      </c>
      <c r="F198" s="54" t="s">
        <v>191</v>
      </c>
      <c r="G198" s="58">
        <v>35</v>
      </c>
      <c r="H198" s="56">
        <f t="shared" si="16"/>
        <v>45107</v>
      </c>
      <c r="I198" s="57">
        <v>34.44</v>
      </c>
      <c r="J198" s="57">
        <v>206.64</v>
      </c>
      <c r="K198" s="57">
        <v>6607.03</v>
      </c>
      <c r="L198" s="57">
        <v>7858.34</v>
      </c>
      <c r="M198" s="54" t="s">
        <v>245</v>
      </c>
      <c r="N198" s="54" t="s">
        <v>79</v>
      </c>
      <c r="O198" s="54" t="s">
        <v>193</v>
      </c>
      <c r="P198" s="54" t="s">
        <v>246</v>
      </c>
    </row>
    <row r="199" spans="1:16" ht="17.45" customHeight="1" x14ac:dyDescent="0.25">
      <c r="A199" s="54" t="s">
        <v>473</v>
      </c>
      <c r="B199" s="54" t="s">
        <v>466</v>
      </c>
      <c r="C199" s="56">
        <f>DATE(2007,8,31)</f>
        <v>39325</v>
      </c>
      <c r="D199" s="56">
        <f>DATE(2007,8,31)</f>
        <v>39325</v>
      </c>
      <c r="E199" s="57">
        <v>2051.96</v>
      </c>
      <c r="F199" s="54" t="s">
        <v>191</v>
      </c>
      <c r="G199" s="58">
        <v>35</v>
      </c>
      <c r="H199" s="56">
        <f t="shared" si="16"/>
        <v>45107</v>
      </c>
      <c r="I199" s="57">
        <v>4.8899999999999997</v>
      </c>
      <c r="J199" s="57">
        <v>29.31</v>
      </c>
      <c r="K199" s="57">
        <v>931.53</v>
      </c>
      <c r="L199" s="57">
        <v>1120.43</v>
      </c>
      <c r="M199" s="54" t="s">
        <v>245</v>
      </c>
      <c r="N199" s="54" t="s">
        <v>79</v>
      </c>
      <c r="O199" s="54" t="s">
        <v>193</v>
      </c>
      <c r="P199" s="54" t="s">
        <v>246</v>
      </c>
    </row>
    <row r="200" spans="1:16" ht="17.45" customHeight="1" x14ac:dyDescent="0.25">
      <c r="A200" s="54" t="s">
        <v>474</v>
      </c>
      <c r="B200" s="54" t="s">
        <v>466</v>
      </c>
      <c r="C200" s="56">
        <f>DATE(2007,9,30)</f>
        <v>39355</v>
      </c>
      <c r="D200" s="56">
        <f>DATE(2007,9,30)</f>
        <v>39355</v>
      </c>
      <c r="E200" s="57">
        <v>50404.18</v>
      </c>
      <c r="F200" s="54" t="s">
        <v>191</v>
      </c>
      <c r="G200" s="58">
        <v>35</v>
      </c>
      <c r="H200" s="56">
        <f t="shared" si="16"/>
        <v>45107</v>
      </c>
      <c r="I200" s="57">
        <v>120.01</v>
      </c>
      <c r="J200" s="57">
        <v>720.05</v>
      </c>
      <c r="K200" s="57">
        <v>22741.91</v>
      </c>
      <c r="L200" s="57">
        <v>27662.27</v>
      </c>
      <c r="M200" s="54" t="s">
        <v>245</v>
      </c>
      <c r="N200" s="54" t="s">
        <v>79</v>
      </c>
      <c r="O200" s="54" t="s">
        <v>193</v>
      </c>
      <c r="P200" s="54" t="s">
        <v>246</v>
      </c>
    </row>
    <row r="201" spans="1:16" ht="17.45" customHeight="1" x14ac:dyDescent="0.25">
      <c r="A201" s="54" t="s">
        <v>475</v>
      </c>
      <c r="B201" s="54" t="s">
        <v>466</v>
      </c>
      <c r="C201" s="56">
        <f>DATE(2007,10,30)</f>
        <v>39385</v>
      </c>
      <c r="D201" s="56">
        <f>DATE(2007,10,30)</f>
        <v>39385</v>
      </c>
      <c r="E201" s="57">
        <v>5983.27</v>
      </c>
      <c r="F201" s="54" t="s">
        <v>191</v>
      </c>
      <c r="G201" s="58">
        <v>35</v>
      </c>
      <c r="H201" s="56">
        <f t="shared" si="16"/>
        <v>45107</v>
      </c>
      <c r="I201" s="57">
        <v>14.25</v>
      </c>
      <c r="J201" s="57">
        <v>85.49</v>
      </c>
      <c r="K201" s="57">
        <v>2682.96</v>
      </c>
      <c r="L201" s="57">
        <v>3300.31</v>
      </c>
      <c r="M201" s="54" t="s">
        <v>245</v>
      </c>
      <c r="N201" s="54" t="s">
        <v>79</v>
      </c>
      <c r="O201" s="54" t="s">
        <v>193</v>
      </c>
      <c r="P201" s="54" t="s">
        <v>246</v>
      </c>
    </row>
    <row r="202" spans="1:16" ht="17.45" customHeight="1" x14ac:dyDescent="0.25">
      <c r="A202" s="54" t="s">
        <v>476</v>
      </c>
      <c r="B202" s="54" t="s">
        <v>466</v>
      </c>
      <c r="C202" s="56">
        <f>DATE(2007,11,30)</f>
        <v>39416</v>
      </c>
      <c r="D202" s="56">
        <f>DATE(2007,11,30)</f>
        <v>39416</v>
      </c>
      <c r="E202" s="57">
        <v>3281.55</v>
      </c>
      <c r="F202" s="54" t="s">
        <v>191</v>
      </c>
      <c r="G202" s="58">
        <v>35</v>
      </c>
      <c r="H202" s="56">
        <f t="shared" si="16"/>
        <v>45107</v>
      </c>
      <c r="I202" s="57">
        <v>7.81</v>
      </c>
      <c r="J202" s="57">
        <v>46.87</v>
      </c>
      <c r="K202" s="57">
        <v>1462.36</v>
      </c>
      <c r="L202" s="57">
        <v>1819.19</v>
      </c>
      <c r="M202" s="54" t="s">
        <v>245</v>
      </c>
      <c r="N202" s="54" t="s">
        <v>79</v>
      </c>
      <c r="O202" s="54" t="s">
        <v>193</v>
      </c>
      <c r="P202" s="54" t="s">
        <v>246</v>
      </c>
    </row>
    <row r="203" spans="1:16" ht="17.45" customHeight="1" x14ac:dyDescent="0.25">
      <c r="A203" s="54" t="s">
        <v>477</v>
      </c>
      <c r="B203" s="54" t="s">
        <v>466</v>
      </c>
      <c r="C203" s="56">
        <f>DATE(2007,12,1)</f>
        <v>39417</v>
      </c>
      <c r="D203" s="56">
        <f>DATE(2007,12,1)</f>
        <v>39417</v>
      </c>
      <c r="E203" s="57">
        <v>27721.52</v>
      </c>
      <c r="F203" s="54" t="s">
        <v>191</v>
      </c>
      <c r="G203" s="58">
        <v>35</v>
      </c>
      <c r="H203" s="56">
        <f t="shared" si="16"/>
        <v>45107</v>
      </c>
      <c r="I203" s="57">
        <v>66</v>
      </c>
      <c r="J203" s="57">
        <v>396</v>
      </c>
      <c r="K203" s="57">
        <v>12352.85</v>
      </c>
      <c r="L203" s="57">
        <v>15368.67</v>
      </c>
      <c r="M203" s="54" t="s">
        <v>245</v>
      </c>
      <c r="N203" s="54" t="s">
        <v>79</v>
      </c>
      <c r="O203" s="54" t="s">
        <v>193</v>
      </c>
      <c r="P203" s="54" t="s">
        <v>246</v>
      </c>
    </row>
    <row r="204" spans="1:16" ht="17.45" customHeight="1" x14ac:dyDescent="0.25">
      <c r="A204" s="54" t="s">
        <v>478</v>
      </c>
      <c r="B204" s="54" t="s">
        <v>479</v>
      </c>
      <c r="C204" s="56">
        <f>DATE(2007,12,1)</f>
        <v>39417</v>
      </c>
      <c r="D204" s="56">
        <f>DATE(2007,12,1)</f>
        <v>39417</v>
      </c>
      <c r="E204" s="57">
        <v>346.56</v>
      </c>
      <c r="F204" s="54" t="s">
        <v>191</v>
      </c>
      <c r="G204" s="58">
        <v>35</v>
      </c>
      <c r="H204" s="56">
        <f t="shared" si="16"/>
        <v>45107</v>
      </c>
      <c r="I204" s="57">
        <v>0.83</v>
      </c>
      <c r="J204" s="57">
        <v>4.9800000000000004</v>
      </c>
      <c r="K204" s="57">
        <v>154.46</v>
      </c>
      <c r="L204" s="57">
        <v>192.1</v>
      </c>
      <c r="M204" s="54" t="s">
        <v>245</v>
      </c>
      <c r="N204" s="54" t="s">
        <v>79</v>
      </c>
      <c r="O204" s="54" t="s">
        <v>193</v>
      </c>
      <c r="P204" s="54" t="s">
        <v>246</v>
      </c>
    </row>
    <row r="205" spans="1:16" ht="17.45" customHeight="1" x14ac:dyDescent="0.25">
      <c r="A205" s="54" t="s">
        <v>480</v>
      </c>
      <c r="B205" s="54" t="s">
        <v>466</v>
      </c>
      <c r="C205" s="56">
        <f>DATE(2008,1,2)</f>
        <v>39449</v>
      </c>
      <c r="D205" s="56">
        <f>DATE(2008,1,2)</f>
        <v>39449</v>
      </c>
      <c r="E205" s="57">
        <v>18701.89</v>
      </c>
      <c r="F205" s="54" t="s">
        <v>191</v>
      </c>
      <c r="G205" s="58">
        <v>35</v>
      </c>
      <c r="H205" s="56">
        <f t="shared" si="16"/>
        <v>45107</v>
      </c>
      <c r="I205" s="57">
        <v>44.53</v>
      </c>
      <c r="J205" s="57">
        <v>267.18</v>
      </c>
      <c r="K205" s="57">
        <v>8282.27</v>
      </c>
      <c r="L205" s="57">
        <v>10419.620000000001</v>
      </c>
      <c r="M205" s="54" t="s">
        <v>245</v>
      </c>
      <c r="N205" s="54" t="s">
        <v>79</v>
      </c>
      <c r="O205" s="54" t="s">
        <v>193</v>
      </c>
      <c r="P205" s="54" t="s">
        <v>246</v>
      </c>
    </row>
    <row r="206" spans="1:16" ht="17.45" customHeight="1" x14ac:dyDescent="0.25">
      <c r="A206" s="54" t="s">
        <v>481</v>
      </c>
      <c r="B206" s="54" t="s">
        <v>466</v>
      </c>
      <c r="C206" s="56">
        <f>DATE(2008,2,1)</f>
        <v>39479</v>
      </c>
      <c r="D206" s="56">
        <f>DATE(2008,2,1)</f>
        <v>39479</v>
      </c>
      <c r="E206" s="57">
        <v>8743.52</v>
      </c>
      <c r="F206" s="54" t="s">
        <v>191</v>
      </c>
      <c r="G206" s="58">
        <v>35</v>
      </c>
      <c r="H206" s="56">
        <f t="shared" si="16"/>
        <v>45107</v>
      </c>
      <c r="I206" s="57">
        <v>20.82</v>
      </c>
      <c r="J206" s="57">
        <v>124.9</v>
      </c>
      <c r="K206" s="57">
        <v>3851.28</v>
      </c>
      <c r="L206" s="57">
        <v>4892.24</v>
      </c>
      <c r="M206" s="54" t="s">
        <v>245</v>
      </c>
      <c r="N206" s="54" t="s">
        <v>79</v>
      </c>
      <c r="O206" s="54" t="s">
        <v>193</v>
      </c>
      <c r="P206" s="54" t="s">
        <v>246</v>
      </c>
    </row>
    <row r="207" spans="1:16" ht="17.45" customHeight="1" x14ac:dyDescent="0.25">
      <c r="A207" s="54" t="s">
        <v>482</v>
      </c>
      <c r="B207" s="54" t="s">
        <v>483</v>
      </c>
      <c r="C207" s="56">
        <f>DATE(2008,9,1)</f>
        <v>39692</v>
      </c>
      <c r="D207" s="56">
        <f>DATE(2008,9,1)</f>
        <v>39692</v>
      </c>
      <c r="E207" s="57">
        <v>5000.58</v>
      </c>
      <c r="F207" s="54" t="s">
        <v>191</v>
      </c>
      <c r="G207" s="58">
        <v>35</v>
      </c>
      <c r="H207" s="56">
        <f t="shared" si="16"/>
        <v>45107</v>
      </c>
      <c r="I207" s="57">
        <v>11.91</v>
      </c>
      <c r="J207" s="57">
        <v>71.45</v>
      </c>
      <c r="K207" s="57">
        <v>2119.3000000000002</v>
      </c>
      <c r="L207" s="57">
        <v>2881.28</v>
      </c>
      <c r="M207" s="54" t="s">
        <v>245</v>
      </c>
      <c r="N207" s="54" t="s">
        <v>79</v>
      </c>
      <c r="O207" s="54" t="s">
        <v>193</v>
      </c>
      <c r="P207" s="54" t="s">
        <v>246</v>
      </c>
    </row>
    <row r="208" spans="1:16" ht="17.45" customHeight="1" x14ac:dyDescent="0.25">
      <c r="A208" s="54" t="s">
        <v>484</v>
      </c>
      <c r="B208" s="54" t="s">
        <v>466</v>
      </c>
      <c r="C208" s="56">
        <f>DATE(2008,11,1)</f>
        <v>39753</v>
      </c>
      <c r="D208" s="56">
        <f>DATE(2008,11,1)</f>
        <v>39753</v>
      </c>
      <c r="E208" s="57">
        <v>10156.33</v>
      </c>
      <c r="F208" s="54" t="s">
        <v>191</v>
      </c>
      <c r="G208" s="58">
        <v>35</v>
      </c>
      <c r="H208" s="56">
        <f t="shared" si="16"/>
        <v>45107</v>
      </c>
      <c r="I208" s="57">
        <v>24.18</v>
      </c>
      <c r="J208" s="57">
        <v>145.09</v>
      </c>
      <c r="K208" s="57">
        <v>4255.99</v>
      </c>
      <c r="L208" s="57">
        <v>5900.34</v>
      </c>
      <c r="M208" s="54" t="s">
        <v>245</v>
      </c>
      <c r="N208" s="54" t="s">
        <v>79</v>
      </c>
      <c r="O208" s="54" t="s">
        <v>193</v>
      </c>
      <c r="P208" s="54" t="s">
        <v>246</v>
      </c>
    </row>
    <row r="209" spans="1:16" ht="17.45" customHeight="1" x14ac:dyDescent="0.25">
      <c r="A209" s="54" t="s">
        <v>485</v>
      </c>
      <c r="B209" s="54" t="s">
        <v>483</v>
      </c>
      <c r="C209" s="56">
        <f>DATE(2008,12,1)</f>
        <v>39783</v>
      </c>
      <c r="D209" s="56">
        <f>DATE(2008,12,1)</f>
        <v>39783</v>
      </c>
      <c r="E209" s="57">
        <v>3789.23</v>
      </c>
      <c r="F209" s="54" t="s">
        <v>191</v>
      </c>
      <c r="G209" s="58">
        <v>35</v>
      </c>
      <c r="H209" s="56">
        <f t="shared" si="16"/>
        <v>45107</v>
      </c>
      <c r="I209" s="57">
        <v>9.02</v>
      </c>
      <c r="J209" s="57">
        <v>54.12</v>
      </c>
      <c r="K209" s="57">
        <v>1578.84</v>
      </c>
      <c r="L209" s="57">
        <v>2210.39</v>
      </c>
      <c r="M209" s="54" t="s">
        <v>245</v>
      </c>
      <c r="N209" s="54" t="s">
        <v>79</v>
      </c>
      <c r="O209" s="54" t="s">
        <v>193</v>
      </c>
      <c r="P209" s="54" t="s">
        <v>246</v>
      </c>
    </row>
    <row r="210" spans="1:16" ht="17.45" customHeight="1" x14ac:dyDescent="0.25">
      <c r="A210" s="54" t="s">
        <v>486</v>
      </c>
      <c r="B210" s="54" t="s">
        <v>487</v>
      </c>
      <c r="C210" s="56">
        <f>DATE(2009,12,1)</f>
        <v>40148</v>
      </c>
      <c r="D210" s="56">
        <f>DATE(2009,12,1)</f>
        <v>40148</v>
      </c>
      <c r="E210" s="57">
        <v>56855.01</v>
      </c>
      <c r="F210" s="54" t="s">
        <v>191</v>
      </c>
      <c r="G210" s="58">
        <v>35</v>
      </c>
      <c r="H210" s="56">
        <f t="shared" si="16"/>
        <v>45107</v>
      </c>
      <c r="I210" s="57">
        <v>135.37</v>
      </c>
      <c r="J210" s="57">
        <v>812.2</v>
      </c>
      <c r="K210" s="57">
        <v>22065.17</v>
      </c>
      <c r="L210" s="57">
        <v>34789.839999999997</v>
      </c>
      <c r="M210" s="54" t="s">
        <v>245</v>
      </c>
      <c r="N210" s="54" t="s">
        <v>79</v>
      </c>
      <c r="O210" s="54" t="s">
        <v>193</v>
      </c>
      <c r="P210" s="54" t="s">
        <v>246</v>
      </c>
    </row>
    <row r="211" spans="1:16" ht="17.45" customHeight="1" x14ac:dyDescent="0.25">
      <c r="A211" s="54" t="s">
        <v>488</v>
      </c>
      <c r="B211" s="54" t="s">
        <v>489</v>
      </c>
      <c r="C211" s="56">
        <f>DATE(2009,12,31)</f>
        <v>40178</v>
      </c>
      <c r="D211" s="56">
        <f>DATE(2009,12,31)</f>
        <v>40178</v>
      </c>
      <c r="E211" s="57">
        <v>21665.599999999999</v>
      </c>
      <c r="F211" s="54" t="s">
        <v>191</v>
      </c>
      <c r="G211" s="58">
        <v>35</v>
      </c>
      <c r="H211" s="56">
        <f t="shared" si="16"/>
        <v>45107</v>
      </c>
      <c r="I211" s="57">
        <v>51.58</v>
      </c>
      <c r="J211" s="57">
        <v>309.5</v>
      </c>
      <c r="K211" s="57">
        <v>8356.68</v>
      </c>
      <c r="L211" s="57">
        <v>13308.92</v>
      </c>
      <c r="M211" s="54" t="s">
        <v>245</v>
      </c>
      <c r="N211" s="54" t="s">
        <v>79</v>
      </c>
      <c r="O211" s="54" t="s">
        <v>193</v>
      </c>
      <c r="P211" s="54" t="s">
        <v>246</v>
      </c>
    </row>
    <row r="212" spans="1:16" ht="17.45" customHeight="1" x14ac:dyDescent="0.25">
      <c r="A212" s="54" t="s">
        <v>490</v>
      </c>
      <c r="B212" s="54" t="s">
        <v>483</v>
      </c>
      <c r="C212" s="56">
        <f>DATE(2010,3,31)</f>
        <v>40268</v>
      </c>
      <c r="D212" s="56">
        <f>DATE(2010,3,31)</f>
        <v>40268</v>
      </c>
      <c r="E212" s="57">
        <v>645.24</v>
      </c>
      <c r="F212" s="54" t="s">
        <v>191</v>
      </c>
      <c r="G212" s="58">
        <v>35</v>
      </c>
      <c r="H212" s="56">
        <f t="shared" si="16"/>
        <v>45107</v>
      </c>
      <c r="I212" s="57">
        <v>1.54</v>
      </c>
      <c r="J212" s="57">
        <v>9.2200000000000006</v>
      </c>
      <c r="K212" s="57">
        <v>244.28</v>
      </c>
      <c r="L212" s="57">
        <v>400.96</v>
      </c>
      <c r="M212" s="54" t="s">
        <v>245</v>
      </c>
      <c r="N212" s="54" t="s">
        <v>79</v>
      </c>
      <c r="O212" s="54" t="s">
        <v>193</v>
      </c>
      <c r="P212" s="54" t="s">
        <v>246</v>
      </c>
    </row>
    <row r="213" spans="1:16" ht="17.45" customHeight="1" x14ac:dyDescent="0.25">
      <c r="A213" s="54" t="s">
        <v>491</v>
      </c>
      <c r="B213" s="54" t="s">
        <v>483</v>
      </c>
      <c r="C213" s="56">
        <f>DATE(2010,4,30)</f>
        <v>40298</v>
      </c>
      <c r="D213" s="56">
        <f>DATE(2010,4,30)</f>
        <v>40298</v>
      </c>
      <c r="E213" s="57">
        <v>1836.88</v>
      </c>
      <c r="F213" s="54" t="s">
        <v>191</v>
      </c>
      <c r="G213" s="58">
        <v>35</v>
      </c>
      <c r="H213" s="56">
        <f t="shared" si="16"/>
        <v>45107</v>
      </c>
      <c r="I213" s="57">
        <v>4.37</v>
      </c>
      <c r="J213" s="57">
        <v>26.23</v>
      </c>
      <c r="K213" s="57">
        <v>690.98</v>
      </c>
      <c r="L213" s="57">
        <v>1145.9000000000001</v>
      </c>
      <c r="M213" s="54" t="s">
        <v>245</v>
      </c>
      <c r="N213" s="54" t="s">
        <v>79</v>
      </c>
      <c r="O213" s="54" t="s">
        <v>193</v>
      </c>
      <c r="P213" s="54" t="s">
        <v>246</v>
      </c>
    </row>
    <row r="214" spans="1:16" ht="17.45" customHeight="1" x14ac:dyDescent="0.25">
      <c r="A214" s="54" t="s">
        <v>492</v>
      </c>
      <c r="B214" s="54" t="s">
        <v>483</v>
      </c>
      <c r="C214" s="56">
        <f>DATE(2010,5,31)</f>
        <v>40329</v>
      </c>
      <c r="D214" s="56">
        <f>DATE(2010,5,31)</f>
        <v>40329</v>
      </c>
      <c r="E214" s="57">
        <v>215.65</v>
      </c>
      <c r="F214" s="54" t="s">
        <v>191</v>
      </c>
      <c r="G214" s="58">
        <v>35</v>
      </c>
      <c r="H214" s="56">
        <f t="shared" si="16"/>
        <v>45107</v>
      </c>
      <c r="I214" s="57">
        <v>0.51</v>
      </c>
      <c r="J214" s="57">
        <v>3.07</v>
      </c>
      <c r="K214" s="57">
        <v>80.62</v>
      </c>
      <c r="L214" s="57">
        <v>135.03</v>
      </c>
      <c r="M214" s="54" t="s">
        <v>245</v>
      </c>
      <c r="N214" s="54" t="s">
        <v>79</v>
      </c>
      <c r="O214" s="54" t="s">
        <v>193</v>
      </c>
      <c r="P214" s="54" t="s">
        <v>246</v>
      </c>
    </row>
    <row r="215" spans="1:16" ht="17.45" customHeight="1" x14ac:dyDescent="0.25">
      <c r="A215" s="54" t="s">
        <v>493</v>
      </c>
      <c r="B215" s="54" t="s">
        <v>483</v>
      </c>
      <c r="C215" s="56">
        <f>DATE(2010,6,30)</f>
        <v>40359</v>
      </c>
      <c r="D215" s="56">
        <f>DATE(2010,6,30)</f>
        <v>40359</v>
      </c>
      <c r="E215" s="57">
        <v>1758.98</v>
      </c>
      <c r="F215" s="54" t="s">
        <v>191</v>
      </c>
      <c r="G215" s="58">
        <v>35</v>
      </c>
      <c r="H215" s="56">
        <f t="shared" si="16"/>
        <v>45107</v>
      </c>
      <c r="I215" s="57">
        <v>4.1900000000000004</v>
      </c>
      <c r="J215" s="57">
        <v>25.14</v>
      </c>
      <c r="K215" s="57">
        <v>653.34</v>
      </c>
      <c r="L215" s="57">
        <v>1105.6400000000001</v>
      </c>
      <c r="M215" s="54" t="s">
        <v>245</v>
      </c>
      <c r="N215" s="54" t="s">
        <v>79</v>
      </c>
      <c r="O215" s="54" t="s">
        <v>193</v>
      </c>
      <c r="P215" s="54" t="s">
        <v>246</v>
      </c>
    </row>
    <row r="216" spans="1:16" ht="17.45" customHeight="1" x14ac:dyDescent="0.25">
      <c r="A216" s="54" t="s">
        <v>494</v>
      </c>
      <c r="B216" s="54" t="s">
        <v>483</v>
      </c>
      <c r="C216" s="56">
        <f>DATE(2010,9,30)</f>
        <v>40451</v>
      </c>
      <c r="D216" s="56">
        <f>DATE(2010,9,30)</f>
        <v>40451</v>
      </c>
      <c r="E216" s="57">
        <v>27311.15</v>
      </c>
      <c r="F216" s="54" t="s">
        <v>191</v>
      </c>
      <c r="G216" s="58">
        <v>35</v>
      </c>
      <c r="H216" s="56">
        <f t="shared" si="16"/>
        <v>45107</v>
      </c>
      <c r="I216" s="57">
        <v>65.03</v>
      </c>
      <c r="J216" s="57">
        <v>390.18</v>
      </c>
      <c r="K216" s="57">
        <v>9949.07</v>
      </c>
      <c r="L216" s="57">
        <v>17362.080000000002</v>
      </c>
      <c r="M216" s="54" t="s">
        <v>245</v>
      </c>
      <c r="N216" s="54" t="s">
        <v>79</v>
      </c>
      <c r="O216" s="54" t="s">
        <v>193</v>
      </c>
      <c r="P216" s="54" t="s">
        <v>246</v>
      </c>
    </row>
    <row r="217" spans="1:16" ht="17.45" customHeight="1" x14ac:dyDescent="0.25">
      <c r="A217" s="54" t="s">
        <v>495</v>
      </c>
      <c r="B217" s="54" t="s">
        <v>496</v>
      </c>
      <c r="C217" s="56">
        <f>DATE(2010,11,1)</f>
        <v>40483</v>
      </c>
      <c r="D217" s="56">
        <f>DATE(2010,11,1)</f>
        <v>40483</v>
      </c>
      <c r="E217" s="57">
        <v>12921.56</v>
      </c>
      <c r="F217" s="54" t="s">
        <v>191</v>
      </c>
      <c r="G217" s="58">
        <v>35</v>
      </c>
      <c r="H217" s="56">
        <f t="shared" si="16"/>
        <v>45107</v>
      </c>
      <c r="I217" s="57">
        <v>30.77</v>
      </c>
      <c r="J217" s="57">
        <v>184.6</v>
      </c>
      <c r="K217" s="57">
        <v>4676.37</v>
      </c>
      <c r="L217" s="57">
        <v>8245.19</v>
      </c>
      <c r="M217" s="54" t="s">
        <v>245</v>
      </c>
      <c r="N217" s="54" t="s">
        <v>79</v>
      </c>
      <c r="O217" s="54" t="s">
        <v>193</v>
      </c>
      <c r="P217" s="54" t="s">
        <v>246</v>
      </c>
    </row>
    <row r="218" spans="1:16" ht="17.45" customHeight="1" x14ac:dyDescent="0.25">
      <c r="A218" s="54" t="s">
        <v>497</v>
      </c>
      <c r="B218" s="54" t="s">
        <v>443</v>
      </c>
      <c r="C218" s="56">
        <f>DATE(2011,1,31)</f>
        <v>40574</v>
      </c>
      <c r="D218" s="56">
        <f>DATE(2011,1,31)</f>
        <v>40574</v>
      </c>
      <c r="E218" s="57">
        <v>15217.89</v>
      </c>
      <c r="F218" s="54" t="s">
        <v>191</v>
      </c>
      <c r="G218" s="58">
        <v>35</v>
      </c>
      <c r="H218" s="56">
        <f t="shared" si="16"/>
        <v>45107</v>
      </c>
      <c r="I218" s="57">
        <v>36.229999999999997</v>
      </c>
      <c r="J218" s="57">
        <v>217.39</v>
      </c>
      <c r="K218" s="57">
        <v>5398.73</v>
      </c>
      <c r="L218" s="57">
        <v>9819.16</v>
      </c>
      <c r="M218" s="54" t="s">
        <v>245</v>
      </c>
      <c r="N218" s="54" t="s">
        <v>79</v>
      </c>
      <c r="O218" s="54" t="s">
        <v>193</v>
      </c>
      <c r="P218" s="54" t="s">
        <v>246</v>
      </c>
    </row>
    <row r="219" spans="1:16" ht="17.45" customHeight="1" x14ac:dyDescent="0.25">
      <c r="A219" s="54" t="s">
        <v>498</v>
      </c>
      <c r="B219" s="54" t="s">
        <v>443</v>
      </c>
      <c r="C219" s="56">
        <f>DATE(2011,2,28)</f>
        <v>40602</v>
      </c>
      <c r="D219" s="56">
        <f>DATE(2011,2,28)</f>
        <v>40602</v>
      </c>
      <c r="E219" s="57">
        <v>29543.99</v>
      </c>
      <c r="F219" s="54" t="s">
        <v>191</v>
      </c>
      <c r="G219" s="58">
        <v>35</v>
      </c>
      <c r="H219" s="56">
        <f t="shared" si="16"/>
        <v>45107</v>
      </c>
      <c r="I219" s="57">
        <v>70.34</v>
      </c>
      <c r="J219" s="57">
        <v>422.05</v>
      </c>
      <c r="K219" s="57">
        <v>10410.69</v>
      </c>
      <c r="L219" s="57">
        <v>19133.3</v>
      </c>
      <c r="M219" s="54" t="s">
        <v>245</v>
      </c>
      <c r="N219" s="54" t="s">
        <v>79</v>
      </c>
      <c r="O219" s="54" t="s">
        <v>193</v>
      </c>
      <c r="P219" s="54" t="s">
        <v>246</v>
      </c>
    </row>
    <row r="220" spans="1:16" ht="17.45" customHeight="1" x14ac:dyDescent="0.25">
      <c r="A220" s="54" t="s">
        <v>499</v>
      </c>
      <c r="B220" s="54" t="s">
        <v>443</v>
      </c>
      <c r="C220" s="56">
        <f>DATE(2011,3,31)</f>
        <v>40633</v>
      </c>
      <c r="D220" s="56">
        <f>DATE(2011,3,31)</f>
        <v>40633</v>
      </c>
      <c r="E220" s="57">
        <v>38050.25</v>
      </c>
      <c r="F220" s="54" t="s">
        <v>191</v>
      </c>
      <c r="G220" s="58">
        <v>35</v>
      </c>
      <c r="H220" s="56">
        <f t="shared" si="16"/>
        <v>45107</v>
      </c>
      <c r="I220" s="57">
        <v>90.6</v>
      </c>
      <c r="J220" s="57">
        <v>543.58000000000004</v>
      </c>
      <c r="K220" s="57">
        <v>13317.59</v>
      </c>
      <c r="L220" s="57">
        <v>24732.66</v>
      </c>
      <c r="M220" s="54" t="s">
        <v>245</v>
      </c>
      <c r="N220" s="54" t="s">
        <v>79</v>
      </c>
      <c r="O220" s="54" t="s">
        <v>193</v>
      </c>
      <c r="P220" s="54" t="s">
        <v>246</v>
      </c>
    </row>
    <row r="221" spans="1:16" ht="17.45" customHeight="1" x14ac:dyDescent="0.25">
      <c r="A221" s="54" t="s">
        <v>500</v>
      </c>
      <c r="B221" s="54" t="s">
        <v>443</v>
      </c>
      <c r="C221" s="56">
        <f>DATE(2011,4,30)</f>
        <v>40663</v>
      </c>
      <c r="D221" s="56">
        <f>DATE(2011,4,30)</f>
        <v>40663</v>
      </c>
      <c r="E221" s="57">
        <v>21348.66</v>
      </c>
      <c r="F221" s="54" t="s">
        <v>191</v>
      </c>
      <c r="G221" s="58">
        <v>35</v>
      </c>
      <c r="H221" s="56">
        <f t="shared" si="16"/>
        <v>45107</v>
      </c>
      <c r="I221" s="57">
        <v>50.83</v>
      </c>
      <c r="J221" s="57">
        <v>304.98</v>
      </c>
      <c r="K221" s="57">
        <v>7421.21</v>
      </c>
      <c r="L221" s="57">
        <v>13927.45</v>
      </c>
      <c r="M221" s="54" t="s">
        <v>245</v>
      </c>
      <c r="N221" s="54" t="s">
        <v>79</v>
      </c>
      <c r="O221" s="54" t="s">
        <v>193</v>
      </c>
      <c r="P221" s="54" t="s">
        <v>246</v>
      </c>
    </row>
    <row r="222" spans="1:16" ht="17.45" customHeight="1" x14ac:dyDescent="0.25">
      <c r="A222" s="54" t="s">
        <v>501</v>
      </c>
      <c r="B222" s="54" t="s">
        <v>443</v>
      </c>
      <c r="C222" s="56">
        <f>DATE(2011,5,31)</f>
        <v>40694</v>
      </c>
      <c r="D222" s="56">
        <f>DATE(2011,5,31)</f>
        <v>40694</v>
      </c>
      <c r="E222" s="57">
        <v>22626.76</v>
      </c>
      <c r="F222" s="54" t="s">
        <v>191</v>
      </c>
      <c r="G222" s="58">
        <v>35</v>
      </c>
      <c r="H222" s="56">
        <f t="shared" si="16"/>
        <v>45107</v>
      </c>
      <c r="I222" s="57">
        <v>53.87</v>
      </c>
      <c r="J222" s="57">
        <v>323.22000000000003</v>
      </c>
      <c r="K222" s="57">
        <v>7811.62</v>
      </c>
      <c r="L222" s="57">
        <v>14815.14</v>
      </c>
      <c r="M222" s="54" t="s">
        <v>245</v>
      </c>
      <c r="N222" s="54" t="s">
        <v>79</v>
      </c>
      <c r="O222" s="54" t="s">
        <v>193</v>
      </c>
      <c r="P222" s="54" t="s">
        <v>246</v>
      </c>
    </row>
    <row r="223" spans="1:16" ht="17.45" customHeight="1" x14ac:dyDescent="0.25">
      <c r="A223" s="54" t="s">
        <v>502</v>
      </c>
      <c r="B223" s="54" t="s">
        <v>443</v>
      </c>
      <c r="C223" s="56">
        <f>DATE(2011,6,30)</f>
        <v>40724</v>
      </c>
      <c r="D223" s="56">
        <f>DATE(2011,6,30)</f>
        <v>40724</v>
      </c>
      <c r="E223" s="57">
        <v>6348.35</v>
      </c>
      <c r="F223" s="54" t="s">
        <v>191</v>
      </c>
      <c r="G223" s="58">
        <v>35</v>
      </c>
      <c r="H223" s="56">
        <f t="shared" si="16"/>
        <v>45107</v>
      </c>
      <c r="I223" s="57">
        <v>15.12</v>
      </c>
      <c r="J223" s="57">
        <v>90.72</v>
      </c>
      <c r="K223" s="57">
        <v>2176.63</v>
      </c>
      <c r="L223" s="57">
        <v>4171.72</v>
      </c>
      <c r="M223" s="54" t="s">
        <v>245</v>
      </c>
      <c r="N223" s="54" t="s">
        <v>79</v>
      </c>
      <c r="O223" s="54" t="s">
        <v>193</v>
      </c>
      <c r="P223" s="54" t="s">
        <v>246</v>
      </c>
    </row>
    <row r="224" spans="1:16" ht="17.45" customHeight="1" x14ac:dyDescent="0.25">
      <c r="A224" s="54" t="s">
        <v>503</v>
      </c>
      <c r="B224" s="54" t="s">
        <v>443</v>
      </c>
      <c r="C224" s="56">
        <f>DATE(2011,7,31)</f>
        <v>40755</v>
      </c>
      <c r="D224" s="56">
        <f>DATE(2011,7,31)</f>
        <v>40755</v>
      </c>
      <c r="E224" s="57">
        <v>4975.54</v>
      </c>
      <c r="F224" s="54" t="s">
        <v>191</v>
      </c>
      <c r="G224" s="58">
        <v>35</v>
      </c>
      <c r="H224" s="56">
        <f t="shared" si="16"/>
        <v>45107</v>
      </c>
      <c r="I224" s="57">
        <v>11.85</v>
      </c>
      <c r="J224" s="57">
        <v>71.099999999999994</v>
      </c>
      <c r="K224" s="57">
        <v>1694.1</v>
      </c>
      <c r="L224" s="57">
        <v>3281.44</v>
      </c>
      <c r="M224" s="54" t="s">
        <v>245</v>
      </c>
      <c r="N224" s="54" t="s">
        <v>79</v>
      </c>
      <c r="O224" s="54" t="s">
        <v>193</v>
      </c>
      <c r="P224" s="54" t="s">
        <v>246</v>
      </c>
    </row>
    <row r="225" spans="1:16" ht="17.45" customHeight="1" x14ac:dyDescent="0.25">
      <c r="A225" s="54" t="s">
        <v>504</v>
      </c>
      <c r="B225" s="54" t="s">
        <v>443</v>
      </c>
      <c r="C225" s="56">
        <f>DATE(2011,8,31)</f>
        <v>40786</v>
      </c>
      <c r="D225" s="56">
        <f>DATE(2011,8,31)</f>
        <v>40786</v>
      </c>
      <c r="E225" s="57">
        <v>2045.73</v>
      </c>
      <c r="F225" s="54" t="s">
        <v>191</v>
      </c>
      <c r="G225" s="58">
        <v>35</v>
      </c>
      <c r="H225" s="56">
        <f t="shared" si="16"/>
        <v>45107</v>
      </c>
      <c r="I225" s="57">
        <v>4.87</v>
      </c>
      <c r="J225" s="57">
        <v>29.21</v>
      </c>
      <c r="K225" s="57">
        <v>691.64</v>
      </c>
      <c r="L225" s="57">
        <v>1354.09</v>
      </c>
      <c r="M225" s="54" t="s">
        <v>245</v>
      </c>
      <c r="N225" s="54" t="s">
        <v>79</v>
      </c>
      <c r="O225" s="54" t="s">
        <v>193</v>
      </c>
      <c r="P225" s="54" t="s">
        <v>246</v>
      </c>
    </row>
    <row r="226" spans="1:16" ht="17.45" customHeight="1" x14ac:dyDescent="0.25">
      <c r="A226" s="54" t="s">
        <v>505</v>
      </c>
      <c r="B226" s="54" t="s">
        <v>443</v>
      </c>
      <c r="C226" s="56">
        <f>DATE(2011,9,30)</f>
        <v>40816</v>
      </c>
      <c r="D226" s="56">
        <f>DATE(2011,9,30)</f>
        <v>40816</v>
      </c>
      <c r="E226" s="57">
        <v>404.82</v>
      </c>
      <c r="F226" s="54" t="s">
        <v>191</v>
      </c>
      <c r="G226" s="58">
        <v>35</v>
      </c>
      <c r="H226" s="56">
        <f t="shared" si="16"/>
        <v>45107</v>
      </c>
      <c r="I226" s="57">
        <v>0.96</v>
      </c>
      <c r="J226" s="57">
        <v>5.76</v>
      </c>
      <c r="K226" s="57">
        <v>135.9</v>
      </c>
      <c r="L226" s="57">
        <v>268.92</v>
      </c>
      <c r="M226" s="54" t="s">
        <v>245</v>
      </c>
      <c r="N226" s="54" t="s">
        <v>79</v>
      </c>
      <c r="O226" s="54" t="s">
        <v>193</v>
      </c>
      <c r="P226" s="54" t="s">
        <v>246</v>
      </c>
    </row>
    <row r="227" spans="1:16" ht="17.45" customHeight="1" x14ac:dyDescent="0.25">
      <c r="A227" s="54" t="s">
        <v>506</v>
      </c>
      <c r="B227" s="54" t="s">
        <v>443</v>
      </c>
      <c r="C227" s="56">
        <f>DATE(2012,3,31)</f>
        <v>40999</v>
      </c>
      <c r="D227" s="56">
        <f>DATE(2012,3,31)</f>
        <v>40999</v>
      </c>
      <c r="E227" s="57">
        <v>26220.85</v>
      </c>
      <c r="F227" s="54" t="s">
        <v>191</v>
      </c>
      <c r="G227" s="58">
        <v>35</v>
      </c>
      <c r="H227" s="56">
        <f t="shared" si="16"/>
        <v>45107</v>
      </c>
      <c r="I227" s="57">
        <v>62.43</v>
      </c>
      <c r="J227" s="57">
        <v>374.58</v>
      </c>
      <c r="K227" s="57">
        <v>8428.14</v>
      </c>
      <c r="L227" s="57">
        <v>17792.71</v>
      </c>
      <c r="M227" s="54" t="s">
        <v>245</v>
      </c>
      <c r="N227" s="54" t="s">
        <v>79</v>
      </c>
      <c r="O227" s="54" t="s">
        <v>193</v>
      </c>
      <c r="P227" s="54" t="s">
        <v>246</v>
      </c>
    </row>
    <row r="228" spans="1:16" ht="17.45" customHeight="1" x14ac:dyDescent="0.25">
      <c r="A228" s="54" t="s">
        <v>507</v>
      </c>
      <c r="B228" s="54" t="s">
        <v>443</v>
      </c>
      <c r="C228" s="56">
        <f>DATE(2012,9,30)</f>
        <v>41182</v>
      </c>
      <c r="D228" s="56">
        <f>DATE(2012,9,30)</f>
        <v>41182</v>
      </c>
      <c r="E228" s="57">
        <v>2141.96</v>
      </c>
      <c r="F228" s="54" t="s">
        <v>191</v>
      </c>
      <c r="G228" s="58">
        <v>35</v>
      </c>
      <c r="H228" s="56">
        <f t="shared" si="16"/>
        <v>45107</v>
      </c>
      <c r="I228" s="57">
        <v>5.0999999999999996</v>
      </c>
      <c r="J228" s="57">
        <v>30.6</v>
      </c>
      <c r="K228" s="57">
        <v>657.89</v>
      </c>
      <c r="L228" s="57">
        <v>1484.07</v>
      </c>
      <c r="M228" s="54" t="s">
        <v>245</v>
      </c>
      <c r="N228" s="54" t="s">
        <v>79</v>
      </c>
      <c r="O228" s="54" t="s">
        <v>193</v>
      </c>
      <c r="P228" s="54" t="s">
        <v>246</v>
      </c>
    </row>
    <row r="229" spans="1:16" ht="17.45" customHeight="1" x14ac:dyDescent="0.25">
      <c r="A229" s="54" t="s">
        <v>508</v>
      </c>
      <c r="B229" s="54" t="s">
        <v>443</v>
      </c>
      <c r="C229" s="56">
        <f>DATE(2012,10,31)</f>
        <v>41213</v>
      </c>
      <c r="D229" s="56">
        <f>DATE(2012,10,31)</f>
        <v>41213</v>
      </c>
      <c r="E229" s="57">
        <v>4890.04</v>
      </c>
      <c r="F229" s="54" t="s">
        <v>191</v>
      </c>
      <c r="G229" s="58">
        <v>35</v>
      </c>
      <c r="H229" s="56">
        <f t="shared" si="16"/>
        <v>45107</v>
      </c>
      <c r="I229" s="57">
        <v>11.64</v>
      </c>
      <c r="J229" s="57">
        <v>69.84</v>
      </c>
      <c r="K229" s="57">
        <v>1490.28</v>
      </c>
      <c r="L229" s="57">
        <v>3399.76</v>
      </c>
      <c r="M229" s="54" t="s">
        <v>245</v>
      </c>
      <c r="N229" s="54" t="s">
        <v>79</v>
      </c>
      <c r="O229" s="54" t="s">
        <v>193</v>
      </c>
      <c r="P229" s="54" t="s">
        <v>246</v>
      </c>
    </row>
    <row r="230" spans="1:16" ht="17.45" customHeight="1" x14ac:dyDescent="0.25">
      <c r="A230" s="54" t="s">
        <v>509</v>
      </c>
      <c r="B230" s="54" t="s">
        <v>510</v>
      </c>
      <c r="C230" s="56">
        <f>DATE(2012,11,30)</f>
        <v>41243</v>
      </c>
      <c r="D230" s="56">
        <f>DATE(2012,11,30)</f>
        <v>41243</v>
      </c>
      <c r="E230" s="57">
        <v>3519.52</v>
      </c>
      <c r="F230" s="54" t="s">
        <v>191</v>
      </c>
      <c r="G230" s="58">
        <v>35</v>
      </c>
      <c r="H230" s="56">
        <f t="shared" si="16"/>
        <v>45107</v>
      </c>
      <c r="I230" s="57">
        <v>8.3800000000000008</v>
      </c>
      <c r="J230" s="57">
        <v>50.28</v>
      </c>
      <c r="K230" s="57">
        <v>1064.24</v>
      </c>
      <c r="L230" s="57">
        <v>2455.2800000000002</v>
      </c>
      <c r="M230" s="54" t="s">
        <v>245</v>
      </c>
      <c r="N230" s="54" t="s">
        <v>79</v>
      </c>
      <c r="O230" s="54" t="s">
        <v>193</v>
      </c>
      <c r="P230" s="54" t="s">
        <v>246</v>
      </c>
    </row>
    <row r="231" spans="1:16" ht="17.45" customHeight="1" x14ac:dyDescent="0.25">
      <c r="A231" s="54" t="s">
        <v>511</v>
      </c>
      <c r="B231" s="54" t="s">
        <v>443</v>
      </c>
      <c r="C231" s="56">
        <f>DATE(2013,1,31)</f>
        <v>41305</v>
      </c>
      <c r="D231" s="56">
        <f>DATE(2013,1,31)</f>
        <v>41305</v>
      </c>
      <c r="E231" s="57">
        <v>11290.99</v>
      </c>
      <c r="F231" s="54" t="s">
        <v>191</v>
      </c>
      <c r="G231" s="58">
        <v>35</v>
      </c>
      <c r="H231" s="56">
        <f t="shared" si="16"/>
        <v>45107</v>
      </c>
      <c r="I231" s="57">
        <v>26.88</v>
      </c>
      <c r="J231" s="57">
        <v>161.31</v>
      </c>
      <c r="K231" s="57">
        <v>3360.43</v>
      </c>
      <c r="L231" s="57">
        <v>7930.56</v>
      </c>
      <c r="M231" s="54" t="s">
        <v>245</v>
      </c>
      <c r="N231" s="54" t="s">
        <v>79</v>
      </c>
      <c r="O231" s="54" t="s">
        <v>193</v>
      </c>
      <c r="P231" s="54" t="s">
        <v>246</v>
      </c>
    </row>
    <row r="232" spans="1:16" ht="17.45" customHeight="1" x14ac:dyDescent="0.25">
      <c r="A232" s="54" t="s">
        <v>512</v>
      </c>
      <c r="B232" s="54" t="s">
        <v>443</v>
      </c>
      <c r="C232" s="56">
        <f>DATE(2013,2,28)</f>
        <v>41333</v>
      </c>
      <c r="D232" s="56">
        <f>DATE(2013,2,28)</f>
        <v>41333</v>
      </c>
      <c r="E232" s="57">
        <v>7517.54</v>
      </c>
      <c r="F232" s="54" t="s">
        <v>191</v>
      </c>
      <c r="G232" s="58">
        <v>35</v>
      </c>
      <c r="H232" s="56">
        <f t="shared" si="16"/>
        <v>45107</v>
      </c>
      <c r="I232" s="57">
        <v>17.899999999999999</v>
      </c>
      <c r="J232" s="57">
        <v>107.4</v>
      </c>
      <c r="K232" s="57">
        <v>2219.4299999999998</v>
      </c>
      <c r="L232" s="57">
        <v>5298.11</v>
      </c>
      <c r="M232" s="54" t="s">
        <v>245</v>
      </c>
      <c r="N232" s="54" t="s">
        <v>79</v>
      </c>
      <c r="O232" s="54" t="s">
        <v>193</v>
      </c>
      <c r="P232" s="54" t="s">
        <v>246</v>
      </c>
    </row>
    <row r="233" spans="1:16" ht="17.45" customHeight="1" x14ac:dyDescent="0.25">
      <c r="A233" s="54" t="s">
        <v>513</v>
      </c>
      <c r="B233" s="54" t="s">
        <v>244</v>
      </c>
      <c r="C233" s="56">
        <f>DATE(2013,3,31)</f>
        <v>41364</v>
      </c>
      <c r="D233" s="56">
        <f>DATE(2013,3,31)</f>
        <v>41364</v>
      </c>
      <c r="E233" s="57">
        <v>27826.400000000001</v>
      </c>
      <c r="F233" s="54" t="s">
        <v>191</v>
      </c>
      <c r="G233" s="58">
        <v>35</v>
      </c>
      <c r="H233" s="56">
        <f t="shared" si="16"/>
        <v>45107</v>
      </c>
      <c r="I233" s="57">
        <v>66.25</v>
      </c>
      <c r="J233" s="57">
        <v>397.52</v>
      </c>
      <c r="K233" s="57">
        <v>8149.19</v>
      </c>
      <c r="L233" s="57">
        <v>19677.21</v>
      </c>
      <c r="M233" s="54" t="s">
        <v>245</v>
      </c>
      <c r="N233" s="54" t="s">
        <v>79</v>
      </c>
      <c r="O233" s="54" t="s">
        <v>193</v>
      </c>
      <c r="P233" s="54" t="s">
        <v>246</v>
      </c>
    </row>
    <row r="234" spans="1:16" ht="17.45" customHeight="1" x14ac:dyDescent="0.25">
      <c r="A234" s="54" t="s">
        <v>514</v>
      </c>
      <c r="B234" s="54" t="s">
        <v>443</v>
      </c>
      <c r="C234" s="56">
        <f>DATE(2013,4,30)</f>
        <v>41394</v>
      </c>
      <c r="D234" s="56">
        <f>DATE(2013,4,30)</f>
        <v>41394</v>
      </c>
      <c r="E234" s="57">
        <v>4859.3100000000004</v>
      </c>
      <c r="F234" s="54" t="s">
        <v>191</v>
      </c>
      <c r="G234" s="58">
        <v>35</v>
      </c>
      <c r="H234" s="56">
        <f t="shared" si="16"/>
        <v>45107</v>
      </c>
      <c r="I234" s="57">
        <v>11.57</v>
      </c>
      <c r="J234" s="57">
        <v>69.41</v>
      </c>
      <c r="K234" s="57">
        <v>1411.5</v>
      </c>
      <c r="L234" s="57">
        <v>3447.81</v>
      </c>
      <c r="M234" s="54" t="s">
        <v>245</v>
      </c>
      <c r="N234" s="54" t="s">
        <v>79</v>
      </c>
      <c r="O234" s="54" t="s">
        <v>193</v>
      </c>
      <c r="P234" s="54" t="s">
        <v>246</v>
      </c>
    </row>
    <row r="235" spans="1:16" ht="17.45" customHeight="1" x14ac:dyDescent="0.25">
      <c r="A235" s="54" t="s">
        <v>515</v>
      </c>
      <c r="B235" s="54" t="s">
        <v>443</v>
      </c>
      <c r="C235" s="56">
        <f>DATE(2013,7,31)</f>
        <v>41486</v>
      </c>
      <c r="D235" s="56">
        <f>DATE(2013,7,31)</f>
        <v>41486</v>
      </c>
      <c r="E235" s="57">
        <v>171187.88</v>
      </c>
      <c r="F235" s="54" t="s">
        <v>191</v>
      </c>
      <c r="G235" s="58">
        <v>35</v>
      </c>
      <c r="H235" s="56">
        <f t="shared" si="16"/>
        <v>45107</v>
      </c>
      <c r="I235" s="57">
        <v>407.59</v>
      </c>
      <c r="J235" s="57">
        <v>2445.54</v>
      </c>
      <c r="K235" s="57">
        <v>48503.28</v>
      </c>
      <c r="L235" s="57">
        <v>122684.6</v>
      </c>
      <c r="M235" s="54" t="s">
        <v>245</v>
      </c>
      <c r="N235" s="54" t="s">
        <v>79</v>
      </c>
      <c r="O235" s="54" t="s">
        <v>193</v>
      </c>
      <c r="P235" s="54" t="s">
        <v>246</v>
      </c>
    </row>
    <row r="236" spans="1:16" ht="17.45" customHeight="1" x14ac:dyDescent="0.25">
      <c r="A236" s="54" t="s">
        <v>516</v>
      </c>
      <c r="B236" s="54" t="s">
        <v>443</v>
      </c>
      <c r="C236" s="56">
        <f>DATE(2013,8,31)</f>
        <v>41517</v>
      </c>
      <c r="D236" s="56">
        <f>DATE(2013,8,31)</f>
        <v>41517</v>
      </c>
      <c r="E236" s="57">
        <v>7310.79</v>
      </c>
      <c r="F236" s="54" t="s">
        <v>517</v>
      </c>
      <c r="G236" s="58">
        <v>21</v>
      </c>
      <c r="H236" s="56">
        <f t="shared" si="16"/>
        <v>45107</v>
      </c>
      <c r="I236" s="57">
        <v>30.08</v>
      </c>
      <c r="J236" s="57">
        <v>180.46</v>
      </c>
      <c r="K236" s="57">
        <v>5114.17</v>
      </c>
      <c r="L236" s="57">
        <v>2196.62</v>
      </c>
      <c r="M236" s="54" t="s">
        <v>245</v>
      </c>
      <c r="N236" s="54" t="s">
        <v>79</v>
      </c>
      <c r="O236" s="54" t="s">
        <v>193</v>
      </c>
      <c r="P236" s="54" t="s">
        <v>246</v>
      </c>
    </row>
    <row r="237" spans="1:16" ht="17.45" customHeight="1" x14ac:dyDescent="0.25">
      <c r="A237" s="54" t="s">
        <v>518</v>
      </c>
      <c r="B237" s="54" t="s">
        <v>443</v>
      </c>
      <c r="C237" s="56">
        <f>DATE(2013,9,30)</f>
        <v>41547</v>
      </c>
      <c r="D237" s="56">
        <f>DATE(2013,9,30)</f>
        <v>41547</v>
      </c>
      <c r="E237" s="57">
        <v>27898.21</v>
      </c>
      <c r="F237" s="54" t="s">
        <v>191</v>
      </c>
      <c r="G237" s="58">
        <v>35</v>
      </c>
      <c r="H237" s="56">
        <f t="shared" si="16"/>
        <v>45107</v>
      </c>
      <c r="I237" s="57">
        <v>66.42</v>
      </c>
      <c r="J237" s="57">
        <v>398.53</v>
      </c>
      <c r="K237" s="57">
        <v>7771.64</v>
      </c>
      <c r="L237" s="57">
        <v>20126.57</v>
      </c>
      <c r="M237" s="54" t="s">
        <v>245</v>
      </c>
      <c r="N237" s="54" t="s">
        <v>79</v>
      </c>
      <c r="O237" s="54" t="s">
        <v>193</v>
      </c>
      <c r="P237" s="54" t="s">
        <v>246</v>
      </c>
    </row>
    <row r="238" spans="1:16" ht="17.45" customHeight="1" x14ac:dyDescent="0.25">
      <c r="A238" s="54" t="s">
        <v>519</v>
      </c>
      <c r="B238" s="54" t="s">
        <v>443</v>
      </c>
      <c r="C238" s="56">
        <f>DATE(2013,10,31)</f>
        <v>41578</v>
      </c>
      <c r="D238" s="56">
        <f>DATE(2013,10,31)</f>
        <v>41578</v>
      </c>
      <c r="E238" s="57">
        <v>60604.7</v>
      </c>
      <c r="F238" s="54" t="s">
        <v>191</v>
      </c>
      <c r="G238" s="58">
        <v>35</v>
      </c>
      <c r="H238" s="56">
        <f t="shared" si="16"/>
        <v>45107</v>
      </c>
      <c r="I238" s="57">
        <v>144.30000000000001</v>
      </c>
      <c r="J238" s="57">
        <v>865.79</v>
      </c>
      <c r="K238" s="57">
        <v>16738.439999999999</v>
      </c>
      <c r="L238" s="57">
        <v>43866.26</v>
      </c>
      <c r="M238" s="54" t="s">
        <v>245</v>
      </c>
      <c r="N238" s="54" t="s">
        <v>79</v>
      </c>
      <c r="O238" s="54" t="s">
        <v>193</v>
      </c>
      <c r="P238" s="54" t="s">
        <v>246</v>
      </c>
    </row>
    <row r="239" spans="1:16" ht="17.45" customHeight="1" x14ac:dyDescent="0.25">
      <c r="A239" s="54" t="s">
        <v>520</v>
      </c>
      <c r="B239" s="54" t="s">
        <v>443</v>
      </c>
      <c r="C239" s="56">
        <f>DATE(2013,11,30)</f>
        <v>41608</v>
      </c>
      <c r="D239" s="56">
        <f>DATE(2013,11,30)</f>
        <v>41608</v>
      </c>
      <c r="E239" s="57">
        <v>17683.64</v>
      </c>
      <c r="F239" s="54" t="s">
        <v>191</v>
      </c>
      <c r="G239" s="58">
        <v>35</v>
      </c>
      <c r="H239" s="56">
        <f t="shared" si="16"/>
        <v>45107</v>
      </c>
      <c r="I239" s="57">
        <v>42.1</v>
      </c>
      <c r="J239" s="57">
        <v>252.6</v>
      </c>
      <c r="K239" s="57">
        <v>4841.9399999999996</v>
      </c>
      <c r="L239" s="57">
        <v>12841.7</v>
      </c>
      <c r="M239" s="54" t="s">
        <v>245</v>
      </c>
      <c r="N239" s="54" t="s">
        <v>79</v>
      </c>
      <c r="O239" s="54" t="s">
        <v>193</v>
      </c>
      <c r="P239" s="54" t="s">
        <v>246</v>
      </c>
    </row>
    <row r="240" spans="1:16" ht="17.45" customHeight="1" x14ac:dyDescent="0.25">
      <c r="A240" s="54" t="s">
        <v>521</v>
      </c>
      <c r="B240" s="54" t="s">
        <v>443</v>
      </c>
      <c r="C240" s="56">
        <f>DATE(2013,12,31)</f>
        <v>41639</v>
      </c>
      <c r="D240" s="56">
        <f>DATE(2013,12,31)</f>
        <v>41639</v>
      </c>
      <c r="E240" s="57">
        <v>10274.379999999999</v>
      </c>
      <c r="F240" s="54" t="s">
        <v>191</v>
      </c>
      <c r="G240" s="58">
        <v>35</v>
      </c>
      <c r="H240" s="56">
        <f t="shared" si="16"/>
        <v>45107</v>
      </c>
      <c r="I240" s="57">
        <v>24.46</v>
      </c>
      <c r="J240" s="57">
        <v>146.76</v>
      </c>
      <c r="K240" s="57">
        <v>2788.72</v>
      </c>
      <c r="L240" s="57">
        <v>7485.66</v>
      </c>
      <c r="M240" s="54" t="s">
        <v>245</v>
      </c>
      <c r="N240" s="54" t="s">
        <v>79</v>
      </c>
      <c r="O240" s="54" t="s">
        <v>193</v>
      </c>
      <c r="P240" s="54" t="s">
        <v>246</v>
      </c>
    </row>
    <row r="241" spans="1:16" ht="17.45" customHeight="1" x14ac:dyDescent="0.25">
      <c r="A241" s="54" t="s">
        <v>522</v>
      </c>
      <c r="B241" s="54" t="s">
        <v>443</v>
      </c>
      <c r="C241" s="56">
        <f>DATE(2014,1,31)</f>
        <v>41670</v>
      </c>
      <c r="D241" s="56">
        <f>DATE(2014,1,31)</f>
        <v>41670</v>
      </c>
      <c r="E241" s="57">
        <v>19670.95</v>
      </c>
      <c r="F241" s="54" t="s">
        <v>191</v>
      </c>
      <c r="G241" s="58">
        <v>35</v>
      </c>
      <c r="H241" s="56">
        <f t="shared" si="16"/>
        <v>45107</v>
      </c>
      <c r="I241" s="57">
        <v>46.84</v>
      </c>
      <c r="J241" s="57">
        <v>281.04000000000002</v>
      </c>
      <c r="K241" s="57">
        <v>5292.45</v>
      </c>
      <c r="L241" s="57">
        <v>14378.5</v>
      </c>
      <c r="M241" s="54" t="s">
        <v>245</v>
      </c>
      <c r="N241" s="54" t="s">
        <v>79</v>
      </c>
      <c r="O241" s="54" t="s">
        <v>193</v>
      </c>
      <c r="P241" s="54" t="s">
        <v>246</v>
      </c>
    </row>
    <row r="242" spans="1:16" ht="17.45" customHeight="1" x14ac:dyDescent="0.25">
      <c r="A242" s="54" t="s">
        <v>523</v>
      </c>
      <c r="B242" s="54" t="s">
        <v>244</v>
      </c>
      <c r="C242" s="56">
        <f>DATE(2014,2,28)</f>
        <v>41698</v>
      </c>
      <c r="D242" s="56">
        <f>DATE(2014,2,28)</f>
        <v>41698</v>
      </c>
      <c r="E242" s="57">
        <v>10342.51</v>
      </c>
      <c r="F242" s="54" t="s">
        <v>191</v>
      </c>
      <c r="G242" s="58">
        <v>35</v>
      </c>
      <c r="H242" s="56">
        <f t="shared" si="16"/>
        <v>45107</v>
      </c>
      <c r="I242" s="57">
        <v>24.63</v>
      </c>
      <c r="J242" s="57">
        <v>147.78</v>
      </c>
      <c r="K242" s="57">
        <v>2758.05</v>
      </c>
      <c r="L242" s="57">
        <v>7584.46</v>
      </c>
      <c r="M242" s="54" t="s">
        <v>245</v>
      </c>
      <c r="N242" s="54" t="s">
        <v>79</v>
      </c>
      <c r="O242" s="54" t="s">
        <v>193</v>
      </c>
      <c r="P242" s="54" t="s">
        <v>246</v>
      </c>
    </row>
    <row r="243" spans="1:16" ht="17.45" customHeight="1" x14ac:dyDescent="0.25">
      <c r="A243" s="54" t="s">
        <v>524</v>
      </c>
      <c r="B243" s="54" t="s">
        <v>525</v>
      </c>
      <c r="C243" s="56">
        <f>DATE(2014,3,31)</f>
        <v>41729</v>
      </c>
      <c r="D243" s="56">
        <f>DATE(2014,3,31)</f>
        <v>41729</v>
      </c>
      <c r="E243" s="57">
        <v>19355.14</v>
      </c>
      <c r="F243" s="54" t="s">
        <v>191</v>
      </c>
      <c r="G243" s="58">
        <v>35</v>
      </c>
      <c r="H243" s="56">
        <f t="shared" si="16"/>
        <v>45107</v>
      </c>
      <c r="I243" s="57">
        <v>46.08</v>
      </c>
      <c r="J243" s="57">
        <v>276.49</v>
      </c>
      <c r="K243" s="57">
        <v>5115.25</v>
      </c>
      <c r="L243" s="57">
        <v>14239.89</v>
      </c>
      <c r="M243" s="54" t="s">
        <v>245</v>
      </c>
      <c r="N243" s="54" t="s">
        <v>79</v>
      </c>
      <c r="O243" s="54" t="s">
        <v>193</v>
      </c>
      <c r="P243" s="54" t="s">
        <v>246</v>
      </c>
    </row>
    <row r="244" spans="1:16" ht="17.45" customHeight="1" x14ac:dyDescent="0.25">
      <c r="A244" s="54" t="s">
        <v>526</v>
      </c>
      <c r="B244" s="54" t="s">
        <v>443</v>
      </c>
      <c r="C244" s="56">
        <f>DATE(2014,4,30)</f>
        <v>41759</v>
      </c>
      <c r="D244" s="56">
        <f>DATE(2014,4,30)</f>
        <v>41759</v>
      </c>
      <c r="E244" s="57">
        <v>15501.4</v>
      </c>
      <c r="F244" s="54" t="s">
        <v>191</v>
      </c>
      <c r="G244" s="58">
        <v>35</v>
      </c>
      <c r="H244" s="56">
        <f t="shared" ref="H244:H246" si="17">DATE(2023,6,30)</f>
        <v>45107</v>
      </c>
      <c r="I244" s="57">
        <v>36.909999999999997</v>
      </c>
      <c r="J244" s="57">
        <v>221.46</v>
      </c>
      <c r="K244" s="57">
        <v>4059.91</v>
      </c>
      <c r="L244" s="57">
        <v>11441.49</v>
      </c>
      <c r="M244" s="54" t="s">
        <v>245</v>
      </c>
      <c r="N244" s="54" t="s">
        <v>79</v>
      </c>
      <c r="O244" s="54" t="s">
        <v>193</v>
      </c>
      <c r="P244" s="54" t="s">
        <v>246</v>
      </c>
    </row>
    <row r="245" spans="1:16" ht="17.45" customHeight="1" x14ac:dyDescent="0.25">
      <c r="A245" s="54" t="s">
        <v>527</v>
      </c>
      <c r="B245" s="54" t="s">
        <v>244</v>
      </c>
      <c r="C245" s="56">
        <f>DATE(2014,5,31)</f>
        <v>41790</v>
      </c>
      <c r="D245" s="56">
        <f>DATE(2014,5,31)</f>
        <v>41790</v>
      </c>
      <c r="E245" s="57">
        <v>48559.67</v>
      </c>
      <c r="F245" s="54" t="s">
        <v>191</v>
      </c>
      <c r="G245" s="58">
        <v>35</v>
      </c>
      <c r="H245" s="56">
        <f t="shared" si="17"/>
        <v>45107</v>
      </c>
      <c r="I245" s="57">
        <v>115.62</v>
      </c>
      <c r="J245" s="57">
        <v>693.72</v>
      </c>
      <c r="K245" s="57">
        <v>12602.39</v>
      </c>
      <c r="L245" s="57">
        <v>35957.279999999999</v>
      </c>
      <c r="M245" s="54" t="s">
        <v>245</v>
      </c>
      <c r="N245" s="54" t="s">
        <v>79</v>
      </c>
      <c r="O245" s="54" t="s">
        <v>193</v>
      </c>
      <c r="P245" s="54" t="s">
        <v>246</v>
      </c>
    </row>
    <row r="246" spans="1:16" ht="17.45" customHeight="1" x14ac:dyDescent="0.25">
      <c r="A246" s="54" t="s">
        <v>528</v>
      </c>
      <c r="B246" s="54" t="s">
        <v>529</v>
      </c>
      <c r="C246" s="56">
        <f>DATE(2014,6,30)</f>
        <v>41820</v>
      </c>
      <c r="D246" s="56">
        <f>DATE(2014,6,30)</f>
        <v>41820</v>
      </c>
      <c r="E246" s="57">
        <v>11245.56</v>
      </c>
      <c r="F246" s="54" t="s">
        <v>191</v>
      </c>
      <c r="G246" s="58">
        <v>35</v>
      </c>
      <c r="H246" s="56">
        <f t="shared" si="17"/>
        <v>45107</v>
      </c>
      <c r="I246" s="57">
        <v>26.78</v>
      </c>
      <c r="J246" s="57">
        <v>160.66</v>
      </c>
      <c r="K246" s="57">
        <v>2891.72</v>
      </c>
      <c r="L246" s="57">
        <v>8353.84</v>
      </c>
      <c r="M246" s="54" t="s">
        <v>245</v>
      </c>
      <c r="N246" s="54" t="s">
        <v>79</v>
      </c>
      <c r="O246" s="54" t="s">
        <v>193</v>
      </c>
      <c r="P246" s="54" t="s">
        <v>246</v>
      </c>
    </row>
    <row r="247" spans="1:16" ht="17.45" customHeight="1" x14ac:dyDescent="0.25">
      <c r="A247" s="54" t="s">
        <v>530</v>
      </c>
      <c r="B247" s="54" t="s">
        <v>531</v>
      </c>
      <c r="C247" s="56">
        <f>DATE(2004,4,29)</f>
        <v>38106</v>
      </c>
      <c r="D247" s="56">
        <f>DATE(2004,4,29)</f>
        <v>38106</v>
      </c>
      <c r="E247" s="57">
        <v>6248.53</v>
      </c>
      <c r="F247" s="54" t="s">
        <v>191</v>
      </c>
      <c r="G247" s="58">
        <v>20</v>
      </c>
      <c r="H247" s="56">
        <f>DATE(2014,6,30)</f>
        <v>41820</v>
      </c>
      <c r="I247" s="57">
        <v>0</v>
      </c>
      <c r="J247" s="57">
        <v>0</v>
      </c>
      <c r="K247" s="57">
        <v>6248.53</v>
      </c>
      <c r="L247" s="57">
        <v>0</v>
      </c>
      <c r="M247" s="54" t="s">
        <v>230</v>
      </c>
      <c r="N247" s="54" t="s">
        <v>79</v>
      </c>
      <c r="O247" s="54" t="s">
        <v>193</v>
      </c>
      <c r="P247" s="54" t="s">
        <v>231</v>
      </c>
    </row>
    <row r="248" spans="1:16" ht="17.45" customHeight="1" x14ac:dyDescent="0.25">
      <c r="A248" s="54" t="s">
        <v>532</v>
      </c>
      <c r="B248" s="54" t="s">
        <v>533</v>
      </c>
      <c r="C248" s="56">
        <f>DATE(2005,8,31)</f>
        <v>38595</v>
      </c>
      <c r="D248" s="56">
        <f>DATE(2005,8,31)</f>
        <v>38595</v>
      </c>
      <c r="E248" s="57">
        <v>1229</v>
      </c>
      <c r="F248" s="54" t="s">
        <v>191</v>
      </c>
      <c r="G248" s="58">
        <v>10</v>
      </c>
      <c r="H248" s="56">
        <f>DATE(2014,6,30)</f>
        <v>41820</v>
      </c>
      <c r="I248" s="57">
        <v>0</v>
      </c>
      <c r="J248" s="57">
        <v>0</v>
      </c>
      <c r="K248" s="57">
        <v>1229</v>
      </c>
      <c r="L248" s="57">
        <v>0</v>
      </c>
      <c r="M248" s="54" t="s">
        <v>534</v>
      </c>
      <c r="N248" s="54" t="s">
        <v>79</v>
      </c>
      <c r="O248" s="54" t="s">
        <v>193</v>
      </c>
      <c r="P248" s="54" t="s">
        <v>231</v>
      </c>
    </row>
    <row r="249" spans="1:16" ht="17.45" customHeight="1" x14ac:dyDescent="0.25">
      <c r="A249" s="54" t="s">
        <v>535</v>
      </c>
      <c r="B249" s="54" t="s">
        <v>536</v>
      </c>
      <c r="C249" s="56">
        <f>DATE(2005,9,1)</f>
        <v>38596</v>
      </c>
      <c r="D249" s="56">
        <f>DATE(2005,9,1)</f>
        <v>38596</v>
      </c>
      <c r="E249" s="57">
        <v>57184</v>
      </c>
      <c r="F249" s="54" t="s">
        <v>191</v>
      </c>
      <c r="G249" s="58">
        <v>10</v>
      </c>
      <c r="H249" s="56">
        <f>DATE(2015,8,31)</f>
        <v>42247</v>
      </c>
      <c r="I249" s="57">
        <v>0</v>
      </c>
      <c r="J249" s="57">
        <v>0</v>
      </c>
      <c r="K249" s="57">
        <v>57184</v>
      </c>
      <c r="L249" s="57">
        <v>0</v>
      </c>
      <c r="M249" s="54" t="s">
        <v>537</v>
      </c>
      <c r="N249" s="54" t="s">
        <v>79</v>
      </c>
      <c r="O249" s="54" t="s">
        <v>193</v>
      </c>
      <c r="P249" s="54" t="s">
        <v>538</v>
      </c>
    </row>
    <row r="250" spans="1:16" ht="17.45" customHeight="1" x14ac:dyDescent="0.25">
      <c r="A250" s="54" t="s">
        <v>539</v>
      </c>
      <c r="B250" s="54" t="s">
        <v>357</v>
      </c>
      <c r="C250" s="56">
        <f>DATE(2014,7,31)</f>
        <v>41851</v>
      </c>
      <c r="D250" s="56">
        <f>DATE(2014,7,31)</f>
        <v>41851</v>
      </c>
      <c r="E250" s="57">
        <v>2318.1799999999998</v>
      </c>
      <c r="F250" s="54" t="s">
        <v>191</v>
      </c>
      <c r="G250" s="58">
        <v>30</v>
      </c>
      <c r="H250" s="56">
        <f t="shared" ref="H250:H313" si="18">DATE(2023,6,30)</f>
        <v>45107</v>
      </c>
      <c r="I250" s="57">
        <v>6.44</v>
      </c>
      <c r="J250" s="57">
        <v>38.64</v>
      </c>
      <c r="K250" s="57">
        <v>689</v>
      </c>
      <c r="L250" s="57">
        <v>1629.18</v>
      </c>
      <c r="M250" s="54" t="s">
        <v>249</v>
      </c>
      <c r="N250" s="54" t="s">
        <v>79</v>
      </c>
      <c r="O250" s="54" t="s">
        <v>193</v>
      </c>
      <c r="P250" s="54" t="s">
        <v>250</v>
      </c>
    </row>
    <row r="251" spans="1:16" ht="17.45" customHeight="1" x14ac:dyDescent="0.25">
      <c r="A251" s="54" t="s">
        <v>540</v>
      </c>
      <c r="B251" s="54" t="s">
        <v>443</v>
      </c>
      <c r="C251" s="56">
        <f>DATE(2014,7,1)</f>
        <v>41821</v>
      </c>
      <c r="D251" s="56">
        <f>DATE(2014,7,1)</f>
        <v>41821</v>
      </c>
      <c r="E251" s="57">
        <v>6610.5</v>
      </c>
      <c r="F251" s="54" t="s">
        <v>191</v>
      </c>
      <c r="G251" s="58">
        <v>35</v>
      </c>
      <c r="H251" s="56">
        <f t="shared" si="18"/>
        <v>45107</v>
      </c>
      <c r="I251" s="57">
        <v>15.74</v>
      </c>
      <c r="J251" s="57">
        <v>94.44</v>
      </c>
      <c r="K251" s="57">
        <v>1699.84</v>
      </c>
      <c r="L251" s="57">
        <v>4910.66</v>
      </c>
      <c r="M251" s="54" t="s">
        <v>245</v>
      </c>
      <c r="N251" s="54" t="s">
        <v>79</v>
      </c>
      <c r="O251" s="54" t="s">
        <v>193</v>
      </c>
      <c r="P251" s="54" t="s">
        <v>246</v>
      </c>
    </row>
    <row r="252" spans="1:16" ht="17.45" customHeight="1" x14ac:dyDescent="0.25">
      <c r="A252" s="54" t="s">
        <v>541</v>
      </c>
      <c r="B252" s="54" t="s">
        <v>244</v>
      </c>
      <c r="C252" s="56">
        <f>DATE(2014,7,31)</f>
        <v>41851</v>
      </c>
      <c r="D252" s="56">
        <f>DATE(2014,7,31)</f>
        <v>41851</v>
      </c>
      <c r="E252" s="57">
        <v>11739.21</v>
      </c>
      <c r="F252" s="54" t="s">
        <v>191</v>
      </c>
      <c r="G252" s="58">
        <v>35</v>
      </c>
      <c r="H252" s="56">
        <f t="shared" si="18"/>
        <v>45107</v>
      </c>
      <c r="I252" s="57">
        <v>27.95</v>
      </c>
      <c r="J252" s="57">
        <v>167.7</v>
      </c>
      <c r="K252" s="57">
        <v>2990.71</v>
      </c>
      <c r="L252" s="57">
        <v>8748.5</v>
      </c>
      <c r="M252" s="54" t="s">
        <v>245</v>
      </c>
      <c r="N252" s="54" t="s">
        <v>79</v>
      </c>
      <c r="O252" s="54" t="s">
        <v>193</v>
      </c>
      <c r="P252" s="54" t="s">
        <v>246</v>
      </c>
    </row>
    <row r="253" spans="1:16" ht="17.45" customHeight="1" x14ac:dyDescent="0.25">
      <c r="A253" s="54" t="s">
        <v>542</v>
      </c>
      <c r="B253" s="54" t="s">
        <v>357</v>
      </c>
      <c r="C253" s="56">
        <f>DATE(2014,8,31)</f>
        <v>41882</v>
      </c>
      <c r="D253" s="56">
        <f>DATE(2014,8,31)</f>
        <v>41882</v>
      </c>
      <c r="E253" s="57">
        <v>4414.18</v>
      </c>
      <c r="F253" s="54" t="s">
        <v>191</v>
      </c>
      <c r="G253" s="58">
        <v>30</v>
      </c>
      <c r="H253" s="56">
        <f t="shared" si="18"/>
        <v>45107</v>
      </c>
      <c r="I253" s="57">
        <v>12.26</v>
      </c>
      <c r="J253" s="57">
        <v>73.56</v>
      </c>
      <c r="K253" s="57">
        <v>1299.73</v>
      </c>
      <c r="L253" s="57">
        <v>3114.45</v>
      </c>
      <c r="M253" s="54" t="s">
        <v>249</v>
      </c>
      <c r="N253" s="54" t="s">
        <v>79</v>
      </c>
      <c r="O253" s="54" t="s">
        <v>193</v>
      </c>
      <c r="P253" s="54" t="s">
        <v>250</v>
      </c>
    </row>
    <row r="254" spans="1:16" ht="17.45" customHeight="1" x14ac:dyDescent="0.25">
      <c r="A254" s="54" t="s">
        <v>543</v>
      </c>
      <c r="B254" s="54" t="s">
        <v>244</v>
      </c>
      <c r="C254" s="56">
        <f>DATE(2014,8,31)</f>
        <v>41882</v>
      </c>
      <c r="D254" s="56">
        <f>DATE(2014,8,31)</f>
        <v>41882</v>
      </c>
      <c r="E254" s="57">
        <v>24043.9</v>
      </c>
      <c r="F254" s="54" t="s">
        <v>191</v>
      </c>
      <c r="G254" s="58">
        <v>35</v>
      </c>
      <c r="H254" s="56">
        <f t="shared" si="18"/>
        <v>45107</v>
      </c>
      <c r="I254" s="57">
        <v>57.25</v>
      </c>
      <c r="J254" s="57">
        <v>343.48</v>
      </c>
      <c r="K254" s="57">
        <v>6068.23</v>
      </c>
      <c r="L254" s="57">
        <v>17975.669999999998</v>
      </c>
      <c r="M254" s="54" t="s">
        <v>245</v>
      </c>
      <c r="N254" s="54" t="s">
        <v>79</v>
      </c>
      <c r="O254" s="54" t="s">
        <v>193</v>
      </c>
      <c r="P254" s="54" t="s">
        <v>246</v>
      </c>
    </row>
    <row r="255" spans="1:16" ht="17.45" customHeight="1" x14ac:dyDescent="0.25">
      <c r="A255" s="54" t="s">
        <v>544</v>
      </c>
      <c r="B255" s="54" t="s">
        <v>357</v>
      </c>
      <c r="C255" s="56">
        <f>DATE(2014,9,30)</f>
        <v>41912</v>
      </c>
      <c r="D255" s="56">
        <f>DATE(2014,9,30)</f>
        <v>41912</v>
      </c>
      <c r="E255" s="57">
        <v>1428.7</v>
      </c>
      <c r="F255" s="54" t="s">
        <v>191</v>
      </c>
      <c r="G255" s="58">
        <v>30</v>
      </c>
      <c r="H255" s="56">
        <f t="shared" si="18"/>
        <v>45107</v>
      </c>
      <c r="I255" s="57">
        <v>3.97</v>
      </c>
      <c r="J255" s="57">
        <v>23.82</v>
      </c>
      <c r="K255" s="57">
        <v>416.69</v>
      </c>
      <c r="L255" s="57">
        <v>1012.01</v>
      </c>
      <c r="M255" s="54" t="s">
        <v>249</v>
      </c>
      <c r="N255" s="54" t="s">
        <v>79</v>
      </c>
      <c r="O255" s="54" t="s">
        <v>193</v>
      </c>
      <c r="P255" s="54" t="s">
        <v>250</v>
      </c>
    </row>
    <row r="256" spans="1:16" ht="17.45" customHeight="1" x14ac:dyDescent="0.25">
      <c r="A256" s="54" t="s">
        <v>545</v>
      </c>
      <c r="B256" s="54" t="s">
        <v>525</v>
      </c>
      <c r="C256" s="56">
        <f>DATE(2014,9,30)</f>
        <v>41912</v>
      </c>
      <c r="D256" s="56">
        <f>DATE(2014,9,30)</f>
        <v>41912</v>
      </c>
      <c r="E256" s="57">
        <v>10775.09</v>
      </c>
      <c r="F256" s="54" t="s">
        <v>191</v>
      </c>
      <c r="G256" s="58">
        <v>35</v>
      </c>
      <c r="H256" s="56">
        <f t="shared" si="18"/>
        <v>45107</v>
      </c>
      <c r="I256" s="57">
        <v>25.65</v>
      </c>
      <c r="J256" s="57">
        <v>153.91999999999999</v>
      </c>
      <c r="K256" s="57">
        <v>2693.74</v>
      </c>
      <c r="L256" s="57">
        <v>8081.35</v>
      </c>
      <c r="M256" s="54" t="s">
        <v>245</v>
      </c>
      <c r="N256" s="54" t="s">
        <v>79</v>
      </c>
      <c r="O256" s="54" t="s">
        <v>193</v>
      </c>
      <c r="P256" s="54" t="s">
        <v>246</v>
      </c>
    </row>
    <row r="257" spans="1:16" ht="17.45" customHeight="1" x14ac:dyDescent="0.25">
      <c r="A257" s="54" t="s">
        <v>546</v>
      </c>
      <c r="B257" s="54" t="s">
        <v>357</v>
      </c>
      <c r="C257" s="56">
        <f>DATE(2014,10,31)</f>
        <v>41943</v>
      </c>
      <c r="D257" s="56">
        <f>DATE(2014,10,31)</f>
        <v>41943</v>
      </c>
      <c r="E257" s="57">
        <v>2259.4</v>
      </c>
      <c r="F257" s="54" t="s">
        <v>191</v>
      </c>
      <c r="G257" s="58">
        <v>30</v>
      </c>
      <c r="H257" s="56">
        <f t="shared" si="18"/>
        <v>45107</v>
      </c>
      <c r="I257" s="57">
        <v>6.28</v>
      </c>
      <c r="J257" s="57">
        <v>37.68</v>
      </c>
      <c r="K257" s="57">
        <v>652.71</v>
      </c>
      <c r="L257" s="57">
        <v>1606.69</v>
      </c>
      <c r="M257" s="54" t="s">
        <v>249</v>
      </c>
      <c r="N257" s="54" t="s">
        <v>79</v>
      </c>
      <c r="O257" s="54" t="s">
        <v>193</v>
      </c>
      <c r="P257" s="54" t="s">
        <v>250</v>
      </c>
    </row>
    <row r="258" spans="1:16" ht="17.45" customHeight="1" x14ac:dyDescent="0.25">
      <c r="A258" s="54" t="s">
        <v>547</v>
      </c>
      <c r="B258" s="54" t="s">
        <v>548</v>
      </c>
      <c r="C258" s="56">
        <f>DATE(2014,10,1)</f>
        <v>41913</v>
      </c>
      <c r="D258" s="56">
        <f>DATE(2014,10,1)</f>
        <v>41913</v>
      </c>
      <c r="E258" s="57">
        <v>28218.720000000001</v>
      </c>
      <c r="F258" s="54" t="s">
        <v>191</v>
      </c>
      <c r="G258" s="58">
        <v>30</v>
      </c>
      <c r="H258" s="56">
        <f t="shared" si="18"/>
        <v>45107</v>
      </c>
      <c r="I258" s="57">
        <v>78.39</v>
      </c>
      <c r="J258" s="57">
        <v>470.34</v>
      </c>
      <c r="K258" s="57">
        <v>8230.4599999999991</v>
      </c>
      <c r="L258" s="57">
        <v>19988.259999999998</v>
      </c>
      <c r="M258" s="54" t="s">
        <v>249</v>
      </c>
      <c r="N258" s="54" t="s">
        <v>79</v>
      </c>
      <c r="O258" s="54" t="s">
        <v>193</v>
      </c>
      <c r="P258" s="54" t="s">
        <v>250</v>
      </c>
    </row>
    <row r="259" spans="1:16" ht="17.45" customHeight="1" x14ac:dyDescent="0.25">
      <c r="A259" s="54" t="s">
        <v>549</v>
      </c>
      <c r="B259" s="54" t="s">
        <v>529</v>
      </c>
      <c r="C259" s="56">
        <f>DATE(2014,10,31)</f>
        <v>41943</v>
      </c>
      <c r="D259" s="56">
        <f>DATE(2014,10,31)</f>
        <v>41943</v>
      </c>
      <c r="E259" s="57">
        <v>16689.400000000001</v>
      </c>
      <c r="F259" s="54" t="s">
        <v>191</v>
      </c>
      <c r="G259" s="58">
        <v>35</v>
      </c>
      <c r="H259" s="56">
        <f t="shared" si="18"/>
        <v>45107</v>
      </c>
      <c r="I259" s="57">
        <v>39.74</v>
      </c>
      <c r="J259" s="57">
        <v>238.44</v>
      </c>
      <c r="K259" s="57">
        <v>4132.6099999999997</v>
      </c>
      <c r="L259" s="57">
        <v>12556.79</v>
      </c>
      <c r="M259" s="54" t="s">
        <v>245</v>
      </c>
      <c r="N259" s="54" t="s">
        <v>79</v>
      </c>
      <c r="O259" s="54" t="s">
        <v>193</v>
      </c>
      <c r="P259" s="54" t="s">
        <v>246</v>
      </c>
    </row>
    <row r="260" spans="1:16" ht="17.45" customHeight="1" x14ac:dyDescent="0.25">
      <c r="A260" s="54" t="s">
        <v>550</v>
      </c>
      <c r="B260" s="54" t="s">
        <v>357</v>
      </c>
      <c r="C260" s="56">
        <f>DATE(2014,11,30)</f>
        <v>41973</v>
      </c>
      <c r="D260" s="56">
        <f>DATE(2014,11,30)</f>
        <v>41973</v>
      </c>
      <c r="E260" s="57">
        <v>4429.67</v>
      </c>
      <c r="F260" s="54" t="s">
        <v>191</v>
      </c>
      <c r="G260" s="58">
        <v>30</v>
      </c>
      <c r="H260" s="56">
        <f t="shared" si="18"/>
        <v>45107</v>
      </c>
      <c r="I260" s="57">
        <v>12.3</v>
      </c>
      <c r="J260" s="57">
        <v>73.8</v>
      </c>
      <c r="K260" s="57">
        <v>1267.3800000000001</v>
      </c>
      <c r="L260" s="57">
        <v>3162.29</v>
      </c>
      <c r="M260" s="54" t="s">
        <v>249</v>
      </c>
      <c r="N260" s="54" t="s">
        <v>79</v>
      </c>
      <c r="O260" s="54" t="s">
        <v>193</v>
      </c>
      <c r="P260" s="54" t="s">
        <v>250</v>
      </c>
    </row>
    <row r="261" spans="1:16" ht="17.45" customHeight="1" x14ac:dyDescent="0.25">
      <c r="A261" s="54" t="s">
        <v>551</v>
      </c>
      <c r="B261" s="54" t="s">
        <v>525</v>
      </c>
      <c r="C261" s="56">
        <f>DATE(2014,11,30)</f>
        <v>41973</v>
      </c>
      <c r="D261" s="56">
        <f>DATE(2014,11,30)</f>
        <v>41973</v>
      </c>
      <c r="E261" s="57">
        <v>26169.51</v>
      </c>
      <c r="F261" s="54" t="s">
        <v>191</v>
      </c>
      <c r="G261" s="58">
        <v>35</v>
      </c>
      <c r="H261" s="56">
        <f t="shared" si="18"/>
        <v>45107</v>
      </c>
      <c r="I261" s="57">
        <v>62.31</v>
      </c>
      <c r="J261" s="57">
        <v>373.86</v>
      </c>
      <c r="K261" s="57">
        <v>6417.76</v>
      </c>
      <c r="L261" s="57">
        <v>19751.75</v>
      </c>
      <c r="M261" s="54" t="s">
        <v>245</v>
      </c>
      <c r="N261" s="54" t="s">
        <v>79</v>
      </c>
      <c r="O261" s="54" t="s">
        <v>193</v>
      </c>
      <c r="P261" s="54" t="s">
        <v>246</v>
      </c>
    </row>
    <row r="262" spans="1:16" ht="17.45" customHeight="1" x14ac:dyDescent="0.25">
      <c r="A262" s="54" t="s">
        <v>552</v>
      </c>
      <c r="B262" s="54" t="s">
        <v>553</v>
      </c>
      <c r="C262" s="56">
        <f t="shared" ref="C262:D264" si="19">DATE(2014,12,31)</f>
        <v>42004</v>
      </c>
      <c r="D262" s="56">
        <f t="shared" si="19"/>
        <v>42004</v>
      </c>
      <c r="E262" s="57">
        <v>118187.96</v>
      </c>
      <c r="F262" s="54" t="s">
        <v>191</v>
      </c>
      <c r="G262" s="58">
        <v>30</v>
      </c>
      <c r="H262" s="56">
        <f t="shared" si="18"/>
        <v>45107</v>
      </c>
      <c r="I262" s="57">
        <v>328.3</v>
      </c>
      <c r="J262" s="57">
        <v>1969.8</v>
      </c>
      <c r="K262" s="57">
        <v>33486.6</v>
      </c>
      <c r="L262" s="57">
        <v>84701.36</v>
      </c>
      <c r="M262" s="54" t="s">
        <v>249</v>
      </c>
      <c r="N262" s="54" t="s">
        <v>79</v>
      </c>
      <c r="O262" s="54" t="s">
        <v>193</v>
      </c>
      <c r="P262" s="54" t="s">
        <v>250</v>
      </c>
    </row>
    <row r="263" spans="1:16" ht="17.45" customHeight="1" x14ac:dyDescent="0.25">
      <c r="A263" s="54" t="s">
        <v>554</v>
      </c>
      <c r="B263" s="54" t="s">
        <v>555</v>
      </c>
      <c r="C263" s="56">
        <f t="shared" si="19"/>
        <v>42004</v>
      </c>
      <c r="D263" s="56">
        <f t="shared" si="19"/>
        <v>42004</v>
      </c>
      <c r="E263" s="57">
        <v>39901.699999999997</v>
      </c>
      <c r="F263" s="54" t="s">
        <v>191</v>
      </c>
      <c r="G263" s="58">
        <v>30</v>
      </c>
      <c r="H263" s="56">
        <f t="shared" si="18"/>
        <v>45107</v>
      </c>
      <c r="I263" s="57">
        <v>110.84</v>
      </c>
      <c r="J263" s="57">
        <v>665.04</v>
      </c>
      <c r="K263" s="57">
        <v>11305.52</v>
      </c>
      <c r="L263" s="57">
        <v>28596.18</v>
      </c>
      <c r="M263" s="54" t="s">
        <v>249</v>
      </c>
      <c r="N263" s="54" t="s">
        <v>79</v>
      </c>
      <c r="O263" s="54" t="s">
        <v>193</v>
      </c>
      <c r="P263" s="54" t="s">
        <v>250</v>
      </c>
    </row>
    <row r="264" spans="1:16" ht="17.45" customHeight="1" x14ac:dyDescent="0.25">
      <c r="A264" s="54" t="s">
        <v>556</v>
      </c>
      <c r="B264" s="54" t="s">
        <v>357</v>
      </c>
      <c r="C264" s="56">
        <f t="shared" si="19"/>
        <v>42004</v>
      </c>
      <c r="D264" s="56">
        <f t="shared" si="19"/>
        <v>42004</v>
      </c>
      <c r="E264" s="57">
        <v>3248.56</v>
      </c>
      <c r="F264" s="54" t="s">
        <v>191</v>
      </c>
      <c r="G264" s="58">
        <v>30</v>
      </c>
      <c r="H264" s="56">
        <f t="shared" si="18"/>
        <v>45107</v>
      </c>
      <c r="I264" s="57">
        <v>9.02</v>
      </c>
      <c r="J264" s="57">
        <v>54.12</v>
      </c>
      <c r="K264" s="57">
        <v>920.44</v>
      </c>
      <c r="L264" s="57">
        <v>2328.12</v>
      </c>
      <c r="M264" s="54" t="s">
        <v>249</v>
      </c>
      <c r="N264" s="54" t="s">
        <v>79</v>
      </c>
      <c r="O264" s="54" t="s">
        <v>193</v>
      </c>
      <c r="P264" s="54" t="s">
        <v>250</v>
      </c>
    </row>
    <row r="265" spans="1:16" ht="17.45" customHeight="1" x14ac:dyDescent="0.25">
      <c r="A265" s="54" t="s">
        <v>557</v>
      </c>
      <c r="B265" s="54" t="s">
        <v>357</v>
      </c>
      <c r="C265" s="56">
        <f>DATE(2015,1,31)</f>
        <v>42035</v>
      </c>
      <c r="D265" s="56">
        <f>DATE(2015,1,31)</f>
        <v>42035</v>
      </c>
      <c r="E265" s="57">
        <v>1933.4</v>
      </c>
      <c r="F265" s="54" t="s">
        <v>191</v>
      </c>
      <c r="G265" s="58">
        <v>30</v>
      </c>
      <c r="H265" s="56">
        <f t="shared" si="18"/>
        <v>45107</v>
      </c>
      <c r="I265" s="57">
        <v>5.37</v>
      </c>
      <c r="J265" s="57">
        <v>32.22</v>
      </c>
      <c r="K265" s="57">
        <v>542.45000000000005</v>
      </c>
      <c r="L265" s="57">
        <v>1390.95</v>
      </c>
      <c r="M265" s="54" t="s">
        <v>249</v>
      </c>
      <c r="N265" s="54" t="s">
        <v>79</v>
      </c>
      <c r="O265" s="54" t="s">
        <v>193</v>
      </c>
      <c r="P265" s="54" t="s">
        <v>250</v>
      </c>
    </row>
    <row r="266" spans="1:16" ht="17.45" customHeight="1" x14ac:dyDescent="0.25">
      <c r="A266" s="54" t="s">
        <v>558</v>
      </c>
      <c r="B266" s="54" t="s">
        <v>357</v>
      </c>
      <c r="C266" s="56">
        <f>DATE(2015,2,28)</f>
        <v>42063</v>
      </c>
      <c r="D266" s="56">
        <f>DATE(2015,2,28)</f>
        <v>42063</v>
      </c>
      <c r="E266" s="57">
        <v>399.76</v>
      </c>
      <c r="F266" s="54" t="s">
        <v>191</v>
      </c>
      <c r="G266" s="58">
        <v>30</v>
      </c>
      <c r="H266" s="56">
        <f t="shared" si="18"/>
        <v>45107</v>
      </c>
      <c r="I266" s="57">
        <v>1.1100000000000001</v>
      </c>
      <c r="J266" s="57">
        <v>6.66</v>
      </c>
      <c r="K266" s="57">
        <v>111.07</v>
      </c>
      <c r="L266" s="57">
        <v>288.69</v>
      </c>
      <c r="M266" s="54" t="s">
        <v>249</v>
      </c>
      <c r="N266" s="54" t="s">
        <v>79</v>
      </c>
      <c r="O266" s="54" t="s">
        <v>193</v>
      </c>
      <c r="P266" s="54" t="s">
        <v>250</v>
      </c>
    </row>
    <row r="267" spans="1:16" ht="17.45" customHeight="1" x14ac:dyDescent="0.25">
      <c r="A267" s="54" t="s">
        <v>559</v>
      </c>
      <c r="B267" s="54" t="s">
        <v>443</v>
      </c>
      <c r="C267" s="56">
        <f>DATE(2015,2,28)</f>
        <v>42063</v>
      </c>
      <c r="D267" s="56">
        <f>DATE(2015,2,28)</f>
        <v>42063</v>
      </c>
      <c r="E267" s="57">
        <v>6792.79</v>
      </c>
      <c r="F267" s="54" t="s">
        <v>191</v>
      </c>
      <c r="G267" s="58">
        <v>35</v>
      </c>
      <c r="H267" s="56">
        <f t="shared" si="18"/>
        <v>45107</v>
      </c>
      <c r="I267" s="57">
        <v>16.170000000000002</v>
      </c>
      <c r="J267" s="57">
        <v>97.02</v>
      </c>
      <c r="K267" s="57">
        <v>1617.32</v>
      </c>
      <c r="L267" s="57">
        <v>5175.47</v>
      </c>
      <c r="M267" s="54" t="s">
        <v>245</v>
      </c>
      <c r="N267" s="54" t="s">
        <v>79</v>
      </c>
      <c r="O267" s="54" t="s">
        <v>193</v>
      </c>
      <c r="P267" s="54" t="s">
        <v>246</v>
      </c>
    </row>
    <row r="268" spans="1:16" ht="17.45" customHeight="1" x14ac:dyDescent="0.25">
      <c r="A268" s="54" t="s">
        <v>560</v>
      </c>
      <c r="B268" s="54" t="s">
        <v>357</v>
      </c>
      <c r="C268" s="56">
        <f>DATE(2015,3,31)</f>
        <v>42094</v>
      </c>
      <c r="D268" s="56">
        <f>DATE(2015,3,31)</f>
        <v>42094</v>
      </c>
      <c r="E268" s="57">
        <v>265.91000000000003</v>
      </c>
      <c r="F268" s="54" t="s">
        <v>191</v>
      </c>
      <c r="G268" s="58">
        <v>30</v>
      </c>
      <c r="H268" s="56">
        <f t="shared" si="18"/>
        <v>45107</v>
      </c>
      <c r="I268" s="57">
        <v>0.74</v>
      </c>
      <c r="J268" s="57">
        <v>4.4400000000000004</v>
      </c>
      <c r="K268" s="57">
        <v>73.11</v>
      </c>
      <c r="L268" s="57">
        <v>192.8</v>
      </c>
      <c r="M268" s="54" t="s">
        <v>249</v>
      </c>
      <c r="N268" s="54" t="s">
        <v>79</v>
      </c>
      <c r="O268" s="54" t="s">
        <v>193</v>
      </c>
      <c r="P268" s="54" t="s">
        <v>250</v>
      </c>
    </row>
    <row r="269" spans="1:16" ht="17.45" customHeight="1" x14ac:dyDescent="0.25">
      <c r="A269" s="54" t="s">
        <v>561</v>
      </c>
      <c r="B269" s="54" t="s">
        <v>562</v>
      </c>
      <c r="C269" s="56">
        <f>DATE(2015,3,31)</f>
        <v>42094</v>
      </c>
      <c r="D269" s="56">
        <f>DATE(2015,3,31)</f>
        <v>42094</v>
      </c>
      <c r="E269" s="57">
        <v>2791.01</v>
      </c>
      <c r="F269" s="54" t="s">
        <v>191</v>
      </c>
      <c r="G269" s="58">
        <v>35</v>
      </c>
      <c r="H269" s="56">
        <f t="shared" si="18"/>
        <v>45107</v>
      </c>
      <c r="I269" s="57">
        <v>6.65</v>
      </c>
      <c r="J269" s="57">
        <v>39.880000000000003</v>
      </c>
      <c r="K269" s="57">
        <v>657.91</v>
      </c>
      <c r="L269" s="57">
        <v>2133.1</v>
      </c>
      <c r="M269" s="54" t="s">
        <v>245</v>
      </c>
      <c r="N269" s="54" t="s">
        <v>79</v>
      </c>
      <c r="O269" s="54" t="s">
        <v>193</v>
      </c>
      <c r="P269" s="54" t="s">
        <v>246</v>
      </c>
    </row>
    <row r="270" spans="1:16" ht="17.45" customHeight="1" x14ac:dyDescent="0.25">
      <c r="A270" s="54" t="s">
        <v>563</v>
      </c>
      <c r="B270" s="54" t="s">
        <v>357</v>
      </c>
      <c r="C270" s="56">
        <f>DATE(2015,4,30)</f>
        <v>42124</v>
      </c>
      <c r="D270" s="56">
        <f>DATE(2015,4,30)</f>
        <v>42124</v>
      </c>
      <c r="E270" s="57">
        <v>966.7</v>
      </c>
      <c r="F270" s="54" t="s">
        <v>191</v>
      </c>
      <c r="G270" s="58">
        <v>30</v>
      </c>
      <c r="H270" s="56">
        <f t="shared" si="18"/>
        <v>45107</v>
      </c>
      <c r="I270" s="57">
        <v>2.69</v>
      </c>
      <c r="J270" s="57">
        <v>16.14</v>
      </c>
      <c r="K270" s="57">
        <v>263.16000000000003</v>
      </c>
      <c r="L270" s="57">
        <v>703.54</v>
      </c>
      <c r="M270" s="54" t="s">
        <v>249</v>
      </c>
      <c r="N270" s="54" t="s">
        <v>79</v>
      </c>
      <c r="O270" s="54" t="s">
        <v>193</v>
      </c>
      <c r="P270" s="54" t="s">
        <v>250</v>
      </c>
    </row>
    <row r="271" spans="1:16" ht="17.45" customHeight="1" x14ac:dyDescent="0.25">
      <c r="A271" s="54" t="s">
        <v>564</v>
      </c>
      <c r="B271" s="54" t="s">
        <v>244</v>
      </c>
      <c r="C271" s="56">
        <f>DATE(2015,4,30)</f>
        <v>42124</v>
      </c>
      <c r="D271" s="56">
        <f>DATE(2015,4,30)</f>
        <v>42124</v>
      </c>
      <c r="E271" s="57">
        <v>19438.61</v>
      </c>
      <c r="F271" s="54" t="s">
        <v>191</v>
      </c>
      <c r="G271" s="58">
        <v>35</v>
      </c>
      <c r="H271" s="56">
        <f t="shared" si="18"/>
        <v>45107</v>
      </c>
      <c r="I271" s="57">
        <v>46.28</v>
      </c>
      <c r="J271" s="57">
        <v>277.68</v>
      </c>
      <c r="K271" s="57">
        <v>4535.67</v>
      </c>
      <c r="L271" s="57">
        <v>14902.94</v>
      </c>
      <c r="M271" s="54" t="s">
        <v>245</v>
      </c>
      <c r="N271" s="54" t="s">
        <v>79</v>
      </c>
      <c r="O271" s="54" t="s">
        <v>193</v>
      </c>
      <c r="P271" s="54" t="s">
        <v>246</v>
      </c>
    </row>
    <row r="272" spans="1:16" ht="17.45" customHeight="1" x14ac:dyDescent="0.25">
      <c r="A272" s="54" t="s">
        <v>565</v>
      </c>
      <c r="B272" s="54" t="s">
        <v>357</v>
      </c>
      <c r="C272" s="56">
        <f>DATE(2015,5,31)</f>
        <v>42155</v>
      </c>
      <c r="D272" s="56">
        <f>DATE(2015,5,31)</f>
        <v>42155</v>
      </c>
      <c r="E272" s="57">
        <v>3383.45</v>
      </c>
      <c r="F272" s="54" t="s">
        <v>191</v>
      </c>
      <c r="G272" s="58">
        <v>30</v>
      </c>
      <c r="H272" s="56">
        <f t="shared" si="18"/>
        <v>45107</v>
      </c>
      <c r="I272" s="57">
        <v>9.4</v>
      </c>
      <c r="J272" s="57">
        <v>56.4</v>
      </c>
      <c r="K272" s="57">
        <v>911.65</v>
      </c>
      <c r="L272" s="57">
        <v>2471.8000000000002</v>
      </c>
      <c r="M272" s="54" t="s">
        <v>249</v>
      </c>
      <c r="N272" s="54" t="s">
        <v>79</v>
      </c>
      <c r="O272" s="54" t="s">
        <v>193</v>
      </c>
      <c r="P272" s="54" t="s">
        <v>250</v>
      </c>
    </row>
    <row r="273" spans="1:16" ht="17.45" customHeight="1" x14ac:dyDescent="0.25">
      <c r="A273" s="54" t="s">
        <v>566</v>
      </c>
      <c r="B273" s="54" t="s">
        <v>525</v>
      </c>
      <c r="C273" s="56">
        <f>DATE(2015,5,31)</f>
        <v>42155</v>
      </c>
      <c r="D273" s="56">
        <f>DATE(2015,5,31)</f>
        <v>42155</v>
      </c>
      <c r="E273" s="57">
        <v>8015.55</v>
      </c>
      <c r="F273" s="54" t="s">
        <v>191</v>
      </c>
      <c r="G273" s="58">
        <v>35</v>
      </c>
      <c r="H273" s="56">
        <f t="shared" si="18"/>
        <v>45107</v>
      </c>
      <c r="I273" s="57">
        <v>19.079999999999998</v>
      </c>
      <c r="J273" s="57">
        <v>114.49</v>
      </c>
      <c r="K273" s="57">
        <v>1851.19</v>
      </c>
      <c r="L273" s="57">
        <v>6164.36</v>
      </c>
      <c r="M273" s="54" t="s">
        <v>245</v>
      </c>
      <c r="N273" s="54" t="s">
        <v>79</v>
      </c>
      <c r="O273" s="54" t="s">
        <v>193</v>
      </c>
      <c r="P273" s="54" t="s">
        <v>246</v>
      </c>
    </row>
    <row r="274" spans="1:16" ht="17.45" customHeight="1" x14ac:dyDescent="0.25">
      <c r="A274" s="54" t="s">
        <v>567</v>
      </c>
      <c r="B274" s="54" t="s">
        <v>357</v>
      </c>
      <c r="C274" s="56">
        <f>DATE(2015,6,30)</f>
        <v>42185</v>
      </c>
      <c r="D274" s="56">
        <f>DATE(2015,6,30)</f>
        <v>42185</v>
      </c>
      <c r="E274" s="57">
        <v>2470.12</v>
      </c>
      <c r="F274" s="54" t="s">
        <v>191</v>
      </c>
      <c r="G274" s="58">
        <v>30</v>
      </c>
      <c r="H274" s="56">
        <f t="shared" si="18"/>
        <v>45107</v>
      </c>
      <c r="I274" s="57">
        <v>6.86</v>
      </c>
      <c r="J274" s="57">
        <v>41.16</v>
      </c>
      <c r="K274" s="57">
        <v>658.71</v>
      </c>
      <c r="L274" s="57">
        <v>1811.41</v>
      </c>
      <c r="M274" s="54" t="s">
        <v>249</v>
      </c>
      <c r="N274" s="54" t="s">
        <v>79</v>
      </c>
      <c r="O274" s="54" t="s">
        <v>193</v>
      </c>
      <c r="P274" s="54" t="s">
        <v>250</v>
      </c>
    </row>
    <row r="275" spans="1:16" ht="17.45" customHeight="1" x14ac:dyDescent="0.25">
      <c r="A275" s="54" t="s">
        <v>568</v>
      </c>
      <c r="B275" s="54" t="s">
        <v>569</v>
      </c>
      <c r="C275" s="56">
        <f>DATE(2015,6,30)</f>
        <v>42185</v>
      </c>
      <c r="D275" s="56">
        <f>DATE(2015,6,30)</f>
        <v>42185</v>
      </c>
      <c r="E275" s="57">
        <v>5371.95</v>
      </c>
      <c r="F275" s="54" t="s">
        <v>191</v>
      </c>
      <c r="G275" s="58">
        <v>35</v>
      </c>
      <c r="H275" s="56">
        <f t="shared" si="18"/>
        <v>45107</v>
      </c>
      <c r="I275" s="57">
        <v>12.79</v>
      </c>
      <c r="J275" s="57">
        <v>76.75</v>
      </c>
      <c r="K275" s="57">
        <v>1227.8800000000001</v>
      </c>
      <c r="L275" s="57">
        <v>4144.07</v>
      </c>
      <c r="M275" s="54" t="s">
        <v>245</v>
      </c>
      <c r="N275" s="54" t="s">
        <v>79</v>
      </c>
      <c r="O275" s="54" t="s">
        <v>193</v>
      </c>
      <c r="P275" s="54" t="s">
        <v>246</v>
      </c>
    </row>
    <row r="276" spans="1:16" ht="17.45" customHeight="1" x14ac:dyDescent="0.25">
      <c r="A276" s="54" t="s">
        <v>570</v>
      </c>
      <c r="B276" s="54" t="s">
        <v>357</v>
      </c>
      <c r="C276" s="56">
        <f>DATE(2015,7,31)</f>
        <v>42216</v>
      </c>
      <c r="D276" s="56">
        <f>DATE(2015,7,31)</f>
        <v>42216</v>
      </c>
      <c r="E276" s="57">
        <v>2906.06</v>
      </c>
      <c r="F276" s="54" t="s">
        <v>191</v>
      </c>
      <c r="G276" s="58">
        <v>30</v>
      </c>
      <c r="H276" s="56">
        <f t="shared" si="18"/>
        <v>45107</v>
      </c>
      <c r="I276" s="57">
        <v>8.07</v>
      </c>
      <c r="J276" s="57">
        <v>48.42</v>
      </c>
      <c r="K276" s="57">
        <v>766.87</v>
      </c>
      <c r="L276" s="57">
        <v>2139.19</v>
      </c>
      <c r="M276" s="54" t="s">
        <v>249</v>
      </c>
      <c r="N276" s="54" t="s">
        <v>79</v>
      </c>
      <c r="O276" s="54" t="s">
        <v>193</v>
      </c>
      <c r="P276" s="54" t="s">
        <v>250</v>
      </c>
    </row>
    <row r="277" spans="1:16" ht="17.45" customHeight="1" x14ac:dyDescent="0.25">
      <c r="A277" s="54" t="s">
        <v>571</v>
      </c>
      <c r="B277" s="54" t="s">
        <v>572</v>
      </c>
      <c r="C277" s="56">
        <f>DATE(2015,7,31)</f>
        <v>42216</v>
      </c>
      <c r="D277" s="56">
        <f>DATE(2015,7,31)</f>
        <v>42216</v>
      </c>
      <c r="E277" s="57">
        <v>4188.58</v>
      </c>
      <c r="F277" s="54" t="s">
        <v>191</v>
      </c>
      <c r="G277" s="58">
        <v>35</v>
      </c>
      <c r="H277" s="56">
        <f t="shared" si="18"/>
        <v>45107</v>
      </c>
      <c r="I277" s="57">
        <v>9.9700000000000006</v>
      </c>
      <c r="J277" s="57">
        <v>59.82</v>
      </c>
      <c r="K277" s="57">
        <v>947.4</v>
      </c>
      <c r="L277" s="57">
        <v>3241.18</v>
      </c>
      <c r="M277" s="54" t="s">
        <v>245</v>
      </c>
      <c r="N277" s="54" t="s">
        <v>79</v>
      </c>
      <c r="O277" s="54" t="s">
        <v>193</v>
      </c>
      <c r="P277" s="54" t="s">
        <v>246</v>
      </c>
    </row>
    <row r="278" spans="1:16" ht="17.45" customHeight="1" x14ac:dyDescent="0.25">
      <c r="A278" s="54" t="s">
        <v>573</v>
      </c>
      <c r="B278" s="54" t="s">
        <v>574</v>
      </c>
      <c r="C278" s="56">
        <f>DATE(2015,8,31)</f>
        <v>42247</v>
      </c>
      <c r="D278" s="56">
        <f>DATE(2015,8,31)</f>
        <v>42247</v>
      </c>
      <c r="E278" s="57">
        <v>2227.46</v>
      </c>
      <c r="F278" s="54" t="s">
        <v>191</v>
      </c>
      <c r="G278" s="58">
        <v>35</v>
      </c>
      <c r="H278" s="56">
        <f t="shared" si="18"/>
        <v>45107</v>
      </c>
      <c r="I278" s="57">
        <v>5.3</v>
      </c>
      <c r="J278" s="57">
        <v>31.8</v>
      </c>
      <c r="K278" s="57">
        <v>498.49</v>
      </c>
      <c r="L278" s="57">
        <v>1728.97</v>
      </c>
      <c r="M278" s="54" t="s">
        <v>245</v>
      </c>
      <c r="N278" s="54" t="s">
        <v>79</v>
      </c>
      <c r="O278" s="54" t="s">
        <v>193</v>
      </c>
      <c r="P278" s="54" t="s">
        <v>246</v>
      </c>
    </row>
    <row r="279" spans="1:16" ht="17.45" customHeight="1" x14ac:dyDescent="0.25">
      <c r="A279" s="54" t="s">
        <v>575</v>
      </c>
      <c r="B279" s="54" t="s">
        <v>357</v>
      </c>
      <c r="C279" s="56">
        <f>DATE(2015,8,31)</f>
        <v>42247</v>
      </c>
      <c r="D279" s="56">
        <f>DATE(2015,8,31)</f>
        <v>42247</v>
      </c>
      <c r="E279" s="57">
        <v>3413.94</v>
      </c>
      <c r="F279" s="54" t="s">
        <v>191</v>
      </c>
      <c r="G279" s="58">
        <v>30</v>
      </c>
      <c r="H279" s="56">
        <f t="shared" si="18"/>
        <v>45107</v>
      </c>
      <c r="I279" s="57">
        <v>9.48</v>
      </c>
      <c r="J279" s="57">
        <v>56.88</v>
      </c>
      <c r="K279" s="57">
        <v>891.41</v>
      </c>
      <c r="L279" s="57">
        <v>2522.5300000000002</v>
      </c>
      <c r="M279" s="54" t="s">
        <v>249</v>
      </c>
      <c r="N279" s="54" t="s">
        <v>79</v>
      </c>
      <c r="O279" s="54" t="s">
        <v>193</v>
      </c>
      <c r="P279" s="54" t="s">
        <v>250</v>
      </c>
    </row>
    <row r="280" spans="1:16" ht="17.45" customHeight="1" x14ac:dyDescent="0.25">
      <c r="A280" s="54" t="s">
        <v>576</v>
      </c>
      <c r="B280" s="54" t="s">
        <v>574</v>
      </c>
      <c r="C280" s="56">
        <f>DATE(2015,9,30)</f>
        <v>42277</v>
      </c>
      <c r="D280" s="56">
        <f>DATE(2015,9,30)</f>
        <v>42277</v>
      </c>
      <c r="E280" s="57">
        <v>1385.2</v>
      </c>
      <c r="F280" s="54" t="s">
        <v>191</v>
      </c>
      <c r="G280" s="58">
        <v>35</v>
      </c>
      <c r="H280" s="56">
        <f t="shared" si="18"/>
        <v>45107</v>
      </c>
      <c r="I280" s="57">
        <v>3.3</v>
      </c>
      <c r="J280" s="57">
        <v>19.79</v>
      </c>
      <c r="K280" s="57">
        <v>306.70999999999998</v>
      </c>
      <c r="L280" s="57">
        <v>1078.49</v>
      </c>
      <c r="M280" s="54" t="s">
        <v>245</v>
      </c>
      <c r="N280" s="54" t="s">
        <v>79</v>
      </c>
      <c r="O280" s="54" t="s">
        <v>193</v>
      </c>
      <c r="P280" s="54" t="s">
        <v>246</v>
      </c>
    </row>
    <row r="281" spans="1:16" ht="17.45" customHeight="1" x14ac:dyDescent="0.25">
      <c r="A281" s="54" t="s">
        <v>577</v>
      </c>
      <c r="B281" s="54" t="s">
        <v>367</v>
      </c>
      <c r="C281" s="56">
        <f>DATE(2015,9,30)</f>
        <v>42277</v>
      </c>
      <c r="D281" s="56">
        <f>DATE(2015,9,30)</f>
        <v>42277</v>
      </c>
      <c r="E281" s="57">
        <v>2426.5500000000002</v>
      </c>
      <c r="F281" s="54" t="s">
        <v>191</v>
      </c>
      <c r="G281" s="58">
        <v>30</v>
      </c>
      <c r="H281" s="56">
        <f t="shared" si="18"/>
        <v>45107</v>
      </c>
      <c r="I281" s="57">
        <v>6.74</v>
      </c>
      <c r="J281" s="57">
        <v>40.44</v>
      </c>
      <c r="K281" s="57">
        <v>626.89</v>
      </c>
      <c r="L281" s="57">
        <v>1799.66</v>
      </c>
      <c r="M281" s="54" t="s">
        <v>249</v>
      </c>
      <c r="N281" s="54" t="s">
        <v>79</v>
      </c>
      <c r="O281" s="54" t="s">
        <v>193</v>
      </c>
      <c r="P281" s="54" t="s">
        <v>250</v>
      </c>
    </row>
    <row r="282" spans="1:16" ht="17.45" customHeight="1" x14ac:dyDescent="0.25">
      <c r="A282" s="54" t="s">
        <v>578</v>
      </c>
      <c r="B282" s="54" t="s">
        <v>357</v>
      </c>
      <c r="C282" s="56">
        <f>DATE(2015,10,31)</f>
        <v>42308</v>
      </c>
      <c r="D282" s="56">
        <f>DATE(2015,10,31)</f>
        <v>42308</v>
      </c>
      <c r="E282" s="57">
        <v>3048.87</v>
      </c>
      <c r="F282" s="54" t="s">
        <v>191</v>
      </c>
      <c r="G282" s="58">
        <v>30</v>
      </c>
      <c r="H282" s="56">
        <f t="shared" si="18"/>
        <v>45107</v>
      </c>
      <c r="I282" s="57">
        <v>8.4700000000000006</v>
      </c>
      <c r="J282" s="57">
        <v>50.82</v>
      </c>
      <c r="K282" s="57">
        <v>779.17</v>
      </c>
      <c r="L282" s="57">
        <v>2269.6999999999998</v>
      </c>
      <c r="M282" s="54" t="s">
        <v>249</v>
      </c>
      <c r="N282" s="54" t="s">
        <v>79</v>
      </c>
      <c r="O282" s="54" t="s">
        <v>193</v>
      </c>
      <c r="P282" s="54" t="s">
        <v>250</v>
      </c>
    </row>
    <row r="283" spans="1:16" ht="17.45" customHeight="1" x14ac:dyDescent="0.25">
      <c r="A283" s="54" t="s">
        <v>579</v>
      </c>
      <c r="B283" s="54" t="s">
        <v>244</v>
      </c>
      <c r="C283" s="56">
        <f>DATE(2015,10,31)</f>
        <v>42308</v>
      </c>
      <c r="D283" s="56">
        <f>DATE(2015,10,31)</f>
        <v>42308</v>
      </c>
      <c r="E283" s="57">
        <v>15319.72</v>
      </c>
      <c r="F283" s="54" t="s">
        <v>191</v>
      </c>
      <c r="G283" s="58">
        <v>35</v>
      </c>
      <c r="H283" s="56">
        <f t="shared" si="18"/>
        <v>45107</v>
      </c>
      <c r="I283" s="57">
        <v>36.479999999999997</v>
      </c>
      <c r="J283" s="57">
        <v>218.85</v>
      </c>
      <c r="K283" s="57">
        <v>3355.75</v>
      </c>
      <c r="L283" s="57">
        <v>11963.97</v>
      </c>
      <c r="M283" s="54" t="s">
        <v>245</v>
      </c>
      <c r="N283" s="54" t="s">
        <v>79</v>
      </c>
      <c r="O283" s="54" t="s">
        <v>193</v>
      </c>
      <c r="P283" s="54" t="s">
        <v>246</v>
      </c>
    </row>
    <row r="284" spans="1:16" ht="17.45" customHeight="1" x14ac:dyDescent="0.25">
      <c r="A284" s="54" t="s">
        <v>580</v>
      </c>
      <c r="B284" s="54" t="s">
        <v>357</v>
      </c>
      <c r="C284" s="56">
        <f>DATE(2015,11,30)</f>
        <v>42338</v>
      </c>
      <c r="D284" s="56">
        <f>DATE(2015,11,30)</f>
        <v>42338</v>
      </c>
      <c r="E284" s="57">
        <v>3651.81</v>
      </c>
      <c r="F284" s="54" t="s">
        <v>191</v>
      </c>
      <c r="G284" s="58">
        <v>30</v>
      </c>
      <c r="H284" s="56">
        <f t="shared" si="18"/>
        <v>45107</v>
      </c>
      <c r="I284" s="57">
        <v>10.14</v>
      </c>
      <c r="J284" s="57">
        <v>60.84</v>
      </c>
      <c r="K284" s="57">
        <v>923.09</v>
      </c>
      <c r="L284" s="57">
        <v>2728.72</v>
      </c>
      <c r="M284" s="54" t="s">
        <v>249</v>
      </c>
      <c r="N284" s="54" t="s">
        <v>79</v>
      </c>
      <c r="O284" s="54" t="s">
        <v>193</v>
      </c>
      <c r="P284" s="54" t="s">
        <v>250</v>
      </c>
    </row>
    <row r="285" spans="1:16" ht="17.45" customHeight="1" x14ac:dyDescent="0.25">
      <c r="A285" s="54" t="s">
        <v>581</v>
      </c>
      <c r="B285" s="54" t="s">
        <v>244</v>
      </c>
      <c r="C285" s="56">
        <f>DATE(2015,11,30)</f>
        <v>42338</v>
      </c>
      <c r="D285" s="56">
        <f>DATE(2015,11,30)</f>
        <v>42338</v>
      </c>
      <c r="E285" s="57">
        <v>3892.39</v>
      </c>
      <c r="F285" s="54" t="s">
        <v>191</v>
      </c>
      <c r="G285" s="58">
        <v>35</v>
      </c>
      <c r="H285" s="56">
        <f t="shared" si="18"/>
        <v>45107</v>
      </c>
      <c r="I285" s="57">
        <v>9.27</v>
      </c>
      <c r="J285" s="57">
        <v>55.62</v>
      </c>
      <c r="K285" s="57">
        <v>843.37</v>
      </c>
      <c r="L285" s="57">
        <v>3049.02</v>
      </c>
      <c r="M285" s="54" t="s">
        <v>245</v>
      </c>
      <c r="N285" s="54" t="s">
        <v>79</v>
      </c>
      <c r="O285" s="54" t="s">
        <v>193</v>
      </c>
      <c r="P285" s="54" t="s">
        <v>246</v>
      </c>
    </row>
    <row r="286" spans="1:16" ht="17.45" customHeight="1" x14ac:dyDescent="0.25">
      <c r="A286" s="54" t="s">
        <v>582</v>
      </c>
      <c r="B286" s="54" t="s">
        <v>583</v>
      </c>
      <c r="C286" s="56">
        <f t="shared" ref="C286:D288" si="20">DATE(2015,12,31)</f>
        <v>42369</v>
      </c>
      <c r="D286" s="56">
        <f t="shared" si="20"/>
        <v>42369</v>
      </c>
      <c r="E286" s="57">
        <v>4099.41</v>
      </c>
      <c r="F286" s="54" t="s">
        <v>191</v>
      </c>
      <c r="G286" s="58">
        <v>30</v>
      </c>
      <c r="H286" s="56">
        <f t="shared" si="18"/>
        <v>45107</v>
      </c>
      <c r="I286" s="57">
        <v>11.39</v>
      </c>
      <c r="J286" s="57">
        <v>68.34</v>
      </c>
      <c r="K286" s="57">
        <v>1024.8900000000001</v>
      </c>
      <c r="L286" s="57">
        <v>3074.52</v>
      </c>
      <c r="M286" s="54" t="s">
        <v>249</v>
      </c>
      <c r="N286" s="54" t="s">
        <v>79</v>
      </c>
      <c r="O286" s="54" t="s">
        <v>193</v>
      </c>
      <c r="P286" s="54" t="s">
        <v>250</v>
      </c>
    </row>
    <row r="287" spans="1:16" ht="17.45" customHeight="1" x14ac:dyDescent="0.25">
      <c r="A287" s="54" t="s">
        <v>584</v>
      </c>
      <c r="B287" s="54" t="s">
        <v>367</v>
      </c>
      <c r="C287" s="56">
        <f t="shared" si="20"/>
        <v>42369</v>
      </c>
      <c r="D287" s="56">
        <f t="shared" si="20"/>
        <v>42369</v>
      </c>
      <c r="E287" s="57">
        <v>3201.27</v>
      </c>
      <c r="F287" s="54" t="s">
        <v>191</v>
      </c>
      <c r="G287" s="58">
        <v>30</v>
      </c>
      <c r="H287" s="56">
        <f t="shared" si="18"/>
        <v>45107</v>
      </c>
      <c r="I287" s="57">
        <v>8.89</v>
      </c>
      <c r="J287" s="57">
        <v>53.34</v>
      </c>
      <c r="K287" s="57">
        <v>800.31</v>
      </c>
      <c r="L287" s="57">
        <v>2400.96</v>
      </c>
      <c r="M287" s="54" t="s">
        <v>249</v>
      </c>
      <c r="N287" s="54" t="s">
        <v>79</v>
      </c>
      <c r="O287" s="54" t="s">
        <v>193</v>
      </c>
      <c r="P287" s="54" t="s">
        <v>250</v>
      </c>
    </row>
    <row r="288" spans="1:16" ht="17.45" customHeight="1" x14ac:dyDescent="0.25">
      <c r="A288" s="54" t="s">
        <v>585</v>
      </c>
      <c r="B288" s="54" t="s">
        <v>586</v>
      </c>
      <c r="C288" s="56">
        <f t="shared" si="20"/>
        <v>42369</v>
      </c>
      <c r="D288" s="56">
        <f t="shared" si="20"/>
        <v>42369</v>
      </c>
      <c r="E288" s="57">
        <v>19</v>
      </c>
      <c r="F288" s="54" t="s">
        <v>191</v>
      </c>
      <c r="G288" s="58">
        <v>35</v>
      </c>
      <c r="H288" s="56">
        <f t="shared" si="18"/>
        <v>45107</v>
      </c>
      <c r="I288" s="57">
        <v>0.05</v>
      </c>
      <c r="J288" s="57">
        <v>0.28000000000000003</v>
      </c>
      <c r="K288" s="57">
        <v>4.08</v>
      </c>
      <c r="L288" s="57">
        <v>14.92</v>
      </c>
      <c r="M288" s="54" t="s">
        <v>245</v>
      </c>
      <c r="N288" s="54" t="s">
        <v>79</v>
      </c>
      <c r="O288" s="54" t="s">
        <v>193</v>
      </c>
      <c r="P288" s="54" t="s">
        <v>246</v>
      </c>
    </row>
    <row r="289" spans="1:16" ht="17.45" customHeight="1" x14ac:dyDescent="0.25">
      <c r="A289" s="54" t="s">
        <v>587</v>
      </c>
      <c r="B289" s="54" t="s">
        <v>357</v>
      </c>
      <c r="C289" s="56">
        <f>DATE(2016,1,31)</f>
        <v>42400</v>
      </c>
      <c r="D289" s="56">
        <f>DATE(2016,1,31)</f>
        <v>42400</v>
      </c>
      <c r="E289" s="57">
        <v>8546.49</v>
      </c>
      <c r="F289" s="54" t="s">
        <v>191</v>
      </c>
      <c r="G289" s="58">
        <v>30</v>
      </c>
      <c r="H289" s="56">
        <f t="shared" si="18"/>
        <v>45107</v>
      </c>
      <c r="I289" s="57">
        <v>23.74</v>
      </c>
      <c r="J289" s="57">
        <v>142.44</v>
      </c>
      <c r="K289" s="57">
        <v>2112.86</v>
      </c>
      <c r="L289" s="57">
        <v>6433.63</v>
      </c>
      <c r="M289" s="54" t="s">
        <v>249</v>
      </c>
      <c r="N289" s="54" t="s">
        <v>79</v>
      </c>
      <c r="O289" s="54" t="s">
        <v>193</v>
      </c>
      <c r="P289" s="54" t="s">
        <v>250</v>
      </c>
    </row>
    <row r="290" spans="1:16" ht="17.45" customHeight="1" x14ac:dyDescent="0.25">
      <c r="A290" s="54" t="s">
        <v>588</v>
      </c>
      <c r="B290" s="54" t="s">
        <v>357</v>
      </c>
      <c r="C290" s="56">
        <f>DATE(2016,2,29)</f>
        <v>42429</v>
      </c>
      <c r="D290" s="56">
        <f>DATE(2016,2,29)</f>
        <v>42429</v>
      </c>
      <c r="E290" s="57">
        <v>1185.46</v>
      </c>
      <c r="F290" s="54" t="s">
        <v>191</v>
      </c>
      <c r="G290" s="58">
        <v>30</v>
      </c>
      <c r="H290" s="56">
        <f t="shared" si="18"/>
        <v>45107</v>
      </c>
      <c r="I290" s="57">
        <v>3.29</v>
      </c>
      <c r="J290" s="57">
        <v>19.739999999999998</v>
      </c>
      <c r="K290" s="57">
        <v>289.79000000000002</v>
      </c>
      <c r="L290" s="57">
        <v>895.67</v>
      </c>
      <c r="M290" s="54" t="s">
        <v>249</v>
      </c>
      <c r="N290" s="54" t="s">
        <v>79</v>
      </c>
      <c r="O290" s="54" t="s">
        <v>193</v>
      </c>
      <c r="P290" s="54" t="s">
        <v>250</v>
      </c>
    </row>
    <row r="291" spans="1:16" ht="17.45" customHeight="1" x14ac:dyDescent="0.25">
      <c r="A291" s="54" t="s">
        <v>589</v>
      </c>
      <c r="B291" s="54" t="s">
        <v>244</v>
      </c>
      <c r="C291" s="56">
        <f>DATE(2016,2,29)</f>
        <v>42429</v>
      </c>
      <c r="D291" s="56">
        <f>DATE(2016,2,29)</f>
        <v>42429</v>
      </c>
      <c r="E291" s="57">
        <v>13334.4</v>
      </c>
      <c r="F291" s="54" t="s">
        <v>191</v>
      </c>
      <c r="G291" s="58">
        <v>35</v>
      </c>
      <c r="H291" s="56">
        <f t="shared" si="18"/>
        <v>45107</v>
      </c>
      <c r="I291" s="57">
        <v>31.75</v>
      </c>
      <c r="J291" s="57">
        <v>190.5</v>
      </c>
      <c r="K291" s="57">
        <v>2793.9</v>
      </c>
      <c r="L291" s="57">
        <v>10540.5</v>
      </c>
      <c r="M291" s="54" t="s">
        <v>245</v>
      </c>
      <c r="N291" s="54" t="s">
        <v>79</v>
      </c>
      <c r="O291" s="54" t="s">
        <v>193</v>
      </c>
      <c r="P291" s="54" t="s">
        <v>246</v>
      </c>
    </row>
    <row r="292" spans="1:16" ht="17.45" customHeight="1" x14ac:dyDescent="0.25">
      <c r="A292" s="54" t="s">
        <v>590</v>
      </c>
      <c r="B292" s="54" t="s">
        <v>435</v>
      </c>
      <c r="C292" s="56">
        <f>DATE(2016,4,30)</f>
        <v>42490</v>
      </c>
      <c r="D292" s="56">
        <f>DATE(2016,4,30)</f>
        <v>42490</v>
      </c>
      <c r="E292" s="57">
        <v>2436.6</v>
      </c>
      <c r="F292" s="54" t="s">
        <v>191</v>
      </c>
      <c r="G292" s="58">
        <v>30</v>
      </c>
      <c r="H292" s="56">
        <f t="shared" si="18"/>
        <v>45107</v>
      </c>
      <c r="I292" s="57">
        <v>6.77</v>
      </c>
      <c r="J292" s="57">
        <v>40.619999999999997</v>
      </c>
      <c r="K292" s="57">
        <v>582.09</v>
      </c>
      <c r="L292" s="57">
        <v>1854.51</v>
      </c>
      <c r="M292" s="54" t="s">
        <v>249</v>
      </c>
      <c r="N292" s="54" t="s">
        <v>79</v>
      </c>
      <c r="O292" s="54" t="s">
        <v>193</v>
      </c>
      <c r="P292" s="54" t="s">
        <v>250</v>
      </c>
    </row>
    <row r="293" spans="1:16" ht="17.45" customHeight="1" x14ac:dyDescent="0.25">
      <c r="A293" s="54" t="s">
        <v>591</v>
      </c>
      <c r="B293" s="54" t="s">
        <v>244</v>
      </c>
      <c r="C293" s="56">
        <f>DATE(2016,4,30)</f>
        <v>42490</v>
      </c>
      <c r="D293" s="56">
        <f>DATE(2016,4,30)</f>
        <v>42490</v>
      </c>
      <c r="E293" s="57">
        <v>9524.92</v>
      </c>
      <c r="F293" s="54" t="s">
        <v>191</v>
      </c>
      <c r="G293" s="58">
        <v>35</v>
      </c>
      <c r="H293" s="56">
        <f t="shared" si="18"/>
        <v>45107</v>
      </c>
      <c r="I293" s="57">
        <v>22.68</v>
      </c>
      <c r="J293" s="57">
        <v>136.08000000000001</v>
      </c>
      <c r="K293" s="57">
        <v>1950.36</v>
      </c>
      <c r="L293" s="57">
        <v>7574.56</v>
      </c>
      <c r="M293" s="54" t="s">
        <v>245</v>
      </c>
      <c r="N293" s="54" t="s">
        <v>79</v>
      </c>
      <c r="O293" s="54" t="s">
        <v>193</v>
      </c>
      <c r="P293" s="54" t="s">
        <v>246</v>
      </c>
    </row>
    <row r="294" spans="1:16" ht="17.45" customHeight="1" x14ac:dyDescent="0.25">
      <c r="A294" s="54" t="s">
        <v>592</v>
      </c>
      <c r="B294" s="54" t="s">
        <v>244</v>
      </c>
      <c r="C294" s="56">
        <f>DATE(2016,5,31)</f>
        <v>42521</v>
      </c>
      <c r="D294" s="56">
        <f>DATE(2016,5,31)</f>
        <v>42521</v>
      </c>
      <c r="E294" s="57">
        <v>3702.71</v>
      </c>
      <c r="F294" s="54" t="s">
        <v>191</v>
      </c>
      <c r="G294" s="58">
        <v>35</v>
      </c>
      <c r="H294" s="56">
        <f t="shared" si="18"/>
        <v>45107</v>
      </c>
      <c r="I294" s="57">
        <v>8.82</v>
      </c>
      <c r="J294" s="57">
        <v>52.92</v>
      </c>
      <c r="K294" s="57">
        <v>749.37</v>
      </c>
      <c r="L294" s="57">
        <v>2953.34</v>
      </c>
      <c r="M294" s="54" t="s">
        <v>245</v>
      </c>
      <c r="N294" s="54" t="s">
        <v>79</v>
      </c>
      <c r="O294" s="54" t="s">
        <v>193</v>
      </c>
      <c r="P294" s="54" t="s">
        <v>246</v>
      </c>
    </row>
    <row r="295" spans="1:16" ht="17.45" customHeight="1" x14ac:dyDescent="0.25">
      <c r="A295" s="54" t="s">
        <v>593</v>
      </c>
      <c r="B295" s="54" t="s">
        <v>357</v>
      </c>
      <c r="C295" s="56">
        <f>DATE(2016,5,31)</f>
        <v>42521</v>
      </c>
      <c r="D295" s="56">
        <f>DATE(2016,5,31)</f>
        <v>42521</v>
      </c>
      <c r="E295" s="57">
        <v>1933.4</v>
      </c>
      <c r="F295" s="54" t="s">
        <v>191</v>
      </c>
      <c r="G295" s="58">
        <v>30</v>
      </c>
      <c r="H295" s="56">
        <f t="shared" si="18"/>
        <v>45107</v>
      </c>
      <c r="I295" s="57">
        <v>5.37</v>
      </c>
      <c r="J295" s="57">
        <v>32.22</v>
      </c>
      <c r="K295" s="57">
        <v>456.51</v>
      </c>
      <c r="L295" s="57">
        <v>1476.89</v>
      </c>
      <c r="M295" s="54" t="s">
        <v>249</v>
      </c>
      <c r="N295" s="54" t="s">
        <v>79</v>
      </c>
      <c r="O295" s="54" t="s">
        <v>193</v>
      </c>
      <c r="P295" s="54" t="s">
        <v>250</v>
      </c>
    </row>
    <row r="296" spans="1:16" ht="17.45" customHeight="1" x14ac:dyDescent="0.25">
      <c r="A296" s="54" t="s">
        <v>594</v>
      </c>
      <c r="B296" s="54" t="s">
        <v>357</v>
      </c>
      <c r="C296" s="56">
        <f>DATE(2016,6,30)</f>
        <v>42551</v>
      </c>
      <c r="D296" s="56">
        <f>DATE(2016,6,30)</f>
        <v>42551</v>
      </c>
      <c r="E296" s="57">
        <v>3691.7</v>
      </c>
      <c r="F296" s="54" t="s">
        <v>191</v>
      </c>
      <c r="G296" s="58">
        <v>30</v>
      </c>
      <c r="H296" s="56">
        <f t="shared" si="18"/>
        <v>45107</v>
      </c>
      <c r="I296" s="57">
        <v>10.25</v>
      </c>
      <c r="J296" s="57">
        <v>61.5</v>
      </c>
      <c r="K296" s="57">
        <v>861.39</v>
      </c>
      <c r="L296" s="57">
        <v>2830.31</v>
      </c>
      <c r="M296" s="54" t="s">
        <v>249</v>
      </c>
      <c r="N296" s="54" t="s">
        <v>79</v>
      </c>
      <c r="O296" s="54" t="s">
        <v>193</v>
      </c>
      <c r="P296" s="54" t="s">
        <v>250</v>
      </c>
    </row>
    <row r="297" spans="1:16" ht="17.45" customHeight="1" x14ac:dyDescent="0.25">
      <c r="A297" s="54" t="s">
        <v>595</v>
      </c>
      <c r="B297" s="54" t="s">
        <v>529</v>
      </c>
      <c r="C297" s="56">
        <f>DATE(2016,6,30)</f>
        <v>42551</v>
      </c>
      <c r="D297" s="56">
        <f>DATE(2016,6,30)</f>
        <v>42551</v>
      </c>
      <c r="E297" s="57">
        <v>19702.53</v>
      </c>
      <c r="F297" s="54" t="s">
        <v>191</v>
      </c>
      <c r="G297" s="58">
        <v>35</v>
      </c>
      <c r="H297" s="56">
        <f t="shared" si="18"/>
        <v>45107</v>
      </c>
      <c r="I297" s="57">
        <v>46.91</v>
      </c>
      <c r="J297" s="57">
        <v>281.45999999999998</v>
      </c>
      <c r="K297" s="57">
        <v>3940.5</v>
      </c>
      <c r="L297" s="57">
        <v>15762.03</v>
      </c>
      <c r="M297" s="54" t="s">
        <v>245</v>
      </c>
      <c r="N297" s="54" t="s">
        <v>79</v>
      </c>
      <c r="O297" s="54" t="s">
        <v>193</v>
      </c>
      <c r="P297" s="54" t="s">
        <v>246</v>
      </c>
    </row>
    <row r="298" spans="1:16" ht="17.45" customHeight="1" x14ac:dyDescent="0.25">
      <c r="A298" s="54" t="s">
        <v>596</v>
      </c>
      <c r="B298" s="54" t="s">
        <v>435</v>
      </c>
      <c r="C298" s="56">
        <f>DATE(2016,7,31)</f>
        <v>42582</v>
      </c>
      <c r="D298" s="56">
        <f>DATE(2016,7,31)</f>
        <v>42582</v>
      </c>
      <c r="E298" s="57">
        <v>2685.11</v>
      </c>
      <c r="F298" s="54" t="s">
        <v>191</v>
      </c>
      <c r="G298" s="58">
        <v>30</v>
      </c>
      <c r="H298" s="56">
        <f t="shared" si="18"/>
        <v>45107</v>
      </c>
      <c r="I298" s="57">
        <v>7.46</v>
      </c>
      <c r="J298" s="57">
        <v>44.76</v>
      </c>
      <c r="K298" s="57">
        <v>619.04999999999995</v>
      </c>
      <c r="L298" s="57">
        <v>2066.06</v>
      </c>
      <c r="M298" s="54" t="s">
        <v>249</v>
      </c>
      <c r="N298" s="54" t="s">
        <v>79</v>
      </c>
      <c r="O298" s="54" t="s">
        <v>193</v>
      </c>
      <c r="P298" s="54" t="s">
        <v>250</v>
      </c>
    </row>
    <row r="299" spans="1:16" ht="17.45" customHeight="1" x14ac:dyDescent="0.25">
      <c r="A299" s="54" t="s">
        <v>597</v>
      </c>
      <c r="B299" s="54" t="s">
        <v>586</v>
      </c>
      <c r="C299" s="56">
        <f>DATE(2016,7,31)</f>
        <v>42582</v>
      </c>
      <c r="D299" s="56">
        <f>DATE(2016,7,31)</f>
        <v>42582</v>
      </c>
      <c r="E299" s="57">
        <v>74.900000000000006</v>
      </c>
      <c r="F299" s="54" t="s">
        <v>191</v>
      </c>
      <c r="G299" s="58">
        <v>35</v>
      </c>
      <c r="H299" s="56">
        <f t="shared" si="18"/>
        <v>45107</v>
      </c>
      <c r="I299" s="57">
        <v>0.18</v>
      </c>
      <c r="J299" s="57">
        <v>1.08</v>
      </c>
      <c r="K299" s="57">
        <v>14.81</v>
      </c>
      <c r="L299" s="57">
        <v>60.09</v>
      </c>
      <c r="M299" s="54" t="s">
        <v>245</v>
      </c>
      <c r="N299" s="54" t="s">
        <v>79</v>
      </c>
      <c r="O299" s="54" t="s">
        <v>193</v>
      </c>
      <c r="P299" s="54" t="s">
        <v>246</v>
      </c>
    </row>
    <row r="300" spans="1:16" ht="17.45" customHeight="1" x14ac:dyDescent="0.25">
      <c r="A300" s="54" t="s">
        <v>598</v>
      </c>
      <c r="B300" s="54" t="s">
        <v>435</v>
      </c>
      <c r="C300" s="56">
        <f>DATE(2016,8,31)</f>
        <v>42613</v>
      </c>
      <c r="D300" s="56">
        <f>DATE(2016,8,31)</f>
        <v>42613</v>
      </c>
      <c r="E300" s="57">
        <v>6033.88</v>
      </c>
      <c r="F300" s="54" t="s">
        <v>191</v>
      </c>
      <c r="G300" s="58">
        <v>30</v>
      </c>
      <c r="H300" s="56">
        <f t="shared" si="18"/>
        <v>45107</v>
      </c>
      <c r="I300" s="57">
        <v>16.760000000000002</v>
      </c>
      <c r="J300" s="57">
        <v>100.56</v>
      </c>
      <c r="K300" s="57">
        <v>1374.38</v>
      </c>
      <c r="L300" s="57">
        <v>4659.5</v>
      </c>
      <c r="M300" s="54" t="s">
        <v>249</v>
      </c>
      <c r="N300" s="54" t="s">
        <v>79</v>
      </c>
      <c r="O300" s="54" t="s">
        <v>193</v>
      </c>
      <c r="P300" s="54" t="s">
        <v>250</v>
      </c>
    </row>
    <row r="301" spans="1:16" ht="17.45" customHeight="1" x14ac:dyDescent="0.25">
      <c r="A301" s="54" t="s">
        <v>599</v>
      </c>
      <c r="B301" s="54" t="s">
        <v>244</v>
      </c>
      <c r="C301" s="56">
        <f>DATE(2016,8,31)</f>
        <v>42613</v>
      </c>
      <c r="D301" s="56">
        <f>DATE(2016,8,31)</f>
        <v>42613</v>
      </c>
      <c r="E301" s="57">
        <v>5459.96</v>
      </c>
      <c r="F301" s="54" t="s">
        <v>191</v>
      </c>
      <c r="G301" s="58">
        <v>35</v>
      </c>
      <c r="H301" s="56">
        <f t="shared" si="18"/>
        <v>45107</v>
      </c>
      <c r="I301" s="57">
        <v>13</v>
      </c>
      <c r="J301" s="57">
        <v>78</v>
      </c>
      <c r="K301" s="57">
        <v>1066</v>
      </c>
      <c r="L301" s="57">
        <v>4393.96</v>
      </c>
      <c r="M301" s="54" t="s">
        <v>245</v>
      </c>
      <c r="N301" s="54" t="s">
        <v>79</v>
      </c>
      <c r="O301" s="54" t="s">
        <v>193</v>
      </c>
      <c r="P301" s="54" t="s">
        <v>246</v>
      </c>
    </row>
    <row r="302" spans="1:16" ht="17.45" customHeight="1" x14ac:dyDescent="0.25">
      <c r="A302" s="54" t="s">
        <v>600</v>
      </c>
      <c r="B302" s="54" t="s">
        <v>357</v>
      </c>
      <c r="C302" s="56">
        <f>DATE(2016,9,30)</f>
        <v>42643</v>
      </c>
      <c r="D302" s="56">
        <f>DATE(2016,9,30)</f>
        <v>42643</v>
      </c>
      <c r="E302" s="57">
        <v>6545.27</v>
      </c>
      <c r="F302" s="54" t="s">
        <v>191</v>
      </c>
      <c r="G302" s="58">
        <v>30</v>
      </c>
      <c r="H302" s="56">
        <f t="shared" si="18"/>
        <v>45107</v>
      </c>
      <c r="I302" s="57">
        <v>18.18</v>
      </c>
      <c r="J302" s="57">
        <v>109.08</v>
      </c>
      <c r="K302" s="57">
        <v>1472.7</v>
      </c>
      <c r="L302" s="57">
        <v>5072.57</v>
      </c>
      <c r="M302" s="54" t="s">
        <v>249</v>
      </c>
      <c r="N302" s="54" t="s">
        <v>79</v>
      </c>
      <c r="O302" s="54" t="s">
        <v>193</v>
      </c>
      <c r="P302" s="54" t="s">
        <v>250</v>
      </c>
    </row>
    <row r="303" spans="1:16" ht="17.45" customHeight="1" x14ac:dyDescent="0.25">
      <c r="A303" s="54" t="s">
        <v>601</v>
      </c>
      <c r="B303" s="54" t="s">
        <v>244</v>
      </c>
      <c r="C303" s="56">
        <f>DATE(2016,9,30)</f>
        <v>42643</v>
      </c>
      <c r="D303" s="56">
        <f>DATE(2016,9,30)</f>
        <v>42643</v>
      </c>
      <c r="E303" s="57">
        <v>2688.49</v>
      </c>
      <c r="F303" s="54" t="s">
        <v>191</v>
      </c>
      <c r="G303" s="58">
        <v>35</v>
      </c>
      <c r="H303" s="56">
        <f t="shared" si="18"/>
        <v>45107</v>
      </c>
      <c r="I303" s="57">
        <v>6.4</v>
      </c>
      <c r="J303" s="57">
        <v>38.4</v>
      </c>
      <c r="K303" s="57">
        <v>518.48</v>
      </c>
      <c r="L303" s="57">
        <v>2170.0100000000002</v>
      </c>
      <c r="M303" s="54" t="s">
        <v>245</v>
      </c>
      <c r="N303" s="54" t="s">
        <v>79</v>
      </c>
      <c r="O303" s="54" t="s">
        <v>193</v>
      </c>
      <c r="P303" s="54" t="s">
        <v>246</v>
      </c>
    </row>
    <row r="304" spans="1:16" ht="17.45" customHeight="1" x14ac:dyDescent="0.25">
      <c r="A304" s="54" t="s">
        <v>602</v>
      </c>
      <c r="B304" s="54" t="s">
        <v>357</v>
      </c>
      <c r="C304" s="56">
        <f>DATE(2016,10,31)</f>
        <v>42674</v>
      </c>
      <c r="D304" s="56">
        <f>DATE(2016,10,31)</f>
        <v>42674</v>
      </c>
      <c r="E304" s="57">
        <v>7221.78</v>
      </c>
      <c r="F304" s="54" t="s">
        <v>191</v>
      </c>
      <c r="G304" s="58">
        <v>30</v>
      </c>
      <c r="H304" s="56">
        <f t="shared" si="18"/>
        <v>45107</v>
      </c>
      <c r="I304" s="57">
        <v>20.059999999999999</v>
      </c>
      <c r="J304" s="57">
        <v>120.36</v>
      </c>
      <c r="K304" s="57">
        <v>1604.86</v>
      </c>
      <c r="L304" s="57">
        <v>5616.92</v>
      </c>
      <c r="M304" s="54" t="s">
        <v>249</v>
      </c>
      <c r="N304" s="54" t="s">
        <v>79</v>
      </c>
      <c r="O304" s="54" t="s">
        <v>193</v>
      </c>
      <c r="P304" s="54" t="s">
        <v>250</v>
      </c>
    </row>
    <row r="305" spans="1:16" ht="17.45" customHeight="1" x14ac:dyDescent="0.25">
      <c r="A305" s="54" t="s">
        <v>603</v>
      </c>
      <c r="B305" s="54" t="s">
        <v>244</v>
      </c>
      <c r="C305" s="56">
        <f>DATE(2016,10,31)</f>
        <v>42674</v>
      </c>
      <c r="D305" s="56">
        <f>DATE(2016,10,31)</f>
        <v>42674</v>
      </c>
      <c r="E305" s="57">
        <v>34795.339999999997</v>
      </c>
      <c r="F305" s="54" t="s">
        <v>191</v>
      </c>
      <c r="G305" s="58">
        <v>35</v>
      </c>
      <c r="H305" s="56">
        <f t="shared" si="18"/>
        <v>45107</v>
      </c>
      <c r="I305" s="57">
        <v>82.85</v>
      </c>
      <c r="J305" s="57">
        <v>497.1</v>
      </c>
      <c r="K305" s="57">
        <v>6627.69</v>
      </c>
      <c r="L305" s="57">
        <v>28167.65</v>
      </c>
      <c r="M305" s="54" t="s">
        <v>245</v>
      </c>
      <c r="N305" s="54" t="s">
        <v>79</v>
      </c>
      <c r="O305" s="54" t="s">
        <v>193</v>
      </c>
      <c r="P305" s="54" t="s">
        <v>246</v>
      </c>
    </row>
    <row r="306" spans="1:16" ht="17.45" customHeight="1" x14ac:dyDescent="0.25">
      <c r="A306" s="54" t="s">
        <v>604</v>
      </c>
      <c r="B306" s="54" t="s">
        <v>357</v>
      </c>
      <c r="C306" s="56">
        <f>DATE(2016,11,30)</f>
        <v>42704</v>
      </c>
      <c r="D306" s="56">
        <f>DATE(2016,11,30)</f>
        <v>42704</v>
      </c>
      <c r="E306" s="57">
        <v>7035.26</v>
      </c>
      <c r="F306" s="54" t="s">
        <v>191</v>
      </c>
      <c r="G306" s="58">
        <v>30</v>
      </c>
      <c r="H306" s="56">
        <f t="shared" si="18"/>
        <v>45107</v>
      </c>
      <c r="I306" s="57">
        <v>19.54</v>
      </c>
      <c r="J306" s="57">
        <v>117.24</v>
      </c>
      <c r="K306" s="57">
        <v>1543.84</v>
      </c>
      <c r="L306" s="57">
        <v>5491.42</v>
      </c>
      <c r="M306" s="54" t="s">
        <v>249</v>
      </c>
      <c r="N306" s="54" t="s">
        <v>79</v>
      </c>
      <c r="O306" s="54" t="s">
        <v>193</v>
      </c>
      <c r="P306" s="54" t="s">
        <v>250</v>
      </c>
    </row>
    <row r="307" spans="1:16" ht="17.45" customHeight="1" x14ac:dyDescent="0.25">
      <c r="A307" s="54" t="s">
        <v>605</v>
      </c>
      <c r="B307" s="54" t="s">
        <v>357</v>
      </c>
      <c r="C307" s="56">
        <f>DATE(2016,12,31)</f>
        <v>42735</v>
      </c>
      <c r="D307" s="56">
        <f>DATE(2016,12,31)</f>
        <v>42735</v>
      </c>
      <c r="E307" s="57">
        <v>3709.64</v>
      </c>
      <c r="F307" s="54" t="s">
        <v>191</v>
      </c>
      <c r="G307" s="58">
        <v>30</v>
      </c>
      <c r="H307" s="56">
        <f t="shared" si="18"/>
        <v>45107</v>
      </c>
      <c r="I307" s="57">
        <v>10.3</v>
      </c>
      <c r="J307" s="57">
        <v>61.8</v>
      </c>
      <c r="K307" s="57">
        <v>803.7</v>
      </c>
      <c r="L307" s="57">
        <v>2905.94</v>
      </c>
      <c r="M307" s="54" t="s">
        <v>249</v>
      </c>
      <c r="N307" s="54" t="s">
        <v>79</v>
      </c>
      <c r="O307" s="54" t="s">
        <v>193</v>
      </c>
      <c r="P307" s="54" t="s">
        <v>250</v>
      </c>
    </row>
    <row r="308" spans="1:16" ht="17.45" customHeight="1" x14ac:dyDescent="0.25">
      <c r="A308" s="54" t="s">
        <v>606</v>
      </c>
      <c r="B308" s="54" t="s">
        <v>244</v>
      </c>
      <c r="C308" s="56">
        <f>DATE(2017,1,31)</f>
        <v>42766</v>
      </c>
      <c r="D308" s="56">
        <f>DATE(2017,1,31)</f>
        <v>42766</v>
      </c>
      <c r="E308" s="57">
        <v>18516.330000000002</v>
      </c>
      <c r="F308" s="54" t="s">
        <v>191</v>
      </c>
      <c r="G308" s="58">
        <v>35</v>
      </c>
      <c r="H308" s="56">
        <f t="shared" si="18"/>
        <v>45107</v>
      </c>
      <c r="I308" s="57">
        <v>44.09</v>
      </c>
      <c r="J308" s="57">
        <v>264.54000000000002</v>
      </c>
      <c r="K308" s="57">
        <v>3394.69</v>
      </c>
      <c r="L308" s="57">
        <v>15121.64</v>
      </c>
      <c r="M308" s="54" t="s">
        <v>245</v>
      </c>
      <c r="N308" s="54" t="s">
        <v>79</v>
      </c>
      <c r="O308" s="54" t="s">
        <v>193</v>
      </c>
      <c r="P308" s="54" t="s">
        <v>246</v>
      </c>
    </row>
    <row r="309" spans="1:16" ht="17.45" customHeight="1" x14ac:dyDescent="0.25">
      <c r="A309" s="54" t="s">
        <v>607</v>
      </c>
      <c r="B309" s="54" t="s">
        <v>608</v>
      </c>
      <c r="C309" s="56">
        <f>DATE(2017,1,1)</f>
        <v>42736</v>
      </c>
      <c r="D309" s="56">
        <f>DATE(2017,1,1)</f>
        <v>42736</v>
      </c>
      <c r="E309" s="57">
        <v>8428.5499999999993</v>
      </c>
      <c r="F309" s="54" t="s">
        <v>191</v>
      </c>
      <c r="G309" s="58">
        <v>30</v>
      </c>
      <c r="H309" s="56">
        <f t="shared" si="18"/>
        <v>45107</v>
      </c>
      <c r="I309" s="57">
        <v>23.41</v>
      </c>
      <c r="J309" s="57">
        <v>140.46</v>
      </c>
      <c r="K309" s="57">
        <v>1826.16</v>
      </c>
      <c r="L309" s="57">
        <v>6602.39</v>
      </c>
      <c r="M309" s="54" t="s">
        <v>249</v>
      </c>
      <c r="N309" s="54" t="s">
        <v>79</v>
      </c>
      <c r="O309" s="54" t="s">
        <v>193</v>
      </c>
      <c r="P309" s="54" t="s">
        <v>250</v>
      </c>
    </row>
    <row r="310" spans="1:16" ht="17.45" customHeight="1" x14ac:dyDescent="0.25">
      <c r="A310" s="54" t="s">
        <v>609</v>
      </c>
      <c r="B310" s="54" t="s">
        <v>435</v>
      </c>
      <c r="C310" s="56">
        <f>DATE(2017,1,31)</f>
        <v>42766</v>
      </c>
      <c r="D310" s="56">
        <f>DATE(2017,1,31)</f>
        <v>42766</v>
      </c>
      <c r="E310" s="57">
        <v>20039.22</v>
      </c>
      <c r="F310" s="54" t="s">
        <v>191</v>
      </c>
      <c r="G310" s="58">
        <v>30</v>
      </c>
      <c r="H310" s="56">
        <f t="shared" si="18"/>
        <v>45107</v>
      </c>
      <c r="I310" s="57">
        <v>55.66</v>
      </c>
      <c r="J310" s="57">
        <v>333.96</v>
      </c>
      <c r="K310" s="57">
        <v>4286.12</v>
      </c>
      <c r="L310" s="57">
        <v>15753.1</v>
      </c>
      <c r="M310" s="54" t="s">
        <v>249</v>
      </c>
      <c r="N310" s="54" t="s">
        <v>79</v>
      </c>
      <c r="O310" s="54" t="s">
        <v>193</v>
      </c>
      <c r="P310" s="54" t="s">
        <v>250</v>
      </c>
    </row>
    <row r="311" spans="1:16" ht="17.45" customHeight="1" x14ac:dyDescent="0.25">
      <c r="A311" s="54" t="s">
        <v>610</v>
      </c>
      <c r="B311" s="54" t="s">
        <v>357</v>
      </c>
      <c r="C311" s="56">
        <f>DATE(2017,2,28)</f>
        <v>42794</v>
      </c>
      <c r="D311" s="56">
        <f>DATE(2017,2,28)</f>
        <v>42794</v>
      </c>
      <c r="E311" s="57">
        <v>1522.36</v>
      </c>
      <c r="F311" s="54" t="s">
        <v>191</v>
      </c>
      <c r="G311" s="58">
        <v>30</v>
      </c>
      <c r="H311" s="56">
        <f t="shared" si="18"/>
        <v>45107</v>
      </c>
      <c r="I311" s="57">
        <v>4.2300000000000004</v>
      </c>
      <c r="J311" s="57">
        <v>25.38</v>
      </c>
      <c r="K311" s="57">
        <v>321.42</v>
      </c>
      <c r="L311" s="57">
        <v>1200.94</v>
      </c>
      <c r="M311" s="54" t="s">
        <v>249</v>
      </c>
      <c r="N311" s="54" t="s">
        <v>79</v>
      </c>
      <c r="O311" s="54" t="s">
        <v>193</v>
      </c>
      <c r="P311" s="54" t="s">
        <v>250</v>
      </c>
    </row>
    <row r="312" spans="1:16" ht="17.45" customHeight="1" x14ac:dyDescent="0.25">
      <c r="A312" s="54" t="s">
        <v>611</v>
      </c>
      <c r="B312" s="54" t="s">
        <v>244</v>
      </c>
      <c r="C312" s="56">
        <f>DATE(2017,2,28)</f>
        <v>42794</v>
      </c>
      <c r="D312" s="56">
        <f>DATE(2017,2,28)</f>
        <v>42794</v>
      </c>
      <c r="E312" s="57">
        <v>6770.91</v>
      </c>
      <c r="F312" s="54" t="s">
        <v>191</v>
      </c>
      <c r="G312" s="58">
        <v>35</v>
      </c>
      <c r="H312" s="56">
        <f t="shared" si="18"/>
        <v>45107</v>
      </c>
      <c r="I312" s="57">
        <v>16.12</v>
      </c>
      <c r="J312" s="57">
        <v>96.72</v>
      </c>
      <c r="K312" s="57">
        <v>1225.18</v>
      </c>
      <c r="L312" s="57">
        <v>5545.73</v>
      </c>
      <c r="M312" s="54" t="s">
        <v>245</v>
      </c>
      <c r="N312" s="54" t="s">
        <v>79</v>
      </c>
      <c r="O312" s="54" t="s">
        <v>193</v>
      </c>
      <c r="P312" s="54" t="s">
        <v>246</v>
      </c>
    </row>
    <row r="313" spans="1:16" ht="17.45" customHeight="1" x14ac:dyDescent="0.25">
      <c r="A313" s="54" t="s">
        <v>612</v>
      </c>
      <c r="B313" s="54" t="s">
        <v>357</v>
      </c>
      <c r="C313" s="56">
        <f>DATE(2017,3,31)</f>
        <v>42825</v>
      </c>
      <c r="D313" s="56">
        <f>DATE(2017,3,31)</f>
        <v>42825</v>
      </c>
      <c r="E313" s="57">
        <v>4071.97</v>
      </c>
      <c r="F313" s="54" t="s">
        <v>191</v>
      </c>
      <c r="G313" s="58">
        <v>30</v>
      </c>
      <c r="H313" s="56">
        <f t="shared" si="18"/>
        <v>45107</v>
      </c>
      <c r="I313" s="57">
        <v>11.31</v>
      </c>
      <c r="J313" s="57">
        <v>67.86</v>
      </c>
      <c r="K313" s="57">
        <v>848.31</v>
      </c>
      <c r="L313" s="57">
        <v>3223.66</v>
      </c>
      <c r="M313" s="54" t="s">
        <v>249</v>
      </c>
      <c r="N313" s="54" t="s">
        <v>79</v>
      </c>
      <c r="O313" s="54" t="s">
        <v>193</v>
      </c>
      <c r="P313" s="54" t="s">
        <v>250</v>
      </c>
    </row>
    <row r="314" spans="1:16" ht="17.45" customHeight="1" x14ac:dyDescent="0.25">
      <c r="A314" s="54" t="s">
        <v>613</v>
      </c>
      <c r="B314" s="54" t="s">
        <v>357</v>
      </c>
      <c r="C314" s="56">
        <f>DATE(2017,4,30)</f>
        <v>42855</v>
      </c>
      <c r="D314" s="56">
        <f>DATE(2017,4,30)</f>
        <v>42855</v>
      </c>
      <c r="E314" s="57">
        <v>489.85</v>
      </c>
      <c r="F314" s="54" t="s">
        <v>191</v>
      </c>
      <c r="G314" s="58">
        <v>30</v>
      </c>
      <c r="H314" s="56">
        <f t="shared" ref="H314:H377" si="21">DATE(2023,6,30)</f>
        <v>45107</v>
      </c>
      <c r="I314" s="57">
        <v>1.36</v>
      </c>
      <c r="J314" s="57">
        <v>8.16</v>
      </c>
      <c r="K314" s="57">
        <v>100.7</v>
      </c>
      <c r="L314" s="57">
        <v>389.15</v>
      </c>
      <c r="M314" s="54" t="s">
        <v>249</v>
      </c>
      <c r="N314" s="54" t="s">
        <v>79</v>
      </c>
      <c r="O314" s="54" t="s">
        <v>193</v>
      </c>
      <c r="P314" s="54" t="s">
        <v>250</v>
      </c>
    </row>
    <row r="315" spans="1:16" ht="17.45" customHeight="1" x14ac:dyDescent="0.25">
      <c r="A315" s="54" t="s">
        <v>614</v>
      </c>
      <c r="B315" s="54" t="s">
        <v>244</v>
      </c>
      <c r="C315" s="56">
        <f>DATE(2017,4,30)</f>
        <v>42855</v>
      </c>
      <c r="D315" s="56">
        <f>DATE(2017,4,30)</f>
        <v>42855</v>
      </c>
      <c r="E315" s="57">
        <v>3847.8</v>
      </c>
      <c r="F315" s="54" t="s">
        <v>191</v>
      </c>
      <c r="G315" s="58">
        <v>35</v>
      </c>
      <c r="H315" s="56">
        <f t="shared" si="21"/>
        <v>45107</v>
      </c>
      <c r="I315" s="57">
        <v>9.16</v>
      </c>
      <c r="J315" s="57">
        <v>54.96</v>
      </c>
      <c r="K315" s="57">
        <v>677.91</v>
      </c>
      <c r="L315" s="57">
        <v>3169.89</v>
      </c>
      <c r="M315" s="54" t="s">
        <v>245</v>
      </c>
      <c r="N315" s="54" t="s">
        <v>79</v>
      </c>
      <c r="O315" s="54" t="s">
        <v>193</v>
      </c>
      <c r="P315" s="54" t="s">
        <v>246</v>
      </c>
    </row>
    <row r="316" spans="1:16" ht="17.45" customHeight="1" x14ac:dyDescent="0.25">
      <c r="A316" s="54" t="s">
        <v>615</v>
      </c>
      <c r="B316" s="54" t="s">
        <v>357</v>
      </c>
      <c r="C316" s="56">
        <f>DATE(2017,5,31)</f>
        <v>42886</v>
      </c>
      <c r="D316" s="56">
        <f>DATE(2017,5,31)</f>
        <v>42886</v>
      </c>
      <c r="E316" s="57">
        <v>6556.46</v>
      </c>
      <c r="F316" s="54" t="s">
        <v>191</v>
      </c>
      <c r="G316" s="58">
        <v>30</v>
      </c>
      <c r="H316" s="56">
        <f t="shared" si="21"/>
        <v>45107</v>
      </c>
      <c r="I316" s="57">
        <v>18.21</v>
      </c>
      <c r="J316" s="57">
        <v>109.26</v>
      </c>
      <c r="K316" s="57">
        <v>1329.5</v>
      </c>
      <c r="L316" s="57">
        <v>5226.96</v>
      </c>
      <c r="M316" s="54" t="s">
        <v>249</v>
      </c>
      <c r="N316" s="54" t="s">
        <v>79</v>
      </c>
      <c r="O316" s="54" t="s">
        <v>193</v>
      </c>
      <c r="P316" s="54" t="s">
        <v>250</v>
      </c>
    </row>
    <row r="317" spans="1:16" ht="17.45" customHeight="1" x14ac:dyDescent="0.25">
      <c r="A317" s="54" t="s">
        <v>616</v>
      </c>
      <c r="B317" s="54" t="s">
        <v>244</v>
      </c>
      <c r="C317" s="56">
        <f>DATE(2017,5,31)</f>
        <v>42886</v>
      </c>
      <c r="D317" s="56">
        <f>DATE(2017,5,31)</f>
        <v>42886</v>
      </c>
      <c r="E317" s="57">
        <v>8606.9599999999991</v>
      </c>
      <c r="F317" s="54" t="s">
        <v>191</v>
      </c>
      <c r="G317" s="58">
        <v>35</v>
      </c>
      <c r="H317" s="56">
        <f t="shared" si="21"/>
        <v>45107</v>
      </c>
      <c r="I317" s="57">
        <v>20.49</v>
      </c>
      <c r="J317" s="57">
        <v>122.94</v>
      </c>
      <c r="K317" s="57">
        <v>1495.94</v>
      </c>
      <c r="L317" s="57">
        <v>7111.02</v>
      </c>
      <c r="M317" s="54" t="s">
        <v>245</v>
      </c>
      <c r="N317" s="54" t="s">
        <v>79</v>
      </c>
      <c r="O317" s="54" t="s">
        <v>193</v>
      </c>
      <c r="P317" s="54" t="s">
        <v>246</v>
      </c>
    </row>
    <row r="318" spans="1:16" ht="17.45" customHeight="1" x14ac:dyDescent="0.25">
      <c r="A318" s="54" t="s">
        <v>617</v>
      </c>
      <c r="B318" s="54" t="s">
        <v>357</v>
      </c>
      <c r="C318" s="56">
        <f t="shared" ref="C318:D320" si="22">DATE(2017,6,30)</f>
        <v>42916</v>
      </c>
      <c r="D318" s="56">
        <f t="shared" si="22"/>
        <v>42916</v>
      </c>
      <c r="E318" s="57">
        <v>3990.82</v>
      </c>
      <c r="F318" s="54" t="s">
        <v>191</v>
      </c>
      <c r="G318" s="58">
        <v>30</v>
      </c>
      <c r="H318" s="56">
        <f t="shared" si="21"/>
        <v>45107</v>
      </c>
      <c r="I318" s="57">
        <v>11.09</v>
      </c>
      <c r="J318" s="57">
        <v>66.540000000000006</v>
      </c>
      <c r="K318" s="57">
        <v>798.2</v>
      </c>
      <c r="L318" s="57">
        <v>3192.62</v>
      </c>
      <c r="M318" s="54" t="s">
        <v>249</v>
      </c>
      <c r="N318" s="54" t="s">
        <v>79</v>
      </c>
      <c r="O318" s="54" t="s">
        <v>193</v>
      </c>
      <c r="P318" s="54" t="s">
        <v>250</v>
      </c>
    </row>
    <row r="319" spans="1:16" ht="17.45" customHeight="1" x14ac:dyDescent="0.25">
      <c r="A319" s="54" t="s">
        <v>618</v>
      </c>
      <c r="B319" s="54" t="s">
        <v>619</v>
      </c>
      <c r="C319" s="56">
        <f t="shared" si="22"/>
        <v>42916</v>
      </c>
      <c r="D319" s="56">
        <f t="shared" si="22"/>
        <v>42916</v>
      </c>
      <c r="E319" s="57">
        <v>19103.71</v>
      </c>
      <c r="F319" s="54" t="s">
        <v>191</v>
      </c>
      <c r="G319" s="58">
        <v>35</v>
      </c>
      <c r="H319" s="56">
        <f t="shared" si="21"/>
        <v>45107</v>
      </c>
      <c r="I319" s="57">
        <v>45.49</v>
      </c>
      <c r="J319" s="57">
        <v>272.94</v>
      </c>
      <c r="K319" s="57">
        <v>3274.95</v>
      </c>
      <c r="L319" s="57">
        <v>15828.76</v>
      </c>
      <c r="M319" s="54" t="s">
        <v>245</v>
      </c>
      <c r="N319" s="54" t="s">
        <v>79</v>
      </c>
      <c r="O319" s="54" t="s">
        <v>193</v>
      </c>
      <c r="P319" s="54" t="s">
        <v>246</v>
      </c>
    </row>
    <row r="320" spans="1:16" ht="17.45" customHeight="1" x14ac:dyDescent="0.25">
      <c r="A320" s="54" t="s">
        <v>620</v>
      </c>
      <c r="B320" s="54" t="s">
        <v>572</v>
      </c>
      <c r="C320" s="56">
        <f t="shared" si="22"/>
        <v>42916</v>
      </c>
      <c r="D320" s="56">
        <f t="shared" si="22"/>
        <v>42916</v>
      </c>
      <c r="E320" s="57">
        <v>5475.28</v>
      </c>
      <c r="F320" s="54" t="s">
        <v>191</v>
      </c>
      <c r="G320" s="58">
        <v>35</v>
      </c>
      <c r="H320" s="56">
        <f t="shared" si="21"/>
        <v>45107</v>
      </c>
      <c r="I320" s="57">
        <v>13.04</v>
      </c>
      <c r="J320" s="57">
        <v>78.22</v>
      </c>
      <c r="K320" s="57">
        <v>938.63</v>
      </c>
      <c r="L320" s="57">
        <v>4536.6499999999996</v>
      </c>
      <c r="M320" s="54" t="s">
        <v>245</v>
      </c>
      <c r="N320" s="54" t="s">
        <v>79</v>
      </c>
      <c r="O320" s="54" t="s">
        <v>193</v>
      </c>
      <c r="P320" s="54" t="s">
        <v>246</v>
      </c>
    </row>
    <row r="321" spans="1:16" ht="17.45" customHeight="1" x14ac:dyDescent="0.25">
      <c r="A321" s="54" t="s">
        <v>621</v>
      </c>
      <c r="B321" s="54" t="s">
        <v>357</v>
      </c>
      <c r="C321" s="56">
        <f>DATE(2017,7,31)</f>
        <v>42947</v>
      </c>
      <c r="D321" s="56">
        <f>DATE(2017,7,31)</f>
        <v>42947</v>
      </c>
      <c r="E321" s="57">
        <v>8413.0499999999993</v>
      </c>
      <c r="F321" s="54" t="s">
        <v>191</v>
      </c>
      <c r="G321" s="58">
        <v>30</v>
      </c>
      <c r="H321" s="56">
        <f t="shared" si="21"/>
        <v>45107</v>
      </c>
      <c r="I321" s="57">
        <v>23.37</v>
      </c>
      <c r="J321" s="57">
        <v>140.22</v>
      </c>
      <c r="K321" s="57">
        <v>1659.27</v>
      </c>
      <c r="L321" s="57">
        <v>6753.78</v>
      </c>
      <c r="M321" s="54" t="s">
        <v>249</v>
      </c>
      <c r="N321" s="54" t="s">
        <v>79</v>
      </c>
      <c r="O321" s="54" t="s">
        <v>193</v>
      </c>
      <c r="P321" s="54" t="s">
        <v>250</v>
      </c>
    </row>
    <row r="322" spans="1:16" ht="17.45" customHeight="1" x14ac:dyDescent="0.25">
      <c r="A322" s="54" t="s">
        <v>622</v>
      </c>
      <c r="B322" s="54" t="s">
        <v>244</v>
      </c>
      <c r="C322" s="56">
        <f>DATE(2017,7,31)</f>
        <v>42947</v>
      </c>
      <c r="D322" s="56">
        <f>DATE(2017,7,31)</f>
        <v>42947</v>
      </c>
      <c r="E322" s="57">
        <v>17521.990000000002</v>
      </c>
      <c r="F322" s="54" t="s">
        <v>191</v>
      </c>
      <c r="G322" s="58">
        <v>35</v>
      </c>
      <c r="H322" s="56">
        <f t="shared" si="21"/>
        <v>45107</v>
      </c>
      <c r="I322" s="57">
        <v>41.72</v>
      </c>
      <c r="J322" s="57">
        <v>250.32</v>
      </c>
      <c r="K322" s="57">
        <v>2962.04</v>
      </c>
      <c r="L322" s="57">
        <v>14559.95</v>
      </c>
      <c r="M322" s="54" t="s">
        <v>245</v>
      </c>
      <c r="N322" s="54" t="s">
        <v>79</v>
      </c>
      <c r="O322" s="54" t="s">
        <v>193</v>
      </c>
      <c r="P322" s="54" t="s">
        <v>246</v>
      </c>
    </row>
    <row r="323" spans="1:16" ht="17.45" customHeight="1" x14ac:dyDescent="0.25">
      <c r="A323" s="54" t="s">
        <v>623</v>
      </c>
      <c r="B323" s="54" t="s">
        <v>357</v>
      </c>
      <c r="C323" s="56">
        <f>DATE(2017,8,31)</f>
        <v>42978</v>
      </c>
      <c r="D323" s="56">
        <f>DATE(2017,8,31)</f>
        <v>42978</v>
      </c>
      <c r="E323" s="57">
        <v>6953.65</v>
      </c>
      <c r="F323" s="54" t="s">
        <v>191</v>
      </c>
      <c r="G323" s="58">
        <v>30</v>
      </c>
      <c r="H323" s="56">
        <f t="shared" si="21"/>
        <v>45107</v>
      </c>
      <c r="I323" s="57">
        <v>19.32</v>
      </c>
      <c r="J323" s="57">
        <v>115.92</v>
      </c>
      <c r="K323" s="57">
        <v>1352.13</v>
      </c>
      <c r="L323" s="57">
        <v>5601.52</v>
      </c>
      <c r="M323" s="54" t="s">
        <v>249</v>
      </c>
      <c r="N323" s="54" t="s">
        <v>79</v>
      </c>
      <c r="O323" s="54" t="s">
        <v>193</v>
      </c>
      <c r="P323" s="54" t="s">
        <v>250</v>
      </c>
    </row>
    <row r="324" spans="1:16" ht="17.45" customHeight="1" x14ac:dyDescent="0.25">
      <c r="A324" s="54" t="s">
        <v>624</v>
      </c>
      <c r="B324" s="54" t="s">
        <v>244</v>
      </c>
      <c r="C324" s="56">
        <f>DATE(2017,8,31)</f>
        <v>42978</v>
      </c>
      <c r="D324" s="56">
        <f>DATE(2017,8,31)</f>
        <v>42978</v>
      </c>
      <c r="E324" s="57">
        <v>35230.69</v>
      </c>
      <c r="F324" s="54" t="s">
        <v>191</v>
      </c>
      <c r="G324" s="58">
        <v>35</v>
      </c>
      <c r="H324" s="56">
        <f t="shared" si="21"/>
        <v>45107</v>
      </c>
      <c r="I324" s="57">
        <v>83.88</v>
      </c>
      <c r="J324" s="57">
        <v>503.28</v>
      </c>
      <c r="K324" s="57">
        <v>5871.75</v>
      </c>
      <c r="L324" s="57">
        <v>29358.94</v>
      </c>
      <c r="M324" s="54" t="s">
        <v>245</v>
      </c>
      <c r="N324" s="54" t="s">
        <v>79</v>
      </c>
      <c r="O324" s="54" t="s">
        <v>193</v>
      </c>
      <c r="P324" s="54" t="s">
        <v>246</v>
      </c>
    </row>
    <row r="325" spans="1:16" ht="17.45" customHeight="1" x14ac:dyDescent="0.25">
      <c r="A325" s="54" t="s">
        <v>625</v>
      </c>
      <c r="B325" s="54" t="s">
        <v>405</v>
      </c>
      <c r="C325" s="56">
        <f>DATE(2017,9,30)</f>
        <v>43008</v>
      </c>
      <c r="D325" s="56">
        <f>DATE(2017,9,30)</f>
        <v>43008</v>
      </c>
      <c r="E325" s="57">
        <v>14700.81</v>
      </c>
      <c r="F325" s="54" t="s">
        <v>191</v>
      </c>
      <c r="G325" s="58">
        <v>30</v>
      </c>
      <c r="H325" s="56">
        <f t="shared" si="21"/>
        <v>45107</v>
      </c>
      <c r="I325" s="57">
        <v>40.840000000000003</v>
      </c>
      <c r="J325" s="57">
        <v>245.04</v>
      </c>
      <c r="K325" s="57">
        <v>2817.7</v>
      </c>
      <c r="L325" s="57">
        <v>11883.11</v>
      </c>
      <c r="M325" s="54" t="s">
        <v>249</v>
      </c>
      <c r="N325" s="54" t="s">
        <v>79</v>
      </c>
      <c r="O325" s="54" t="s">
        <v>193</v>
      </c>
      <c r="P325" s="54" t="s">
        <v>250</v>
      </c>
    </row>
    <row r="326" spans="1:16" ht="17.45" customHeight="1" x14ac:dyDescent="0.25">
      <c r="A326" s="54" t="s">
        <v>626</v>
      </c>
      <c r="B326" s="54" t="s">
        <v>244</v>
      </c>
      <c r="C326" s="56">
        <f>DATE(2017,9,30)</f>
        <v>43008</v>
      </c>
      <c r="D326" s="56">
        <f>DATE(2017,9,30)</f>
        <v>43008</v>
      </c>
      <c r="E326" s="57">
        <v>55534.35</v>
      </c>
      <c r="F326" s="54" t="s">
        <v>191</v>
      </c>
      <c r="G326" s="58">
        <v>35</v>
      </c>
      <c r="H326" s="56">
        <f t="shared" si="21"/>
        <v>45107</v>
      </c>
      <c r="I326" s="57">
        <v>132.22</v>
      </c>
      <c r="J326" s="57">
        <v>793.32</v>
      </c>
      <c r="K326" s="57">
        <v>9123.48</v>
      </c>
      <c r="L326" s="57">
        <v>46410.87</v>
      </c>
      <c r="M326" s="54" t="s">
        <v>245</v>
      </c>
      <c r="N326" s="54" t="s">
        <v>79</v>
      </c>
      <c r="O326" s="54" t="s">
        <v>193</v>
      </c>
      <c r="P326" s="54" t="s">
        <v>246</v>
      </c>
    </row>
    <row r="327" spans="1:16" ht="17.45" customHeight="1" x14ac:dyDescent="0.25">
      <c r="A327" s="54" t="s">
        <v>627</v>
      </c>
      <c r="B327" s="54" t="s">
        <v>357</v>
      </c>
      <c r="C327" s="56">
        <f>DATE(2017,10,31)</f>
        <v>43039</v>
      </c>
      <c r="D327" s="56">
        <f>DATE(2017,10,31)</f>
        <v>43039</v>
      </c>
      <c r="E327" s="57">
        <v>8191.44</v>
      </c>
      <c r="F327" s="54" t="s">
        <v>191</v>
      </c>
      <c r="G327" s="58">
        <v>30</v>
      </c>
      <c r="H327" s="56">
        <f t="shared" si="21"/>
        <v>45107</v>
      </c>
      <c r="I327" s="57">
        <v>22.75</v>
      </c>
      <c r="J327" s="57">
        <v>136.5</v>
      </c>
      <c r="K327" s="57">
        <v>1547.26</v>
      </c>
      <c r="L327" s="57">
        <v>6644.18</v>
      </c>
      <c r="M327" s="54" t="s">
        <v>249</v>
      </c>
      <c r="N327" s="54" t="s">
        <v>79</v>
      </c>
      <c r="O327" s="54" t="s">
        <v>193</v>
      </c>
      <c r="P327" s="54" t="s">
        <v>250</v>
      </c>
    </row>
    <row r="328" spans="1:16" ht="17.45" customHeight="1" x14ac:dyDescent="0.25">
      <c r="A328" s="54" t="s">
        <v>628</v>
      </c>
      <c r="B328" s="54" t="s">
        <v>244</v>
      </c>
      <c r="C328" s="56">
        <f>DATE(2017,10,31)</f>
        <v>43039</v>
      </c>
      <c r="D328" s="56">
        <f>DATE(2017,10,31)</f>
        <v>43039</v>
      </c>
      <c r="E328" s="57">
        <v>29177.47</v>
      </c>
      <c r="F328" s="54" t="s">
        <v>191</v>
      </c>
      <c r="G328" s="58">
        <v>35</v>
      </c>
      <c r="H328" s="56">
        <f t="shared" si="21"/>
        <v>45107</v>
      </c>
      <c r="I328" s="57">
        <v>69.47</v>
      </c>
      <c r="J328" s="57">
        <v>416.84</v>
      </c>
      <c r="K328" s="57">
        <v>4724</v>
      </c>
      <c r="L328" s="57">
        <v>24453.47</v>
      </c>
      <c r="M328" s="54" t="s">
        <v>245</v>
      </c>
      <c r="N328" s="54" t="s">
        <v>79</v>
      </c>
      <c r="O328" s="54" t="s">
        <v>193</v>
      </c>
      <c r="P328" s="54" t="s">
        <v>246</v>
      </c>
    </row>
    <row r="329" spans="1:16" ht="17.45" customHeight="1" x14ac:dyDescent="0.25">
      <c r="A329" s="54" t="s">
        <v>629</v>
      </c>
      <c r="B329" s="54" t="s">
        <v>630</v>
      </c>
      <c r="C329" s="56">
        <f>DATE(2017,11,30)</f>
        <v>43069</v>
      </c>
      <c r="D329" s="56">
        <f>DATE(2017,11,30)</f>
        <v>43069</v>
      </c>
      <c r="E329" s="57">
        <v>12714.5</v>
      </c>
      <c r="F329" s="54" t="s">
        <v>191</v>
      </c>
      <c r="G329" s="58">
        <v>30</v>
      </c>
      <c r="H329" s="56">
        <f t="shared" si="21"/>
        <v>45107</v>
      </c>
      <c r="I329" s="57">
        <v>35.32</v>
      </c>
      <c r="J329" s="57">
        <v>211.92</v>
      </c>
      <c r="K329" s="57">
        <v>2366.34</v>
      </c>
      <c r="L329" s="57">
        <v>10348.16</v>
      </c>
      <c r="M329" s="54" t="s">
        <v>249</v>
      </c>
      <c r="N329" s="54" t="s">
        <v>79</v>
      </c>
      <c r="O329" s="54" t="s">
        <v>193</v>
      </c>
      <c r="P329" s="54" t="s">
        <v>250</v>
      </c>
    </row>
    <row r="330" spans="1:16" ht="17.45" customHeight="1" x14ac:dyDescent="0.25">
      <c r="A330" s="54" t="s">
        <v>631</v>
      </c>
      <c r="B330" s="54" t="s">
        <v>357</v>
      </c>
      <c r="C330" s="56">
        <f>DATE(2017,11,30)</f>
        <v>43069</v>
      </c>
      <c r="D330" s="56">
        <f>DATE(2017,11,30)</f>
        <v>43069</v>
      </c>
      <c r="E330" s="57">
        <v>2638.7</v>
      </c>
      <c r="F330" s="54" t="s">
        <v>191</v>
      </c>
      <c r="G330" s="58">
        <v>30</v>
      </c>
      <c r="H330" s="56">
        <f t="shared" si="21"/>
        <v>45107</v>
      </c>
      <c r="I330" s="57">
        <v>7.33</v>
      </c>
      <c r="J330" s="57">
        <v>43.98</v>
      </c>
      <c r="K330" s="57">
        <v>491.11</v>
      </c>
      <c r="L330" s="57">
        <v>2147.59</v>
      </c>
      <c r="M330" s="54" t="s">
        <v>249</v>
      </c>
      <c r="N330" s="54" t="s">
        <v>79</v>
      </c>
      <c r="O330" s="54" t="s">
        <v>193</v>
      </c>
      <c r="P330" s="54" t="s">
        <v>250</v>
      </c>
    </row>
    <row r="331" spans="1:16" ht="17.45" customHeight="1" x14ac:dyDescent="0.25">
      <c r="A331" s="54" t="s">
        <v>632</v>
      </c>
      <c r="B331" s="54" t="s">
        <v>357</v>
      </c>
      <c r="C331" s="56">
        <f>DATE(2017,12,31)</f>
        <v>43100</v>
      </c>
      <c r="D331" s="56">
        <f>DATE(2017,12,31)</f>
        <v>43100</v>
      </c>
      <c r="E331" s="57">
        <v>2482.4899999999998</v>
      </c>
      <c r="F331" s="54" t="s">
        <v>191</v>
      </c>
      <c r="G331" s="58">
        <v>30</v>
      </c>
      <c r="H331" s="56">
        <f t="shared" si="21"/>
        <v>45107</v>
      </c>
      <c r="I331" s="57">
        <v>6.9</v>
      </c>
      <c r="J331" s="57">
        <v>41.4</v>
      </c>
      <c r="K331" s="57">
        <v>455.15</v>
      </c>
      <c r="L331" s="57">
        <v>2027.34</v>
      </c>
      <c r="M331" s="54" t="s">
        <v>249</v>
      </c>
      <c r="N331" s="54" t="s">
        <v>79</v>
      </c>
      <c r="O331" s="54" t="s">
        <v>193</v>
      </c>
      <c r="P331" s="54" t="s">
        <v>250</v>
      </c>
    </row>
    <row r="332" spans="1:16" ht="17.45" customHeight="1" x14ac:dyDescent="0.25">
      <c r="A332" s="54" t="s">
        <v>633</v>
      </c>
      <c r="B332" s="54" t="s">
        <v>244</v>
      </c>
      <c r="C332" s="56">
        <f>DATE(2017,12,31)</f>
        <v>43100</v>
      </c>
      <c r="D332" s="56">
        <f>DATE(2017,12,31)</f>
        <v>43100</v>
      </c>
      <c r="E332" s="57">
        <v>21839.87</v>
      </c>
      <c r="F332" s="54" t="s">
        <v>191</v>
      </c>
      <c r="G332" s="58">
        <v>35</v>
      </c>
      <c r="H332" s="56">
        <f t="shared" si="21"/>
        <v>45107</v>
      </c>
      <c r="I332" s="57">
        <v>52</v>
      </c>
      <c r="J332" s="57">
        <v>312</v>
      </c>
      <c r="K332" s="57">
        <v>3431.99</v>
      </c>
      <c r="L332" s="57">
        <v>18407.88</v>
      </c>
      <c r="M332" s="54" t="s">
        <v>245</v>
      </c>
      <c r="N332" s="54" t="s">
        <v>79</v>
      </c>
      <c r="O332" s="54" t="s">
        <v>193</v>
      </c>
      <c r="P332" s="54" t="s">
        <v>246</v>
      </c>
    </row>
    <row r="333" spans="1:16" ht="17.45" customHeight="1" x14ac:dyDescent="0.25">
      <c r="A333" s="54" t="s">
        <v>634</v>
      </c>
      <c r="B333" s="54" t="s">
        <v>357</v>
      </c>
      <c r="C333" s="56">
        <f>DATE(2018,1,31)</f>
        <v>43131</v>
      </c>
      <c r="D333" s="56">
        <f>DATE(2018,1,31)</f>
        <v>43131</v>
      </c>
      <c r="E333" s="57">
        <v>3957.56</v>
      </c>
      <c r="F333" s="54" t="s">
        <v>191</v>
      </c>
      <c r="G333" s="58">
        <v>30</v>
      </c>
      <c r="H333" s="56">
        <f t="shared" si="21"/>
        <v>45107</v>
      </c>
      <c r="I333" s="57">
        <v>10.99</v>
      </c>
      <c r="J333" s="57">
        <v>65.94</v>
      </c>
      <c r="K333" s="57">
        <v>714.55</v>
      </c>
      <c r="L333" s="57">
        <v>3243.01</v>
      </c>
      <c r="M333" s="54" t="s">
        <v>249</v>
      </c>
      <c r="N333" s="54" t="s">
        <v>79</v>
      </c>
      <c r="O333" s="54" t="s">
        <v>193</v>
      </c>
      <c r="P333" s="54" t="s">
        <v>250</v>
      </c>
    </row>
    <row r="334" spans="1:16" ht="17.45" customHeight="1" x14ac:dyDescent="0.25">
      <c r="A334" s="54" t="s">
        <v>635</v>
      </c>
      <c r="B334" s="54" t="s">
        <v>244</v>
      </c>
      <c r="C334" s="56">
        <f>DATE(2018,1,31)</f>
        <v>43131</v>
      </c>
      <c r="D334" s="56">
        <f>DATE(2018,1,31)</f>
        <v>43131</v>
      </c>
      <c r="E334" s="57">
        <v>4463.66</v>
      </c>
      <c r="F334" s="54" t="s">
        <v>191</v>
      </c>
      <c r="G334" s="58">
        <v>35</v>
      </c>
      <c r="H334" s="56">
        <f t="shared" si="21"/>
        <v>45107</v>
      </c>
      <c r="I334" s="57">
        <v>10.63</v>
      </c>
      <c r="J334" s="57">
        <v>63.78</v>
      </c>
      <c r="K334" s="57">
        <v>690.81</v>
      </c>
      <c r="L334" s="57">
        <v>3772.85</v>
      </c>
      <c r="M334" s="54" t="s">
        <v>245</v>
      </c>
      <c r="N334" s="54" t="s">
        <v>79</v>
      </c>
      <c r="O334" s="54" t="s">
        <v>193</v>
      </c>
      <c r="P334" s="54" t="s">
        <v>246</v>
      </c>
    </row>
    <row r="335" spans="1:16" ht="17.45" customHeight="1" x14ac:dyDescent="0.25">
      <c r="A335" s="54" t="s">
        <v>636</v>
      </c>
      <c r="B335" s="54" t="s">
        <v>357</v>
      </c>
      <c r="C335" s="56">
        <f>DATE(2018,2,28)</f>
        <v>43159</v>
      </c>
      <c r="D335" s="56">
        <f>DATE(2018,2,28)</f>
        <v>43159</v>
      </c>
      <c r="E335" s="57">
        <v>1556.73</v>
      </c>
      <c r="F335" s="54" t="s">
        <v>191</v>
      </c>
      <c r="G335" s="58">
        <v>30</v>
      </c>
      <c r="H335" s="56">
        <f t="shared" si="21"/>
        <v>45107</v>
      </c>
      <c r="I335" s="57">
        <v>4.32</v>
      </c>
      <c r="J335" s="57">
        <v>25.92</v>
      </c>
      <c r="K335" s="57">
        <v>276.72000000000003</v>
      </c>
      <c r="L335" s="57">
        <v>1280.01</v>
      </c>
      <c r="M335" s="54" t="s">
        <v>249</v>
      </c>
      <c r="N335" s="54" t="s">
        <v>79</v>
      </c>
      <c r="O335" s="54" t="s">
        <v>193</v>
      </c>
      <c r="P335" s="54" t="s">
        <v>250</v>
      </c>
    </row>
    <row r="336" spans="1:16" ht="17.45" customHeight="1" x14ac:dyDescent="0.25">
      <c r="A336" s="54" t="s">
        <v>637</v>
      </c>
      <c r="B336" s="54" t="s">
        <v>244</v>
      </c>
      <c r="C336" s="56">
        <f>DATE(2018,2,28)</f>
        <v>43159</v>
      </c>
      <c r="D336" s="56">
        <f>DATE(2018,2,28)</f>
        <v>43159</v>
      </c>
      <c r="E336" s="57">
        <v>26453.49</v>
      </c>
      <c r="F336" s="54" t="s">
        <v>191</v>
      </c>
      <c r="G336" s="58">
        <v>35</v>
      </c>
      <c r="H336" s="56">
        <f t="shared" si="21"/>
        <v>45107</v>
      </c>
      <c r="I336" s="57">
        <v>62.98</v>
      </c>
      <c r="J336" s="57">
        <v>377.88</v>
      </c>
      <c r="K336" s="57">
        <v>4030.96</v>
      </c>
      <c r="L336" s="57">
        <v>22422.53</v>
      </c>
      <c r="M336" s="54" t="s">
        <v>245</v>
      </c>
      <c r="N336" s="54" t="s">
        <v>79</v>
      </c>
      <c r="O336" s="54" t="s">
        <v>193</v>
      </c>
      <c r="P336" s="54" t="s">
        <v>246</v>
      </c>
    </row>
    <row r="337" spans="1:16" ht="17.45" customHeight="1" x14ac:dyDescent="0.25">
      <c r="A337" s="54" t="s">
        <v>638</v>
      </c>
      <c r="B337" s="54" t="s">
        <v>244</v>
      </c>
      <c r="C337" s="56">
        <f>DATE(2018,3,31)</f>
        <v>43190</v>
      </c>
      <c r="D337" s="56">
        <f>DATE(2018,3,31)</f>
        <v>43190</v>
      </c>
      <c r="E337" s="57">
        <v>18157.689999999999</v>
      </c>
      <c r="F337" s="54" t="s">
        <v>191</v>
      </c>
      <c r="G337" s="58">
        <v>35</v>
      </c>
      <c r="H337" s="56">
        <f t="shared" si="21"/>
        <v>45107</v>
      </c>
      <c r="I337" s="57">
        <v>43.23</v>
      </c>
      <c r="J337" s="57">
        <v>259.38</v>
      </c>
      <c r="K337" s="57">
        <v>2723.64</v>
      </c>
      <c r="L337" s="57">
        <v>15434.05</v>
      </c>
      <c r="M337" s="54" t="s">
        <v>245</v>
      </c>
      <c r="N337" s="54" t="s">
        <v>79</v>
      </c>
      <c r="O337" s="54" t="s">
        <v>193</v>
      </c>
      <c r="P337" s="54" t="s">
        <v>246</v>
      </c>
    </row>
    <row r="338" spans="1:16" ht="17.45" customHeight="1" x14ac:dyDescent="0.25">
      <c r="A338" s="54" t="s">
        <v>639</v>
      </c>
      <c r="B338" s="54" t="s">
        <v>357</v>
      </c>
      <c r="C338" s="56">
        <f>DATE(2018,3,31)</f>
        <v>43190</v>
      </c>
      <c r="D338" s="56">
        <f>DATE(2018,3,31)</f>
        <v>43190</v>
      </c>
      <c r="E338" s="57">
        <v>2968.17</v>
      </c>
      <c r="F338" s="54" t="s">
        <v>191</v>
      </c>
      <c r="G338" s="58">
        <v>30</v>
      </c>
      <c r="H338" s="56">
        <f t="shared" si="21"/>
        <v>45107</v>
      </c>
      <c r="I338" s="57">
        <v>8.24</v>
      </c>
      <c r="J338" s="57">
        <v>49.44</v>
      </c>
      <c r="K338" s="57">
        <v>519.4</v>
      </c>
      <c r="L338" s="57">
        <v>2448.77</v>
      </c>
      <c r="M338" s="54" t="s">
        <v>249</v>
      </c>
      <c r="N338" s="54" t="s">
        <v>79</v>
      </c>
      <c r="O338" s="54" t="s">
        <v>193</v>
      </c>
      <c r="P338" s="54" t="s">
        <v>250</v>
      </c>
    </row>
    <row r="339" spans="1:16" ht="17.45" customHeight="1" x14ac:dyDescent="0.25">
      <c r="A339" s="54" t="s">
        <v>640</v>
      </c>
      <c r="B339" s="54" t="s">
        <v>357</v>
      </c>
      <c r="C339" s="56">
        <f>DATE(2018,7,31)</f>
        <v>43312</v>
      </c>
      <c r="D339" s="56">
        <f>DATE(2018,7,31)</f>
        <v>43312</v>
      </c>
      <c r="E339" s="57">
        <v>6442.52</v>
      </c>
      <c r="F339" s="54" t="s">
        <v>191</v>
      </c>
      <c r="G339" s="58">
        <v>30</v>
      </c>
      <c r="H339" s="56">
        <f t="shared" si="21"/>
        <v>45107</v>
      </c>
      <c r="I339" s="57">
        <v>17.899999999999999</v>
      </c>
      <c r="J339" s="57">
        <v>107.4</v>
      </c>
      <c r="K339" s="57">
        <v>1055.8800000000001</v>
      </c>
      <c r="L339" s="57">
        <v>5386.64</v>
      </c>
      <c r="M339" s="54" t="s">
        <v>249</v>
      </c>
      <c r="N339" s="54" t="s">
        <v>79</v>
      </c>
      <c r="O339" s="54" t="s">
        <v>193</v>
      </c>
      <c r="P339" s="54" t="s">
        <v>250</v>
      </c>
    </row>
    <row r="340" spans="1:16" ht="17.45" customHeight="1" x14ac:dyDescent="0.25">
      <c r="A340" s="54" t="s">
        <v>641</v>
      </c>
      <c r="B340" s="54" t="s">
        <v>244</v>
      </c>
      <c r="C340" s="56">
        <f>DATE(2018,7,31)</f>
        <v>43312</v>
      </c>
      <c r="D340" s="56">
        <f>DATE(2018,7,31)</f>
        <v>43312</v>
      </c>
      <c r="E340" s="57">
        <v>3156.93</v>
      </c>
      <c r="F340" s="54" t="s">
        <v>191</v>
      </c>
      <c r="G340" s="58">
        <v>35</v>
      </c>
      <c r="H340" s="56">
        <f t="shared" si="21"/>
        <v>45107</v>
      </c>
      <c r="I340" s="57">
        <v>7.52</v>
      </c>
      <c r="J340" s="57">
        <v>45.11</v>
      </c>
      <c r="K340" s="57">
        <v>443.48</v>
      </c>
      <c r="L340" s="57">
        <v>2713.45</v>
      </c>
      <c r="M340" s="54" t="s">
        <v>245</v>
      </c>
      <c r="N340" s="54" t="s">
        <v>79</v>
      </c>
      <c r="O340" s="54" t="s">
        <v>193</v>
      </c>
      <c r="P340" s="54" t="s">
        <v>246</v>
      </c>
    </row>
    <row r="341" spans="1:16" ht="17.45" customHeight="1" x14ac:dyDescent="0.25">
      <c r="A341" s="54" t="s">
        <v>642</v>
      </c>
      <c r="B341" s="54" t="s">
        <v>357</v>
      </c>
      <c r="C341" s="56">
        <f>DATE(2018,8,31)</f>
        <v>43343</v>
      </c>
      <c r="D341" s="56">
        <f>DATE(2018,8,31)</f>
        <v>43343</v>
      </c>
      <c r="E341" s="57">
        <v>15426.29</v>
      </c>
      <c r="F341" s="54" t="s">
        <v>191</v>
      </c>
      <c r="G341" s="58">
        <v>30</v>
      </c>
      <c r="H341" s="56">
        <f t="shared" si="21"/>
        <v>45107</v>
      </c>
      <c r="I341" s="57">
        <v>42.85</v>
      </c>
      <c r="J341" s="57">
        <v>257.10000000000002</v>
      </c>
      <c r="K341" s="57">
        <v>2485.34</v>
      </c>
      <c r="L341" s="57">
        <v>12940.95</v>
      </c>
      <c r="M341" s="54" t="s">
        <v>249</v>
      </c>
      <c r="N341" s="54" t="s">
        <v>79</v>
      </c>
      <c r="O341" s="54" t="s">
        <v>193</v>
      </c>
      <c r="P341" s="54" t="s">
        <v>250</v>
      </c>
    </row>
    <row r="342" spans="1:16" ht="17.45" customHeight="1" x14ac:dyDescent="0.25">
      <c r="A342" s="54" t="s">
        <v>643</v>
      </c>
      <c r="B342" s="54" t="s">
        <v>244</v>
      </c>
      <c r="C342" s="56">
        <f>DATE(2018,8,31)</f>
        <v>43343</v>
      </c>
      <c r="D342" s="56">
        <f>DATE(2018,8,31)</f>
        <v>43343</v>
      </c>
      <c r="E342" s="57">
        <v>9507.98</v>
      </c>
      <c r="F342" s="54" t="s">
        <v>191</v>
      </c>
      <c r="G342" s="58">
        <v>35</v>
      </c>
      <c r="H342" s="56">
        <f t="shared" si="21"/>
        <v>45107</v>
      </c>
      <c r="I342" s="57">
        <v>22.64</v>
      </c>
      <c r="J342" s="57">
        <v>135.84</v>
      </c>
      <c r="K342" s="57">
        <v>1313.03</v>
      </c>
      <c r="L342" s="57">
        <v>8194.9500000000007</v>
      </c>
      <c r="M342" s="54" t="s">
        <v>245</v>
      </c>
      <c r="N342" s="54" t="s">
        <v>79</v>
      </c>
      <c r="O342" s="54" t="s">
        <v>193</v>
      </c>
      <c r="P342" s="54" t="s">
        <v>246</v>
      </c>
    </row>
    <row r="343" spans="1:16" ht="17.45" customHeight="1" x14ac:dyDescent="0.25">
      <c r="A343" s="54" t="s">
        <v>644</v>
      </c>
      <c r="B343" s="54" t="s">
        <v>357</v>
      </c>
      <c r="C343" s="56">
        <f>DATE(2018,9,30)</f>
        <v>43373</v>
      </c>
      <c r="D343" s="56">
        <f>DATE(2018,9,30)</f>
        <v>43373</v>
      </c>
      <c r="E343" s="57">
        <v>6228.67</v>
      </c>
      <c r="F343" s="54" t="s">
        <v>191</v>
      </c>
      <c r="G343" s="58">
        <v>30</v>
      </c>
      <c r="H343" s="56">
        <f t="shared" si="21"/>
        <v>45107</v>
      </c>
      <c r="I343" s="57">
        <v>17.3</v>
      </c>
      <c r="J343" s="57">
        <v>103.8</v>
      </c>
      <c r="K343" s="57">
        <v>986.19</v>
      </c>
      <c r="L343" s="57">
        <v>5242.4799999999996</v>
      </c>
      <c r="M343" s="54" t="s">
        <v>249</v>
      </c>
      <c r="N343" s="54" t="s">
        <v>79</v>
      </c>
      <c r="O343" s="54" t="s">
        <v>193</v>
      </c>
      <c r="P343" s="54" t="s">
        <v>250</v>
      </c>
    </row>
    <row r="344" spans="1:16" ht="17.45" customHeight="1" x14ac:dyDescent="0.25">
      <c r="A344" s="54" t="s">
        <v>645</v>
      </c>
      <c r="B344" s="54" t="s">
        <v>443</v>
      </c>
      <c r="C344" s="56">
        <f>DATE(2018,9,30)</f>
        <v>43373</v>
      </c>
      <c r="D344" s="56">
        <f>DATE(2018,9,30)</f>
        <v>43373</v>
      </c>
      <c r="E344" s="57">
        <v>11106.69</v>
      </c>
      <c r="F344" s="54" t="s">
        <v>191</v>
      </c>
      <c r="G344" s="58">
        <v>35</v>
      </c>
      <c r="H344" s="56">
        <f t="shared" si="21"/>
        <v>45107</v>
      </c>
      <c r="I344" s="57">
        <v>26.44</v>
      </c>
      <c r="J344" s="57">
        <v>158.65</v>
      </c>
      <c r="K344" s="57">
        <v>1507.33</v>
      </c>
      <c r="L344" s="57">
        <v>9599.36</v>
      </c>
      <c r="M344" s="54" t="s">
        <v>245</v>
      </c>
      <c r="N344" s="54" t="s">
        <v>79</v>
      </c>
      <c r="O344" s="54" t="s">
        <v>193</v>
      </c>
      <c r="P344" s="54" t="s">
        <v>246</v>
      </c>
    </row>
    <row r="345" spans="1:16" ht="17.45" customHeight="1" x14ac:dyDescent="0.25">
      <c r="A345" s="54" t="s">
        <v>646</v>
      </c>
      <c r="B345" s="54" t="s">
        <v>357</v>
      </c>
      <c r="C345" s="56">
        <f>DATE(2018,10,31)</f>
        <v>43404</v>
      </c>
      <c r="D345" s="56">
        <f>DATE(2018,10,31)</f>
        <v>43404</v>
      </c>
      <c r="E345" s="57">
        <v>6271.46</v>
      </c>
      <c r="F345" s="54" t="s">
        <v>191</v>
      </c>
      <c r="G345" s="58">
        <v>30</v>
      </c>
      <c r="H345" s="56">
        <f t="shared" si="21"/>
        <v>45107</v>
      </c>
      <c r="I345" s="57">
        <v>17.420000000000002</v>
      </c>
      <c r="J345" s="57">
        <v>104.52</v>
      </c>
      <c r="K345" s="57">
        <v>975.56</v>
      </c>
      <c r="L345" s="57">
        <v>5295.9</v>
      </c>
      <c r="M345" s="54" t="s">
        <v>249</v>
      </c>
      <c r="N345" s="54" t="s">
        <v>79</v>
      </c>
      <c r="O345" s="54" t="s">
        <v>193</v>
      </c>
      <c r="P345" s="54" t="s">
        <v>250</v>
      </c>
    </row>
    <row r="346" spans="1:16" ht="17.45" customHeight="1" x14ac:dyDescent="0.25">
      <c r="A346" s="54" t="s">
        <v>647</v>
      </c>
      <c r="B346" s="54" t="s">
        <v>244</v>
      </c>
      <c r="C346" s="56">
        <f>DATE(2018,11,30)</f>
        <v>43434</v>
      </c>
      <c r="D346" s="56">
        <f>DATE(2018,11,30)</f>
        <v>43434</v>
      </c>
      <c r="E346" s="57">
        <v>4319.5600000000004</v>
      </c>
      <c r="F346" s="54" t="s">
        <v>191</v>
      </c>
      <c r="G346" s="58">
        <v>35</v>
      </c>
      <c r="H346" s="56">
        <f t="shared" si="21"/>
        <v>45107</v>
      </c>
      <c r="I346" s="57">
        <v>10.28</v>
      </c>
      <c r="J346" s="57">
        <v>61.68</v>
      </c>
      <c r="K346" s="57">
        <v>565.64</v>
      </c>
      <c r="L346" s="57">
        <v>3753.92</v>
      </c>
      <c r="M346" s="54" t="s">
        <v>245</v>
      </c>
      <c r="N346" s="54" t="s">
        <v>79</v>
      </c>
      <c r="O346" s="54" t="s">
        <v>193</v>
      </c>
      <c r="P346" s="54" t="s">
        <v>246</v>
      </c>
    </row>
    <row r="347" spans="1:16" ht="17.45" customHeight="1" x14ac:dyDescent="0.25">
      <c r="A347" s="54" t="s">
        <v>648</v>
      </c>
      <c r="B347" s="54" t="s">
        <v>357</v>
      </c>
      <c r="C347" s="56">
        <f>DATE(2018,11,30)</f>
        <v>43434</v>
      </c>
      <c r="D347" s="56">
        <f>DATE(2018,11,30)</f>
        <v>43434</v>
      </c>
      <c r="E347" s="57">
        <v>2420.96</v>
      </c>
      <c r="F347" s="54" t="s">
        <v>191</v>
      </c>
      <c r="G347" s="58">
        <v>30</v>
      </c>
      <c r="H347" s="56">
        <f t="shared" si="21"/>
        <v>45107</v>
      </c>
      <c r="I347" s="57">
        <v>6.72</v>
      </c>
      <c r="J347" s="57">
        <v>40.32</v>
      </c>
      <c r="K347" s="57">
        <v>369.84</v>
      </c>
      <c r="L347" s="57">
        <v>2051.12</v>
      </c>
      <c r="M347" s="54" t="s">
        <v>249</v>
      </c>
      <c r="N347" s="54" t="s">
        <v>79</v>
      </c>
      <c r="O347" s="54" t="s">
        <v>193</v>
      </c>
      <c r="P347" s="54" t="s">
        <v>250</v>
      </c>
    </row>
    <row r="348" spans="1:16" ht="17.45" customHeight="1" x14ac:dyDescent="0.25">
      <c r="A348" s="54" t="s">
        <v>649</v>
      </c>
      <c r="B348" s="54" t="s">
        <v>244</v>
      </c>
      <c r="C348" s="56">
        <f>DATE(2018,12,31)</f>
        <v>43465</v>
      </c>
      <c r="D348" s="56">
        <f>DATE(2018,12,31)</f>
        <v>43465</v>
      </c>
      <c r="E348" s="57">
        <v>6474.13</v>
      </c>
      <c r="F348" s="54" t="s">
        <v>191</v>
      </c>
      <c r="G348" s="58">
        <v>35</v>
      </c>
      <c r="H348" s="56">
        <f t="shared" si="21"/>
        <v>45107</v>
      </c>
      <c r="I348" s="57">
        <v>15.41</v>
      </c>
      <c r="J348" s="57">
        <v>92.46</v>
      </c>
      <c r="K348" s="57">
        <v>832.38</v>
      </c>
      <c r="L348" s="57">
        <v>5641.75</v>
      </c>
      <c r="M348" s="54" t="s">
        <v>245</v>
      </c>
      <c r="N348" s="54" t="s">
        <v>79</v>
      </c>
      <c r="O348" s="54" t="s">
        <v>193</v>
      </c>
      <c r="P348" s="54" t="s">
        <v>246</v>
      </c>
    </row>
    <row r="349" spans="1:16" ht="17.45" customHeight="1" x14ac:dyDescent="0.25">
      <c r="A349" s="54" t="s">
        <v>650</v>
      </c>
      <c r="B349" s="54" t="s">
        <v>357</v>
      </c>
      <c r="C349" s="56">
        <f>DATE(2018,12,31)</f>
        <v>43465</v>
      </c>
      <c r="D349" s="56">
        <f>DATE(2018,12,31)</f>
        <v>43465</v>
      </c>
      <c r="E349" s="57">
        <v>4982.03</v>
      </c>
      <c r="F349" s="54" t="s">
        <v>191</v>
      </c>
      <c r="G349" s="58">
        <v>30</v>
      </c>
      <c r="H349" s="56">
        <f t="shared" si="21"/>
        <v>45107</v>
      </c>
      <c r="I349" s="57">
        <v>13.84</v>
      </c>
      <c r="J349" s="57">
        <v>83.04</v>
      </c>
      <c r="K349" s="57">
        <v>747.32</v>
      </c>
      <c r="L349" s="57">
        <v>4234.71</v>
      </c>
      <c r="M349" s="54" t="s">
        <v>249</v>
      </c>
      <c r="N349" s="54" t="s">
        <v>79</v>
      </c>
      <c r="O349" s="54" t="s">
        <v>193</v>
      </c>
      <c r="P349" s="54" t="s">
        <v>250</v>
      </c>
    </row>
    <row r="350" spans="1:16" ht="17.45" customHeight="1" x14ac:dyDescent="0.25">
      <c r="A350" s="54" t="s">
        <v>651</v>
      </c>
      <c r="B350" s="54" t="s">
        <v>357</v>
      </c>
      <c r="C350" s="56">
        <f>DATE(2019,1,31)</f>
        <v>43496</v>
      </c>
      <c r="D350" s="56">
        <f>DATE(2019,1,31)</f>
        <v>43496</v>
      </c>
      <c r="E350" s="57">
        <v>1270.71</v>
      </c>
      <c r="F350" s="54" t="s">
        <v>191</v>
      </c>
      <c r="G350" s="58">
        <v>30</v>
      </c>
      <c r="H350" s="56">
        <f t="shared" si="21"/>
        <v>45107</v>
      </c>
      <c r="I350" s="57">
        <v>3.53</v>
      </c>
      <c r="J350" s="57">
        <v>21.18</v>
      </c>
      <c r="K350" s="57">
        <v>187.09</v>
      </c>
      <c r="L350" s="57">
        <v>1083.6199999999999</v>
      </c>
      <c r="M350" s="54" t="s">
        <v>249</v>
      </c>
      <c r="N350" s="54" t="s">
        <v>79</v>
      </c>
      <c r="O350" s="54" t="s">
        <v>193</v>
      </c>
      <c r="P350" s="54" t="s">
        <v>250</v>
      </c>
    </row>
    <row r="351" spans="1:16" ht="17.45" customHeight="1" x14ac:dyDescent="0.25">
      <c r="A351" s="54" t="s">
        <v>652</v>
      </c>
      <c r="B351" s="54" t="s">
        <v>244</v>
      </c>
      <c r="C351" s="56">
        <f>DATE(2019,1,31)</f>
        <v>43496</v>
      </c>
      <c r="D351" s="56">
        <f>DATE(2019,1,31)</f>
        <v>43496</v>
      </c>
      <c r="E351" s="57">
        <v>756</v>
      </c>
      <c r="F351" s="54" t="s">
        <v>191</v>
      </c>
      <c r="G351" s="58">
        <v>35</v>
      </c>
      <c r="H351" s="56">
        <f t="shared" si="21"/>
        <v>45107</v>
      </c>
      <c r="I351" s="57">
        <v>1.8</v>
      </c>
      <c r="J351" s="57">
        <v>10.8</v>
      </c>
      <c r="K351" s="57">
        <v>95.4</v>
      </c>
      <c r="L351" s="57">
        <v>660.6</v>
      </c>
      <c r="M351" s="54" t="s">
        <v>245</v>
      </c>
      <c r="N351" s="54" t="s">
        <v>79</v>
      </c>
      <c r="O351" s="54" t="s">
        <v>193</v>
      </c>
      <c r="P351" s="54" t="s">
        <v>246</v>
      </c>
    </row>
    <row r="352" spans="1:16" ht="17.45" customHeight="1" x14ac:dyDescent="0.25">
      <c r="A352" s="54" t="s">
        <v>653</v>
      </c>
      <c r="B352" s="54" t="s">
        <v>654</v>
      </c>
      <c r="C352" s="56">
        <f>DATE(2019,2,28)</f>
        <v>43524</v>
      </c>
      <c r="D352" s="56">
        <f>DATE(2019,2,28)</f>
        <v>43524</v>
      </c>
      <c r="E352" s="57">
        <v>4993.2299999999996</v>
      </c>
      <c r="F352" s="54" t="s">
        <v>191</v>
      </c>
      <c r="G352" s="58">
        <v>35</v>
      </c>
      <c r="H352" s="56">
        <f t="shared" si="21"/>
        <v>45107</v>
      </c>
      <c r="I352" s="57">
        <v>11.89</v>
      </c>
      <c r="J352" s="57">
        <v>71.34</v>
      </c>
      <c r="K352" s="57">
        <v>618.21</v>
      </c>
      <c r="L352" s="57">
        <v>4375.0200000000004</v>
      </c>
      <c r="M352" s="54" t="s">
        <v>245</v>
      </c>
      <c r="N352" s="54" t="s">
        <v>79</v>
      </c>
      <c r="O352" s="54" t="s">
        <v>193</v>
      </c>
      <c r="P352" s="54" t="s">
        <v>246</v>
      </c>
    </row>
    <row r="353" spans="1:16" ht="17.45" customHeight="1" x14ac:dyDescent="0.25">
      <c r="A353" s="54" t="s">
        <v>655</v>
      </c>
      <c r="B353" s="54" t="s">
        <v>357</v>
      </c>
      <c r="C353" s="56">
        <f>DATE(2019,2,28)</f>
        <v>43524</v>
      </c>
      <c r="D353" s="56">
        <f>DATE(2019,2,28)</f>
        <v>43524</v>
      </c>
      <c r="E353" s="57">
        <v>3978.1</v>
      </c>
      <c r="F353" s="54" t="s">
        <v>191</v>
      </c>
      <c r="G353" s="58">
        <v>30</v>
      </c>
      <c r="H353" s="56">
        <f t="shared" si="21"/>
        <v>45107</v>
      </c>
      <c r="I353" s="57">
        <v>11.05</v>
      </c>
      <c r="J353" s="57">
        <v>66.3</v>
      </c>
      <c r="K353" s="57">
        <v>574.6</v>
      </c>
      <c r="L353" s="57">
        <v>3403.5</v>
      </c>
      <c r="M353" s="54" t="s">
        <v>249</v>
      </c>
      <c r="N353" s="54" t="s">
        <v>79</v>
      </c>
      <c r="O353" s="54" t="s">
        <v>193</v>
      </c>
      <c r="P353" s="54" t="s">
        <v>250</v>
      </c>
    </row>
    <row r="354" spans="1:16" ht="17.45" customHeight="1" x14ac:dyDescent="0.25">
      <c r="A354" s="54" t="s">
        <v>656</v>
      </c>
      <c r="B354" s="54" t="s">
        <v>357</v>
      </c>
      <c r="C354" s="56">
        <f>DATE(2019,3,31)</f>
        <v>43555</v>
      </c>
      <c r="D354" s="56">
        <f>DATE(2019,3,31)</f>
        <v>43555</v>
      </c>
      <c r="E354" s="57">
        <v>5225.04</v>
      </c>
      <c r="F354" s="54" t="s">
        <v>191</v>
      </c>
      <c r="G354" s="58">
        <v>30</v>
      </c>
      <c r="H354" s="56">
        <f t="shared" si="21"/>
        <v>45107</v>
      </c>
      <c r="I354" s="57">
        <v>14.51</v>
      </c>
      <c r="J354" s="57">
        <v>87.06</v>
      </c>
      <c r="K354" s="57">
        <v>740.2</v>
      </c>
      <c r="L354" s="57">
        <v>4484.84</v>
      </c>
      <c r="M354" s="54" t="s">
        <v>249</v>
      </c>
      <c r="N354" s="54" t="s">
        <v>79</v>
      </c>
      <c r="O354" s="54" t="s">
        <v>193</v>
      </c>
      <c r="P354" s="54" t="s">
        <v>250</v>
      </c>
    </row>
    <row r="355" spans="1:16" ht="17.45" customHeight="1" x14ac:dyDescent="0.25">
      <c r="A355" s="54" t="s">
        <v>657</v>
      </c>
      <c r="B355" s="54" t="s">
        <v>574</v>
      </c>
      <c r="C355" s="56">
        <f>DATE(2019,3,31)</f>
        <v>43555</v>
      </c>
      <c r="D355" s="56">
        <f>DATE(2019,3,31)</f>
        <v>43555</v>
      </c>
      <c r="E355" s="57">
        <v>1459.47</v>
      </c>
      <c r="F355" s="54" t="s">
        <v>191</v>
      </c>
      <c r="G355" s="58">
        <v>35</v>
      </c>
      <c r="H355" s="56">
        <f t="shared" si="21"/>
        <v>45107</v>
      </c>
      <c r="I355" s="57">
        <v>3.47</v>
      </c>
      <c r="J355" s="57">
        <v>20.82</v>
      </c>
      <c r="K355" s="57">
        <v>177.19</v>
      </c>
      <c r="L355" s="57">
        <v>1282.28</v>
      </c>
      <c r="M355" s="54" t="s">
        <v>245</v>
      </c>
      <c r="N355" s="54" t="s">
        <v>79</v>
      </c>
      <c r="O355" s="54" t="s">
        <v>193</v>
      </c>
      <c r="P355" s="54" t="s">
        <v>246</v>
      </c>
    </row>
    <row r="356" spans="1:16" ht="17.45" customHeight="1" x14ac:dyDescent="0.25">
      <c r="A356" s="54" t="s">
        <v>658</v>
      </c>
      <c r="B356" s="54" t="s">
        <v>357</v>
      </c>
      <c r="C356" s="56">
        <f>DATE(2019,4,30)</f>
        <v>43585</v>
      </c>
      <c r="D356" s="56">
        <f>DATE(2019,4,30)</f>
        <v>43585</v>
      </c>
      <c r="E356" s="57">
        <v>3916.44</v>
      </c>
      <c r="F356" s="54" t="s">
        <v>191</v>
      </c>
      <c r="G356" s="58">
        <v>30</v>
      </c>
      <c r="H356" s="56">
        <f t="shared" si="21"/>
        <v>45107</v>
      </c>
      <c r="I356" s="57">
        <v>10.88</v>
      </c>
      <c r="J356" s="57">
        <v>65.28</v>
      </c>
      <c r="K356" s="57">
        <v>543.96</v>
      </c>
      <c r="L356" s="57">
        <v>3372.48</v>
      </c>
      <c r="M356" s="54" t="s">
        <v>249</v>
      </c>
      <c r="N356" s="54" t="s">
        <v>79</v>
      </c>
      <c r="O356" s="54" t="s">
        <v>193</v>
      </c>
      <c r="P356" s="54" t="s">
        <v>250</v>
      </c>
    </row>
    <row r="357" spans="1:16" ht="17.45" customHeight="1" x14ac:dyDescent="0.25">
      <c r="A357" s="54" t="s">
        <v>659</v>
      </c>
      <c r="B357" s="54" t="s">
        <v>574</v>
      </c>
      <c r="C357" s="56">
        <f>DATE(2019,4,30)</f>
        <v>43585</v>
      </c>
      <c r="D357" s="56">
        <f>DATE(2019,4,30)</f>
        <v>43585</v>
      </c>
      <c r="E357" s="57">
        <v>31850.54</v>
      </c>
      <c r="F357" s="54" t="s">
        <v>191</v>
      </c>
      <c r="G357" s="58">
        <v>35</v>
      </c>
      <c r="H357" s="56">
        <f t="shared" si="21"/>
        <v>45107</v>
      </c>
      <c r="I357" s="57">
        <v>75.83</v>
      </c>
      <c r="J357" s="57">
        <v>454.98</v>
      </c>
      <c r="K357" s="57">
        <v>3791.72</v>
      </c>
      <c r="L357" s="57">
        <v>28058.82</v>
      </c>
      <c r="M357" s="54" t="s">
        <v>245</v>
      </c>
      <c r="N357" s="54" t="s">
        <v>79</v>
      </c>
      <c r="O357" s="54" t="s">
        <v>193</v>
      </c>
      <c r="P357" s="54" t="s">
        <v>246</v>
      </c>
    </row>
    <row r="358" spans="1:16" ht="17.45" customHeight="1" x14ac:dyDescent="0.25">
      <c r="A358" s="54" t="s">
        <v>660</v>
      </c>
      <c r="B358" s="54" t="s">
        <v>357</v>
      </c>
      <c r="C358" s="56">
        <f>DATE(2019,5,31)</f>
        <v>43616</v>
      </c>
      <c r="D358" s="56">
        <f>DATE(2019,5,31)</f>
        <v>43616</v>
      </c>
      <c r="E358" s="57">
        <v>1218.99</v>
      </c>
      <c r="F358" s="54" t="s">
        <v>191</v>
      </c>
      <c r="G358" s="58">
        <v>30</v>
      </c>
      <c r="H358" s="56">
        <f t="shared" si="21"/>
        <v>45107</v>
      </c>
      <c r="I358" s="57">
        <v>3.39</v>
      </c>
      <c r="J358" s="57">
        <v>20.34</v>
      </c>
      <c r="K358" s="57">
        <v>165.93</v>
      </c>
      <c r="L358" s="57">
        <v>1053.06</v>
      </c>
      <c r="M358" s="54" t="s">
        <v>249</v>
      </c>
      <c r="N358" s="54" t="s">
        <v>79</v>
      </c>
      <c r="O358" s="54" t="s">
        <v>193</v>
      </c>
      <c r="P358" s="54" t="s">
        <v>250</v>
      </c>
    </row>
    <row r="359" spans="1:16" ht="17.45" customHeight="1" x14ac:dyDescent="0.25">
      <c r="A359" s="54" t="s">
        <v>661</v>
      </c>
      <c r="B359" s="54" t="s">
        <v>244</v>
      </c>
      <c r="C359" s="56">
        <f>DATE(2019,5,31)</f>
        <v>43616</v>
      </c>
      <c r="D359" s="56">
        <f>DATE(2019,5,31)</f>
        <v>43616</v>
      </c>
      <c r="E359" s="57">
        <v>34225.46</v>
      </c>
      <c r="F359" s="54" t="s">
        <v>191</v>
      </c>
      <c r="G359" s="58">
        <v>35</v>
      </c>
      <c r="H359" s="56">
        <f t="shared" si="21"/>
        <v>45107</v>
      </c>
      <c r="I359" s="57">
        <v>81.489999999999995</v>
      </c>
      <c r="J359" s="57">
        <v>488.94</v>
      </c>
      <c r="K359" s="57">
        <v>3992.97</v>
      </c>
      <c r="L359" s="57">
        <v>30232.49</v>
      </c>
      <c r="M359" s="54" t="s">
        <v>245</v>
      </c>
      <c r="N359" s="54" t="s">
        <v>79</v>
      </c>
      <c r="O359" s="54" t="s">
        <v>193</v>
      </c>
      <c r="P359" s="54" t="s">
        <v>246</v>
      </c>
    </row>
    <row r="360" spans="1:16" ht="17.45" customHeight="1" x14ac:dyDescent="0.25">
      <c r="A360" s="54" t="s">
        <v>662</v>
      </c>
      <c r="B360" s="54" t="s">
        <v>244</v>
      </c>
      <c r="C360" s="56">
        <f>DATE(2019,6,30)</f>
        <v>43646</v>
      </c>
      <c r="D360" s="56">
        <f>DATE(2019,6,30)</f>
        <v>43646</v>
      </c>
      <c r="E360" s="57">
        <v>49731.12</v>
      </c>
      <c r="F360" s="54" t="s">
        <v>191</v>
      </c>
      <c r="G360" s="58">
        <v>35</v>
      </c>
      <c r="H360" s="56">
        <f t="shared" si="21"/>
        <v>45107</v>
      </c>
      <c r="I360" s="57">
        <v>118.41</v>
      </c>
      <c r="J360" s="57">
        <v>710.46</v>
      </c>
      <c r="K360" s="57">
        <v>5683.57</v>
      </c>
      <c r="L360" s="57">
        <v>44047.55</v>
      </c>
      <c r="M360" s="54" t="s">
        <v>245</v>
      </c>
      <c r="N360" s="54" t="s">
        <v>79</v>
      </c>
      <c r="O360" s="54" t="s">
        <v>193</v>
      </c>
      <c r="P360" s="54" t="s">
        <v>246</v>
      </c>
    </row>
    <row r="361" spans="1:16" ht="17.45" customHeight="1" x14ac:dyDescent="0.25">
      <c r="A361" s="54" t="s">
        <v>663</v>
      </c>
      <c r="B361" s="54" t="s">
        <v>357</v>
      </c>
      <c r="C361" s="56">
        <f>DATE(2019,6,30)</f>
        <v>43646</v>
      </c>
      <c r="D361" s="56">
        <f>DATE(2019,6,30)</f>
        <v>43646</v>
      </c>
      <c r="E361" s="57">
        <v>10276.540000000001</v>
      </c>
      <c r="F361" s="54" t="s">
        <v>191</v>
      </c>
      <c r="G361" s="58">
        <v>30</v>
      </c>
      <c r="H361" s="56">
        <f t="shared" si="21"/>
        <v>45107</v>
      </c>
      <c r="I361" s="57">
        <v>28.55</v>
      </c>
      <c r="J361" s="57">
        <v>171.3</v>
      </c>
      <c r="K361" s="57">
        <v>1370.23</v>
      </c>
      <c r="L361" s="57">
        <v>8906.31</v>
      </c>
      <c r="M361" s="54" t="s">
        <v>249</v>
      </c>
      <c r="N361" s="54" t="s">
        <v>79</v>
      </c>
      <c r="O361" s="54" t="s">
        <v>193</v>
      </c>
      <c r="P361" s="54" t="s">
        <v>250</v>
      </c>
    </row>
    <row r="362" spans="1:16" ht="17.45" customHeight="1" x14ac:dyDescent="0.25">
      <c r="A362" s="54" t="s">
        <v>664</v>
      </c>
      <c r="B362" s="54" t="s">
        <v>357</v>
      </c>
      <c r="C362" s="56">
        <f>DATE(2019,7,31)</f>
        <v>43677</v>
      </c>
      <c r="D362" s="56">
        <f>DATE(2019,7,31)</f>
        <v>43677</v>
      </c>
      <c r="E362" s="57">
        <v>5011.1400000000003</v>
      </c>
      <c r="F362" s="54" t="s">
        <v>191</v>
      </c>
      <c r="G362" s="58">
        <v>30</v>
      </c>
      <c r="H362" s="56">
        <f t="shared" si="21"/>
        <v>45107</v>
      </c>
      <c r="I362" s="57">
        <v>13.92</v>
      </c>
      <c r="J362" s="57">
        <v>83.52</v>
      </c>
      <c r="K362" s="57">
        <v>654.24</v>
      </c>
      <c r="L362" s="57">
        <v>4356.8999999999996</v>
      </c>
      <c r="M362" s="54" t="s">
        <v>249</v>
      </c>
      <c r="N362" s="54" t="s">
        <v>79</v>
      </c>
      <c r="O362" s="54" t="s">
        <v>193</v>
      </c>
      <c r="P362" s="54" t="s">
        <v>250</v>
      </c>
    </row>
    <row r="363" spans="1:16" ht="17.45" customHeight="1" x14ac:dyDescent="0.25">
      <c r="A363" s="54" t="s">
        <v>665</v>
      </c>
      <c r="B363" s="54" t="s">
        <v>574</v>
      </c>
      <c r="C363" s="56">
        <f>DATE(2019,7,31)</f>
        <v>43677</v>
      </c>
      <c r="D363" s="56">
        <f>DATE(2019,7,31)</f>
        <v>43677</v>
      </c>
      <c r="E363" s="57">
        <v>46802.07</v>
      </c>
      <c r="F363" s="54" t="s">
        <v>191</v>
      </c>
      <c r="G363" s="58">
        <v>35</v>
      </c>
      <c r="H363" s="56">
        <f t="shared" si="21"/>
        <v>45107</v>
      </c>
      <c r="I363" s="57">
        <v>111.43</v>
      </c>
      <c r="J363" s="57">
        <v>668.58</v>
      </c>
      <c r="K363" s="57">
        <v>5237.3500000000004</v>
      </c>
      <c r="L363" s="57">
        <v>41564.720000000001</v>
      </c>
      <c r="M363" s="54" t="s">
        <v>245</v>
      </c>
      <c r="N363" s="54" t="s">
        <v>79</v>
      </c>
      <c r="O363" s="54" t="s">
        <v>193</v>
      </c>
      <c r="P363" s="54" t="s">
        <v>246</v>
      </c>
    </row>
    <row r="364" spans="1:16" ht="17.45" customHeight="1" x14ac:dyDescent="0.25">
      <c r="A364" s="54" t="s">
        <v>666</v>
      </c>
      <c r="B364" s="54" t="s">
        <v>357</v>
      </c>
      <c r="C364" s="56">
        <f>DATE(2019,8,31)</f>
        <v>43708</v>
      </c>
      <c r="D364" s="56">
        <f>DATE(2019,8,31)</f>
        <v>43708</v>
      </c>
      <c r="E364" s="57">
        <v>13321.7</v>
      </c>
      <c r="F364" s="54" t="s">
        <v>191</v>
      </c>
      <c r="G364" s="58">
        <v>30</v>
      </c>
      <c r="H364" s="56">
        <f t="shared" si="21"/>
        <v>45107</v>
      </c>
      <c r="I364" s="57">
        <v>37</v>
      </c>
      <c r="J364" s="57">
        <v>222</v>
      </c>
      <c r="K364" s="57">
        <v>1702.2</v>
      </c>
      <c r="L364" s="57">
        <v>11619.5</v>
      </c>
      <c r="M364" s="54" t="s">
        <v>249</v>
      </c>
      <c r="N364" s="54" t="s">
        <v>79</v>
      </c>
      <c r="O364" s="54" t="s">
        <v>193</v>
      </c>
      <c r="P364" s="54" t="s">
        <v>250</v>
      </c>
    </row>
    <row r="365" spans="1:16" ht="17.45" customHeight="1" x14ac:dyDescent="0.25">
      <c r="A365" s="54" t="s">
        <v>667</v>
      </c>
      <c r="B365" s="54" t="s">
        <v>574</v>
      </c>
      <c r="C365" s="56">
        <f>DATE(2019,8,31)</f>
        <v>43708</v>
      </c>
      <c r="D365" s="56">
        <f>DATE(2019,8,31)</f>
        <v>43708</v>
      </c>
      <c r="E365" s="57">
        <v>58680.69</v>
      </c>
      <c r="F365" s="54" t="s">
        <v>191</v>
      </c>
      <c r="G365" s="58">
        <v>35</v>
      </c>
      <c r="H365" s="56">
        <f t="shared" si="21"/>
        <v>45107</v>
      </c>
      <c r="I365" s="57">
        <v>139.72</v>
      </c>
      <c r="J365" s="57">
        <v>838.32</v>
      </c>
      <c r="K365" s="57">
        <v>6426.95</v>
      </c>
      <c r="L365" s="57">
        <v>52253.74</v>
      </c>
      <c r="M365" s="54" t="s">
        <v>245</v>
      </c>
      <c r="N365" s="54" t="s">
        <v>79</v>
      </c>
      <c r="O365" s="54" t="s">
        <v>193</v>
      </c>
      <c r="P365" s="54" t="s">
        <v>246</v>
      </c>
    </row>
    <row r="366" spans="1:16" ht="17.45" customHeight="1" x14ac:dyDescent="0.25">
      <c r="A366" s="54" t="s">
        <v>668</v>
      </c>
      <c r="B366" s="54" t="s">
        <v>669</v>
      </c>
      <c r="C366" s="56">
        <f>DATE(2019,9,30)</f>
        <v>43738</v>
      </c>
      <c r="D366" s="56">
        <f>DATE(2019,9,30)</f>
        <v>43738</v>
      </c>
      <c r="E366" s="57">
        <v>23567.62</v>
      </c>
      <c r="F366" s="54" t="s">
        <v>191</v>
      </c>
      <c r="G366" s="58">
        <v>35</v>
      </c>
      <c r="H366" s="56">
        <f t="shared" si="21"/>
        <v>45107</v>
      </c>
      <c r="I366" s="57">
        <v>56.11</v>
      </c>
      <c r="J366" s="57">
        <v>336.66</v>
      </c>
      <c r="K366" s="57">
        <v>2525.0700000000002</v>
      </c>
      <c r="L366" s="57">
        <v>21042.55</v>
      </c>
      <c r="M366" s="54" t="s">
        <v>245</v>
      </c>
      <c r="N366" s="54" t="s">
        <v>79</v>
      </c>
      <c r="O366" s="54" t="s">
        <v>193</v>
      </c>
      <c r="P366" s="54" t="s">
        <v>246</v>
      </c>
    </row>
    <row r="367" spans="1:16" ht="17.45" customHeight="1" x14ac:dyDescent="0.25">
      <c r="A367" s="54" t="s">
        <v>670</v>
      </c>
      <c r="B367" s="54" t="s">
        <v>357</v>
      </c>
      <c r="C367" s="56">
        <f>DATE(2019,10,31)</f>
        <v>43769</v>
      </c>
      <c r="D367" s="56">
        <f>DATE(2019,10,31)</f>
        <v>43769</v>
      </c>
      <c r="E367" s="57">
        <v>4093.68</v>
      </c>
      <c r="F367" s="54" t="s">
        <v>191</v>
      </c>
      <c r="G367" s="58">
        <v>30</v>
      </c>
      <c r="H367" s="56">
        <f t="shared" si="21"/>
        <v>45107</v>
      </c>
      <c r="I367" s="57">
        <v>11.37</v>
      </c>
      <c r="J367" s="57">
        <v>68.22</v>
      </c>
      <c r="K367" s="57">
        <v>500.34</v>
      </c>
      <c r="L367" s="57">
        <v>3593.34</v>
      </c>
      <c r="M367" s="54" t="s">
        <v>249</v>
      </c>
      <c r="N367" s="54" t="s">
        <v>79</v>
      </c>
      <c r="O367" s="54" t="s">
        <v>193</v>
      </c>
      <c r="P367" s="54" t="s">
        <v>250</v>
      </c>
    </row>
    <row r="368" spans="1:16" ht="17.45" customHeight="1" x14ac:dyDescent="0.25">
      <c r="A368" s="54" t="s">
        <v>671</v>
      </c>
      <c r="B368" s="54" t="s">
        <v>244</v>
      </c>
      <c r="C368" s="56">
        <f>DATE(2019,10,31)</f>
        <v>43769</v>
      </c>
      <c r="D368" s="56">
        <f>DATE(2019,10,31)</f>
        <v>43769</v>
      </c>
      <c r="E368" s="57">
        <v>20852.400000000001</v>
      </c>
      <c r="F368" s="54" t="s">
        <v>191</v>
      </c>
      <c r="G368" s="58">
        <v>35</v>
      </c>
      <c r="H368" s="56">
        <f t="shared" si="21"/>
        <v>45107</v>
      </c>
      <c r="I368" s="57">
        <v>49.65</v>
      </c>
      <c r="J368" s="57">
        <v>297.89999999999998</v>
      </c>
      <c r="K368" s="57">
        <v>2184.54</v>
      </c>
      <c r="L368" s="57">
        <v>18667.86</v>
      </c>
      <c r="M368" s="54" t="s">
        <v>245</v>
      </c>
      <c r="N368" s="54" t="s">
        <v>79</v>
      </c>
      <c r="O368" s="54" t="s">
        <v>193</v>
      </c>
      <c r="P368" s="54" t="s">
        <v>246</v>
      </c>
    </row>
    <row r="369" spans="1:16" ht="17.45" customHeight="1" x14ac:dyDescent="0.25">
      <c r="A369" s="54" t="s">
        <v>672</v>
      </c>
      <c r="B369" s="54" t="s">
        <v>357</v>
      </c>
      <c r="C369" s="56">
        <f>DATE(2019,11,30)</f>
        <v>43799</v>
      </c>
      <c r="D369" s="56">
        <f>DATE(2019,11,30)</f>
        <v>43799</v>
      </c>
      <c r="E369" s="57">
        <v>2225.75</v>
      </c>
      <c r="F369" s="54" t="s">
        <v>191</v>
      </c>
      <c r="G369" s="58">
        <v>30</v>
      </c>
      <c r="H369" s="56">
        <f t="shared" si="21"/>
        <v>45107</v>
      </c>
      <c r="I369" s="57">
        <v>6.18</v>
      </c>
      <c r="J369" s="57">
        <v>37.08</v>
      </c>
      <c r="K369" s="57">
        <v>265.83</v>
      </c>
      <c r="L369" s="57">
        <v>1959.92</v>
      </c>
      <c r="M369" s="54" t="s">
        <v>249</v>
      </c>
      <c r="N369" s="54" t="s">
        <v>79</v>
      </c>
      <c r="O369" s="54" t="s">
        <v>193</v>
      </c>
      <c r="P369" s="54" t="s">
        <v>250</v>
      </c>
    </row>
    <row r="370" spans="1:16" ht="17.45" customHeight="1" x14ac:dyDescent="0.25">
      <c r="A370" s="54" t="s">
        <v>673</v>
      </c>
      <c r="B370" s="54" t="s">
        <v>244</v>
      </c>
      <c r="C370" s="56">
        <f>DATE(2019,11,30)</f>
        <v>43799</v>
      </c>
      <c r="D370" s="56">
        <f>DATE(2019,11,30)</f>
        <v>43799</v>
      </c>
      <c r="E370" s="57">
        <v>11454.72</v>
      </c>
      <c r="F370" s="54" t="s">
        <v>191</v>
      </c>
      <c r="G370" s="58">
        <v>35</v>
      </c>
      <c r="H370" s="56">
        <f t="shared" si="21"/>
        <v>45107</v>
      </c>
      <c r="I370" s="57">
        <v>27.27</v>
      </c>
      <c r="J370" s="57">
        <v>163.62</v>
      </c>
      <c r="K370" s="57">
        <v>1172.73</v>
      </c>
      <c r="L370" s="57">
        <v>10281.99</v>
      </c>
      <c r="M370" s="54" t="s">
        <v>245</v>
      </c>
      <c r="N370" s="54" t="s">
        <v>79</v>
      </c>
      <c r="O370" s="54" t="s">
        <v>193</v>
      </c>
      <c r="P370" s="54" t="s">
        <v>246</v>
      </c>
    </row>
    <row r="371" spans="1:16" ht="17.45" customHeight="1" x14ac:dyDescent="0.25">
      <c r="A371" s="54" t="s">
        <v>674</v>
      </c>
      <c r="B371" s="54" t="s">
        <v>357</v>
      </c>
      <c r="C371" s="56">
        <f t="shared" ref="C371:D373" si="23">DATE(2019,12,31)</f>
        <v>43830</v>
      </c>
      <c r="D371" s="56">
        <f t="shared" si="23"/>
        <v>43830</v>
      </c>
      <c r="E371" s="57">
        <v>4018.25</v>
      </c>
      <c r="F371" s="54" t="s">
        <v>191</v>
      </c>
      <c r="G371" s="58">
        <v>30</v>
      </c>
      <c r="H371" s="56">
        <f t="shared" si="21"/>
        <v>45107</v>
      </c>
      <c r="I371" s="57">
        <v>11.16</v>
      </c>
      <c r="J371" s="57">
        <v>66.959999999999994</v>
      </c>
      <c r="K371" s="57">
        <v>468.78</v>
      </c>
      <c r="L371" s="57">
        <v>3549.47</v>
      </c>
      <c r="M371" s="54" t="s">
        <v>249</v>
      </c>
      <c r="N371" s="54" t="s">
        <v>79</v>
      </c>
      <c r="O371" s="54" t="s">
        <v>193</v>
      </c>
      <c r="P371" s="54" t="s">
        <v>250</v>
      </c>
    </row>
    <row r="372" spans="1:16" ht="17.45" customHeight="1" x14ac:dyDescent="0.25">
      <c r="A372" s="54" t="s">
        <v>675</v>
      </c>
      <c r="B372" s="54" t="s">
        <v>676</v>
      </c>
      <c r="C372" s="56">
        <f t="shared" si="23"/>
        <v>43830</v>
      </c>
      <c r="D372" s="56">
        <f t="shared" si="23"/>
        <v>43830</v>
      </c>
      <c r="E372" s="57">
        <v>39896.26</v>
      </c>
      <c r="F372" s="54" t="s">
        <v>191</v>
      </c>
      <c r="G372" s="58">
        <v>35</v>
      </c>
      <c r="H372" s="56">
        <f t="shared" si="21"/>
        <v>45107</v>
      </c>
      <c r="I372" s="57">
        <v>94.99</v>
      </c>
      <c r="J372" s="57">
        <v>569.94000000000005</v>
      </c>
      <c r="K372" s="57">
        <v>3989.61</v>
      </c>
      <c r="L372" s="57">
        <v>35906.65</v>
      </c>
      <c r="M372" s="54" t="s">
        <v>245</v>
      </c>
      <c r="N372" s="54" t="s">
        <v>79</v>
      </c>
      <c r="O372" s="54" t="s">
        <v>193</v>
      </c>
      <c r="P372" s="54" t="s">
        <v>246</v>
      </c>
    </row>
    <row r="373" spans="1:16" ht="17.45" customHeight="1" x14ac:dyDescent="0.25">
      <c r="A373" s="54" t="s">
        <v>677</v>
      </c>
      <c r="B373" s="54" t="s">
        <v>244</v>
      </c>
      <c r="C373" s="56">
        <f t="shared" si="23"/>
        <v>43830</v>
      </c>
      <c r="D373" s="56">
        <f t="shared" si="23"/>
        <v>43830</v>
      </c>
      <c r="E373" s="57">
        <v>17249.400000000001</v>
      </c>
      <c r="F373" s="54" t="s">
        <v>191</v>
      </c>
      <c r="G373" s="58">
        <v>35</v>
      </c>
      <c r="H373" s="56">
        <f t="shared" si="21"/>
        <v>45107</v>
      </c>
      <c r="I373" s="57">
        <v>41.07</v>
      </c>
      <c r="J373" s="57">
        <v>246.42</v>
      </c>
      <c r="K373" s="57">
        <v>1724.94</v>
      </c>
      <c r="L373" s="57">
        <v>15524.46</v>
      </c>
      <c r="M373" s="54" t="s">
        <v>245</v>
      </c>
      <c r="N373" s="54" t="s">
        <v>79</v>
      </c>
      <c r="O373" s="54" t="s">
        <v>193</v>
      </c>
      <c r="P373" s="54" t="s">
        <v>246</v>
      </c>
    </row>
    <row r="374" spans="1:16" ht="17.45" customHeight="1" x14ac:dyDescent="0.25">
      <c r="A374" s="54" t="s">
        <v>678</v>
      </c>
      <c r="B374" s="54" t="s">
        <v>357</v>
      </c>
      <c r="C374" s="56">
        <f>DATE(2020,1,31)</f>
        <v>43861</v>
      </c>
      <c r="D374" s="56">
        <f>DATE(2020,1,31)</f>
        <v>43861</v>
      </c>
      <c r="E374" s="57">
        <v>986.3</v>
      </c>
      <c r="F374" s="54" t="s">
        <v>191</v>
      </c>
      <c r="G374" s="58">
        <v>30</v>
      </c>
      <c r="H374" s="56">
        <f t="shared" si="21"/>
        <v>45107</v>
      </c>
      <c r="I374" s="57">
        <v>2.74</v>
      </c>
      <c r="J374" s="57">
        <v>16.440000000000001</v>
      </c>
      <c r="K374" s="57">
        <v>112.34</v>
      </c>
      <c r="L374" s="57">
        <v>873.96</v>
      </c>
      <c r="M374" s="54" t="s">
        <v>249</v>
      </c>
      <c r="N374" s="54" t="s">
        <v>79</v>
      </c>
      <c r="O374" s="54" t="s">
        <v>193</v>
      </c>
      <c r="P374" s="54" t="s">
        <v>250</v>
      </c>
    </row>
    <row r="375" spans="1:16" ht="17.45" customHeight="1" x14ac:dyDescent="0.25">
      <c r="A375" s="54" t="s">
        <v>679</v>
      </c>
      <c r="B375" s="54" t="s">
        <v>244</v>
      </c>
      <c r="C375" s="56">
        <f>DATE(2020,1,31)</f>
        <v>43861</v>
      </c>
      <c r="D375" s="56">
        <f>DATE(2020,1,31)</f>
        <v>43861</v>
      </c>
      <c r="E375" s="57">
        <v>31681.88</v>
      </c>
      <c r="F375" s="54" t="s">
        <v>191</v>
      </c>
      <c r="G375" s="58">
        <v>35</v>
      </c>
      <c r="H375" s="56">
        <f t="shared" si="21"/>
        <v>45107</v>
      </c>
      <c r="I375" s="57">
        <v>75.430000000000007</v>
      </c>
      <c r="J375" s="57">
        <v>452.58</v>
      </c>
      <c r="K375" s="57">
        <v>3092.74</v>
      </c>
      <c r="L375" s="57">
        <v>28589.14</v>
      </c>
      <c r="M375" s="54" t="s">
        <v>245</v>
      </c>
      <c r="N375" s="54" t="s">
        <v>79</v>
      </c>
      <c r="O375" s="54" t="s">
        <v>193</v>
      </c>
      <c r="P375" s="54" t="s">
        <v>246</v>
      </c>
    </row>
    <row r="376" spans="1:16" ht="17.45" customHeight="1" x14ac:dyDescent="0.25">
      <c r="A376" s="54" t="s">
        <v>680</v>
      </c>
      <c r="B376" s="54" t="s">
        <v>357</v>
      </c>
      <c r="C376" s="56">
        <f>DATE(2020,2,29)</f>
        <v>43890</v>
      </c>
      <c r="D376" s="56">
        <f>DATE(2020,2,29)</f>
        <v>43890</v>
      </c>
      <c r="E376" s="57">
        <v>8876.7000000000007</v>
      </c>
      <c r="F376" s="54" t="s">
        <v>191</v>
      </c>
      <c r="G376" s="58">
        <v>30</v>
      </c>
      <c r="H376" s="56">
        <f t="shared" si="21"/>
        <v>45107</v>
      </c>
      <c r="I376" s="57">
        <v>24.66</v>
      </c>
      <c r="J376" s="57">
        <v>147.96</v>
      </c>
      <c r="K376" s="57">
        <v>986.32</v>
      </c>
      <c r="L376" s="57">
        <v>7890.38</v>
      </c>
      <c r="M376" s="54" t="s">
        <v>249</v>
      </c>
      <c r="N376" s="54" t="s">
        <v>79</v>
      </c>
      <c r="O376" s="54" t="s">
        <v>193</v>
      </c>
      <c r="P376" s="54" t="s">
        <v>250</v>
      </c>
    </row>
    <row r="377" spans="1:16" ht="17.45" customHeight="1" x14ac:dyDescent="0.25">
      <c r="A377" s="54" t="s">
        <v>681</v>
      </c>
      <c r="B377" s="54" t="s">
        <v>244</v>
      </c>
      <c r="C377" s="56">
        <f>DATE(2020,2,29)</f>
        <v>43890</v>
      </c>
      <c r="D377" s="56">
        <f>DATE(2020,2,29)</f>
        <v>43890</v>
      </c>
      <c r="E377" s="57">
        <v>36379.620000000003</v>
      </c>
      <c r="F377" s="54" t="s">
        <v>191</v>
      </c>
      <c r="G377" s="58">
        <v>35</v>
      </c>
      <c r="H377" s="56">
        <f t="shared" si="21"/>
        <v>45107</v>
      </c>
      <c r="I377" s="57">
        <v>86.62</v>
      </c>
      <c r="J377" s="57">
        <v>519.72</v>
      </c>
      <c r="K377" s="57">
        <v>3464.74</v>
      </c>
      <c r="L377" s="57">
        <v>32914.879999999997</v>
      </c>
      <c r="M377" s="54" t="s">
        <v>245</v>
      </c>
      <c r="N377" s="54" t="s">
        <v>79</v>
      </c>
      <c r="O377" s="54" t="s">
        <v>193</v>
      </c>
      <c r="P377" s="54" t="s">
        <v>246</v>
      </c>
    </row>
    <row r="378" spans="1:16" ht="17.45" customHeight="1" x14ac:dyDescent="0.25">
      <c r="A378" s="54" t="s">
        <v>682</v>
      </c>
      <c r="B378" s="54" t="s">
        <v>683</v>
      </c>
      <c r="C378" s="56">
        <f>DATE(2020,3,31)</f>
        <v>43921</v>
      </c>
      <c r="D378" s="56">
        <f>DATE(2020,3,31)</f>
        <v>43921</v>
      </c>
      <c r="E378" s="57">
        <v>1830.26</v>
      </c>
      <c r="F378" s="54" t="s">
        <v>191</v>
      </c>
      <c r="G378" s="58">
        <v>30</v>
      </c>
      <c r="H378" s="56">
        <f t="shared" ref="H378:H441" si="24">DATE(2023,6,30)</f>
        <v>45107</v>
      </c>
      <c r="I378" s="57">
        <v>5.08</v>
      </c>
      <c r="J378" s="57">
        <v>30.48</v>
      </c>
      <c r="K378" s="57">
        <v>198.26</v>
      </c>
      <c r="L378" s="57">
        <v>1632</v>
      </c>
      <c r="M378" s="54" t="s">
        <v>249</v>
      </c>
      <c r="N378" s="54" t="s">
        <v>79</v>
      </c>
      <c r="O378" s="54" t="s">
        <v>193</v>
      </c>
      <c r="P378" s="54" t="s">
        <v>250</v>
      </c>
    </row>
    <row r="379" spans="1:16" ht="17.45" customHeight="1" x14ac:dyDescent="0.25">
      <c r="A379" s="54" t="s">
        <v>684</v>
      </c>
      <c r="B379" s="54" t="s">
        <v>574</v>
      </c>
      <c r="C379" s="56">
        <f>DATE(2020,3,31)</f>
        <v>43921</v>
      </c>
      <c r="D379" s="56">
        <f>DATE(2020,3,31)</f>
        <v>43921</v>
      </c>
      <c r="E379" s="57">
        <v>6628.42</v>
      </c>
      <c r="F379" s="54" t="s">
        <v>191</v>
      </c>
      <c r="G379" s="58">
        <v>35</v>
      </c>
      <c r="H379" s="56">
        <f t="shared" si="24"/>
        <v>45107</v>
      </c>
      <c r="I379" s="57">
        <v>15.78</v>
      </c>
      <c r="J379" s="57">
        <v>94.68</v>
      </c>
      <c r="K379" s="57">
        <v>615.48</v>
      </c>
      <c r="L379" s="57">
        <v>6012.94</v>
      </c>
      <c r="M379" s="54" t="s">
        <v>245</v>
      </c>
      <c r="N379" s="54" t="s">
        <v>79</v>
      </c>
      <c r="O379" s="54" t="s">
        <v>193</v>
      </c>
      <c r="P379" s="54" t="s">
        <v>246</v>
      </c>
    </row>
    <row r="380" spans="1:16" ht="17.45" customHeight="1" x14ac:dyDescent="0.25">
      <c r="A380" s="54" t="s">
        <v>685</v>
      </c>
      <c r="B380" s="54" t="s">
        <v>244</v>
      </c>
      <c r="C380" s="56">
        <f t="shared" ref="C380:D382" si="25">DATE(2020,4,30)</f>
        <v>43951</v>
      </c>
      <c r="D380" s="56">
        <f t="shared" si="25"/>
        <v>43951</v>
      </c>
      <c r="E380" s="57">
        <v>18186.18</v>
      </c>
      <c r="F380" s="54" t="s">
        <v>191</v>
      </c>
      <c r="G380" s="58">
        <v>35</v>
      </c>
      <c r="H380" s="56">
        <f t="shared" si="24"/>
        <v>45107</v>
      </c>
      <c r="I380" s="57">
        <v>43.3</v>
      </c>
      <c r="J380" s="57">
        <v>259.8</v>
      </c>
      <c r="K380" s="57">
        <v>1645.42</v>
      </c>
      <c r="L380" s="57">
        <v>16540.759999999998</v>
      </c>
      <c r="M380" s="54" t="s">
        <v>245</v>
      </c>
      <c r="N380" s="54" t="s">
        <v>79</v>
      </c>
      <c r="O380" s="54" t="s">
        <v>193</v>
      </c>
      <c r="P380" s="54" t="s">
        <v>246</v>
      </c>
    </row>
    <row r="381" spans="1:16" ht="17.45" customHeight="1" x14ac:dyDescent="0.25">
      <c r="A381" s="54" t="s">
        <v>686</v>
      </c>
      <c r="B381" s="54" t="s">
        <v>357</v>
      </c>
      <c r="C381" s="56">
        <f t="shared" si="25"/>
        <v>43951</v>
      </c>
      <c r="D381" s="56">
        <f t="shared" si="25"/>
        <v>43951</v>
      </c>
      <c r="E381" s="57">
        <v>4392.96</v>
      </c>
      <c r="F381" s="54" t="s">
        <v>191</v>
      </c>
      <c r="G381" s="58">
        <v>30</v>
      </c>
      <c r="H381" s="56">
        <f t="shared" si="24"/>
        <v>45107</v>
      </c>
      <c r="I381" s="57">
        <v>12.2</v>
      </c>
      <c r="J381" s="57">
        <v>73.2</v>
      </c>
      <c r="K381" s="57">
        <v>463.68</v>
      </c>
      <c r="L381" s="57">
        <v>3929.28</v>
      </c>
      <c r="M381" s="54" t="s">
        <v>249</v>
      </c>
      <c r="N381" s="54" t="s">
        <v>79</v>
      </c>
      <c r="O381" s="54" t="s">
        <v>193</v>
      </c>
      <c r="P381" s="54" t="s">
        <v>250</v>
      </c>
    </row>
    <row r="382" spans="1:16" ht="17.45" customHeight="1" x14ac:dyDescent="0.25">
      <c r="A382" s="54" t="s">
        <v>687</v>
      </c>
      <c r="B382" s="54" t="s">
        <v>688</v>
      </c>
      <c r="C382" s="56">
        <f t="shared" si="25"/>
        <v>43951</v>
      </c>
      <c r="D382" s="56">
        <f t="shared" si="25"/>
        <v>43951</v>
      </c>
      <c r="E382" s="57">
        <v>57156.86</v>
      </c>
      <c r="F382" s="54" t="s">
        <v>191</v>
      </c>
      <c r="G382" s="58">
        <v>30</v>
      </c>
      <c r="H382" s="56">
        <f t="shared" si="24"/>
        <v>45107</v>
      </c>
      <c r="I382" s="57">
        <v>158.77000000000001</v>
      </c>
      <c r="J382" s="57">
        <v>952.62</v>
      </c>
      <c r="K382" s="57">
        <v>6033.23</v>
      </c>
      <c r="L382" s="57">
        <v>51123.63</v>
      </c>
      <c r="M382" s="54" t="s">
        <v>249</v>
      </c>
      <c r="N382" s="54" t="s">
        <v>79</v>
      </c>
      <c r="O382" s="54" t="s">
        <v>193</v>
      </c>
      <c r="P382" s="54" t="s">
        <v>250</v>
      </c>
    </row>
    <row r="383" spans="1:16" ht="17.45" customHeight="1" x14ac:dyDescent="0.25">
      <c r="A383" s="54" t="s">
        <v>689</v>
      </c>
      <c r="B383" s="54" t="s">
        <v>357</v>
      </c>
      <c r="C383" s="56">
        <f>DATE(2020,5,31)</f>
        <v>43982</v>
      </c>
      <c r="D383" s="56">
        <f>DATE(2020,5,31)</f>
        <v>43982</v>
      </c>
      <c r="E383" s="57">
        <v>11075.27</v>
      </c>
      <c r="F383" s="54" t="s">
        <v>191</v>
      </c>
      <c r="G383" s="58">
        <v>30</v>
      </c>
      <c r="H383" s="56">
        <f t="shared" si="24"/>
        <v>45107</v>
      </c>
      <c r="I383" s="57">
        <v>30.76</v>
      </c>
      <c r="J383" s="57">
        <v>184.56</v>
      </c>
      <c r="K383" s="57">
        <v>1138.27</v>
      </c>
      <c r="L383" s="57">
        <v>9937</v>
      </c>
      <c r="M383" s="54" t="s">
        <v>249</v>
      </c>
      <c r="N383" s="54" t="s">
        <v>79</v>
      </c>
      <c r="O383" s="54" t="s">
        <v>193</v>
      </c>
      <c r="P383" s="54" t="s">
        <v>250</v>
      </c>
    </row>
    <row r="384" spans="1:16" ht="17.45" customHeight="1" x14ac:dyDescent="0.25">
      <c r="A384" s="54" t="s">
        <v>690</v>
      </c>
      <c r="B384" s="54" t="s">
        <v>357</v>
      </c>
      <c r="C384" s="56">
        <f>DATE(2020,6,30)</f>
        <v>44012</v>
      </c>
      <c r="D384" s="56">
        <f>DATE(2020,6,30)</f>
        <v>44012</v>
      </c>
      <c r="E384" s="57">
        <v>2738.56</v>
      </c>
      <c r="F384" s="54" t="s">
        <v>191</v>
      </c>
      <c r="G384" s="58">
        <v>30</v>
      </c>
      <c r="H384" s="56">
        <f t="shared" si="24"/>
        <v>45107</v>
      </c>
      <c r="I384" s="57">
        <v>7.61</v>
      </c>
      <c r="J384" s="57">
        <v>45.66</v>
      </c>
      <c r="K384" s="57">
        <v>273.88</v>
      </c>
      <c r="L384" s="57">
        <v>2464.6799999999998</v>
      </c>
      <c r="M384" s="54" t="s">
        <v>249</v>
      </c>
      <c r="N384" s="54" t="s">
        <v>79</v>
      </c>
      <c r="O384" s="54" t="s">
        <v>193</v>
      </c>
      <c r="P384" s="54" t="s">
        <v>250</v>
      </c>
    </row>
    <row r="385" spans="1:16" ht="17.45" customHeight="1" x14ac:dyDescent="0.25">
      <c r="A385" s="54" t="s">
        <v>691</v>
      </c>
      <c r="B385" s="54" t="s">
        <v>357</v>
      </c>
      <c r="C385" s="56">
        <f>DATE(2020,7,31)</f>
        <v>44043</v>
      </c>
      <c r="D385" s="56">
        <f>DATE(2020,7,31)</f>
        <v>44043</v>
      </c>
      <c r="E385" s="57">
        <v>9863</v>
      </c>
      <c r="F385" s="54" t="s">
        <v>191</v>
      </c>
      <c r="G385" s="58">
        <v>30</v>
      </c>
      <c r="H385" s="56">
        <f t="shared" si="24"/>
        <v>45107</v>
      </c>
      <c r="I385" s="57">
        <v>27.4</v>
      </c>
      <c r="J385" s="57">
        <v>164.4</v>
      </c>
      <c r="K385" s="57">
        <v>958.93</v>
      </c>
      <c r="L385" s="57">
        <v>8904.07</v>
      </c>
      <c r="M385" s="54" t="s">
        <v>249</v>
      </c>
      <c r="N385" s="54" t="s">
        <v>79</v>
      </c>
      <c r="O385" s="54" t="s">
        <v>193</v>
      </c>
      <c r="P385" s="54" t="s">
        <v>250</v>
      </c>
    </row>
    <row r="386" spans="1:16" ht="17.45" customHeight="1" x14ac:dyDescent="0.25">
      <c r="A386" s="54" t="s">
        <v>692</v>
      </c>
      <c r="B386" s="54" t="s">
        <v>244</v>
      </c>
      <c r="C386" s="56">
        <f>DATE(2020,7,31)</f>
        <v>44043</v>
      </c>
      <c r="D386" s="56">
        <f>DATE(2020,7,31)</f>
        <v>44043</v>
      </c>
      <c r="E386" s="57">
        <v>19540.240000000002</v>
      </c>
      <c r="F386" s="54" t="s">
        <v>191</v>
      </c>
      <c r="G386" s="58">
        <v>35</v>
      </c>
      <c r="H386" s="56">
        <f t="shared" si="24"/>
        <v>45107</v>
      </c>
      <c r="I386" s="57">
        <v>46.52</v>
      </c>
      <c r="J386" s="57">
        <v>279.12</v>
      </c>
      <c r="K386" s="57">
        <v>1628.32</v>
      </c>
      <c r="L386" s="57">
        <v>17911.919999999998</v>
      </c>
      <c r="M386" s="54" t="s">
        <v>245</v>
      </c>
      <c r="N386" s="54" t="s">
        <v>79</v>
      </c>
      <c r="O386" s="54" t="s">
        <v>193</v>
      </c>
      <c r="P386" s="54" t="s">
        <v>246</v>
      </c>
    </row>
    <row r="387" spans="1:16" ht="17.45" customHeight="1" x14ac:dyDescent="0.25">
      <c r="A387" s="54" t="s">
        <v>693</v>
      </c>
      <c r="B387" s="54" t="s">
        <v>357</v>
      </c>
      <c r="C387" s="56">
        <f>DATE(2020,8,31)</f>
        <v>44074</v>
      </c>
      <c r="D387" s="56">
        <f>DATE(2020,8,31)</f>
        <v>44074</v>
      </c>
      <c r="E387" s="57">
        <v>1153.5</v>
      </c>
      <c r="F387" s="54" t="s">
        <v>191</v>
      </c>
      <c r="G387" s="58">
        <v>30</v>
      </c>
      <c r="H387" s="56">
        <f t="shared" si="24"/>
        <v>45107</v>
      </c>
      <c r="I387" s="57">
        <v>3.2</v>
      </c>
      <c r="J387" s="57">
        <v>19.2</v>
      </c>
      <c r="K387" s="57">
        <v>108.92</v>
      </c>
      <c r="L387" s="57">
        <v>1044.58</v>
      </c>
      <c r="M387" s="54" t="s">
        <v>249</v>
      </c>
      <c r="N387" s="54" t="s">
        <v>79</v>
      </c>
      <c r="O387" s="54" t="s">
        <v>193</v>
      </c>
      <c r="P387" s="54" t="s">
        <v>250</v>
      </c>
    </row>
    <row r="388" spans="1:16" ht="17.45" customHeight="1" x14ac:dyDescent="0.25">
      <c r="A388" s="54" t="s">
        <v>694</v>
      </c>
      <c r="B388" s="54" t="s">
        <v>574</v>
      </c>
      <c r="C388" s="56">
        <f>DATE(2020,8,31)</f>
        <v>44074</v>
      </c>
      <c r="D388" s="56">
        <f>DATE(2020,8,31)</f>
        <v>44074</v>
      </c>
      <c r="E388" s="57">
        <v>9808.6299999999992</v>
      </c>
      <c r="F388" s="54" t="s">
        <v>191</v>
      </c>
      <c r="G388" s="58">
        <v>35</v>
      </c>
      <c r="H388" s="56">
        <f t="shared" si="24"/>
        <v>45107</v>
      </c>
      <c r="I388" s="57">
        <v>23.35</v>
      </c>
      <c r="J388" s="57">
        <v>140.1</v>
      </c>
      <c r="K388" s="57">
        <v>794.02</v>
      </c>
      <c r="L388" s="57">
        <v>9014.61</v>
      </c>
      <c r="M388" s="54" t="s">
        <v>245</v>
      </c>
      <c r="N388" s="54" t="s">
        <v>79</v>
      </c>
      <c r="O388" s="54" t="s">
        <v>193</v>
      </c>
      <c r="P388" s="54" t="s">
        <v>246</v>
      </c>
    </row>
    <row r="389" spans="1:16" ht="17.45" customHeight="1" x14ac:dyDescent="0.25">
      <c r="A389" s="54" t="s">
        <v>695</v>
      </c>
      <c r="B389" s="54" t="s">
        <v>357</v>
      </c>
      <c r="C389" s="56">
        <f>DATE(2020,9,30)</f>
        <v>44104</v>
      </c>
      <c r="D389" s="56">
        <f>DATE(2020,9,30)</f>
        <v>44104</v>
      </c>
      <c r="E389" s="57">
        <v>9024.6200000000008</v>
      </c>
      <c r="F389" s="54" t="s">
        <v>191</v>
      </c>
      <c r="G389" s="58">
        <v>30</v>
      </c>
      <c r="H389" s="56">
        <f t="shared" si="24"/>
        <v>45107</v>
      </c>
      <c r="I389" s="57">
        <v>25.07</v>
      </c>
      <c r="J389" s="57">
        <v>150.41999999999999</v>
      </c>
      <c r="K389" s="57">
        <v>827.27</v>
      </c>
      <c r="L389" s="57">
        <v>8197.35</v>
      </c>
      <c r="M389" s="54" t="s">
        <v>249</v>
      </c>
      <c r="N389" s="54" t="s">
        <v>79</v>
      </c>
      <c r="O389" s="54" t="s">
        <v>193</v>
      </c>
      <c r="P389" s="54" t="s">
        <v>250</v>
      </c>
    </row>
    <row r="390" spans="1:16" ht="17.45" customHeight="1" x14ac:dyDescent="0.25">
      <c r="A390" s="54" t="s">
        <v>696</v>
      </c>
      <c r="B390" s="54" t="s">
        <v>244</v>
      </c>
      <c r="C390" s="56">
        <f>DATE(2020,9,30)</f>
        <v>44104</v>
      </c>
      <c r="D390" s="56">
        <f>DATE(2020,9,30)</f>
        <v>44104</v>
      </c>
      <c r="E390" s="57">
        <v>2123.91</v>
      </c>
      <c r="F390" s="54" t="s">
        <v>191</v>
      </c>
      <c r="G390" s="58">
        <v>35</v>
      </c>
      <c r="H390" s="56">
        <f t="shared" si="24"/>
        <v>45107</v>
      </c>
      <c r="I390" s="57">
        <v>5.0599999999999996</v>
      </c>
      <c r="J390" s="57">
        <v>30.36</v>
      </c>
      <c r="K390" s="57">
        <v>166.89</v>
      </c>
      <c r="L390" s="57">
        <v>1957.02</v>
      </c>
      <c r="M390" s="54" t="s">
        <v>245</v>
      </c>
      <c r="N390" s="54" t="s">
        <v>79</v>
      </c>
      <c r="O390" s="54" t="s">
        <v>193</v>
      </c>
      <c r="P390" s="54" t="s">
        <v>246</v>
      </c>
    </row>
    <row r="391" spans="1:16" ht="17.45" customHeight="1" x14ac:dyDescent="0.25">
      <c r="A391" s="54" t="s">
        <v>697</v>
      </c>
      <c r="B391" s="54" t="s">
        <v>435</v>
      </c>
      <c r="C391" s="56">
        <f>DATE(2020,10,31)</f>
        <v>44135</v>
      </c>
      <c r="D391" s="56">
        <f>DATE(2020,10,31)</f>
        <v>44135</v>
      </c>
      <c r="E391" s="57">
        <v>9099.81</v>
      </c>
      <c r="F391" s="54" t="s">
        <v>191</v>
      </c>
      <c r="G391" s="58">
        <v>30</v>
      </c>
      <c r="H391" s="56">
        <f t="shared" si="24"/>
        <v>45107</v>
      </c>
      <c r="I391" s="57">
        <v>25.28</v>
      </c>
      <c r="J391" s="57">
        <v>151.68</v>
      </c>
      <c r="K391" s="57">
        <v>808.89</v>
      </c>
      <c r="L391" s="57">
        <v>8290.92</v>
      </c>
      <c r="M391" s="54" t="s">
        <v>249</v>
      </c>
      <c r="N391" s="54" t="s">
        <v>79</v>
      </c>
      <c r="O391" s="54" t="s">
        <v>193</v>
      </c>
      <c r="P391" s="54" t="s">
        <v>250</v>
      </c>
    </row>
    <row r="392" spans="1:16" ht="17.45" customHeight="1" x14ac:dyDescent="0.25">
      <c r="A392" s="54" t="s">
        <v>698</v>
      </c>
      <c r="B392" s="54" t="s">
        <v>435</v>
      </c>
      <c r="C392" s="56">
        <f>DATE(2020,11,30)</f>
        <v>44165</v>
      </c>
      <c r="D392" s="56">
        <f>DATE(2020,11,30)</f>
        <v>44165</v>
      </c>
      <c r="E392" s="57">
        <v>5251.55</v>
      </c>
      <c r="F392" s="54" t="s">
        <v>191</v>
      </c>
      <c r="G392" s="58">
        <v>30</v>
      </c>
      <c r="H392" s="56">
        <f t="shared" si="24"/>
        <v>45107</v>
      </c>
      <c r="I392" s="57">
        <v>14.59</v>
      </c>
      <c r="J392" s="57">
        <v>87.54</v>
      </c>
      <c r="K392" s="57">
        <v>452.23</v>
      </c>
      <c r="L392" s="57">
        <v>4799.32</v>
      </c>
      <c r="M392" s="54" t="s">
        <v>249</v>
      </c>
      <c r="N392" s="54" t="s">
        <v>79</v>
      </c>
      <c r="O392" s="54" t="s">
        <v>193</v>
      </c>
      <c r="P392" s="54" t="s">
        <v>250</v>
      </c>
    </row>
    <row r="393" spans="1:16" ht="17.45" customHeight="1" x14ac:dyDescent="0.25">
      <c r="A393" s="54" t="s">
        <v>699</v>
      </c>
      <c r="B393" s="54" t="s">
        <v>700</v>
      </c>
      <c r="C393" s="56">
        <f>DATE(2020,11,30)</f>
        <v>44165</v>
      </c>
      <c r="D393" s="56">
        <f>DATE(2020,11,30)</f>
        <v>44165</v>
      </c>
      <c r="E393" s="57">
        <v>6940.75</v>
      </c>
      <c r="F393" s="54" t="s">
        <v>191</v>
      </c>
      <c r="G393" s="58">
        <v>35</v>
      </c>
      <c r="H393" s="56">
        <f t="shared" si="24"/>
        <v>45107</v>
      </c>
      <c r="I393" s="57">
        <v>16.53</v>
      </c>
      <c r="J393" s="57">
        <v>99.18</v>
      </c>
      <c r="K393" s="57">
        <v>512.33000000000004</v>
      </c>
      <c r="L393" s="57">
        <v>6428.42</v>
      </c>
      <c r="M393" s="54" t="s">
        <v>245</v>
      </c>
      <c r="N393" s="54" t="s">
        <v>79</v>
      </c>
      <c r="O393" s="54" t="s">
        <v>193</v>
      </c>
      <c r="P393" s="54" t="s">
        <v>246</v>
      </c>
    </row>
    <row r="394" spans="1:16" ht="17.45" customHeight="1" x14ac:dyDescent="0.25">
      <c r="A394" s="54" t="s">
        <v>701</v>
      </c>
      <c r="B394" s="54" t="s">
        <v>357</v>
      </c>
      <c r="C394" s="56">
        <f t="shared" ref="C394:D399" si="26">DATE(2020,12,31)</f>
        <v>44196</v>
      </c>
      <c r="D394" s="56">
        <f t="shared" si="26"/>
        <v>44196</v>
      </c>
      <c r="E394" s="57">
        <v>3437.7</v>
      </c>
      <c r="F394" s="54" t="s">
        <v>191</v>
      </c>
      <c r="G394" s="58">
        <v>30</v>
      </c>
      <c r="H394" s="56">
        <f t="shared" si="24"/>
        <v>45107</v>
      </c>
      <c r="I394" s="57">
        <v>9.5500000000000007</v>
      </c>
      <c r="J394" s="57">
        <v>57.3</v>
      </c>
      <c r="K394" s="57">
        <v>286.48</v>
      </c>
      <c r="L394" s="57">
        <v>3151.22</v>
      </c>
      <c r="M394" s="54" t="s">
        <v>249</v>
      </c>
      <c r="N394" s="54" t="s">
        <v>79</v>
      </c>
      <c r="O394" s="54" t="s">
        <v>193</v>
      </c>
      <c r="P394" s="54" t="s">
        <v>250</v>
      </c>
    </row>
    <row r="395" spans="1:16" ht="17.45" customHeight="1" x14ac:dyDescent="0.25">
      <c r="A395" s="54" t="s">
        <v>702</v>
      </c>
      <c r="B395" s="54" t="s">
        <v>703</v>
      </c>
      <c r="C395" s="56">
        <f t="shared" si="26"/>
        <v>44196</v>
      </c>
      <c r="D395" s="56">
        <f t="shared" si="26"/>
        <v>44196</v>
      </c>
      <c r="E395" s="57">
        <v>38585.050000000003</v>
      </c>
      <c r="F395" s="54" t="s">
        <v>191</v>
      </c>
      <c r="G395" s="58">
        <v>35</v>
      </c>
      <c r="H395" s="56">
        <f t="shared" si="24"/>
        <v>45107</v>
      </c>
      <c r="I395" s="57">
        <v>91.87</v>
      </c>
      <c r="J395" s="57">
        <v>551.22</v>
      </c>
      <c r="K395" s="57">
        <v>2756.08</v>
      </c>
      <c r="L395" s="57">
        <v>35828.97</v>
      </c>
      <c r="M395" s="54" t="s">
        <v>245</v>
      </c>
      <c r="N395" s="54" t="s">
        <v>79</v>
      </c>
      <c r="O395" s="54" t="s">
        <v>193</v>
      </c>
      <c r="P395" s="54" t="s">
        <v>246</v>
      </c>
    </row>
    <row r="396" spans="1:16" ht="17.45" customHeight="1" x14ac:dyDescent="0.25">
      <c r="A396" s="54" t="s">
        <v>704</v>
      </c>
      <c r="B396" s="54" t="s">
        <v>244</v>
      </c>
      <c r="C396" s="56">
        <f t="shared" si="26"/>
        <v>44196</v>
      </c>
      <c r="D396" s="56">
        <f t="shared" si="26"/>
        <v>44196</v>
      </c>
      <c r="E396" s="57">
        <v>2446.16</v>
      </c>
      <c r="F396" s="54" t="s">
        <v>191</v>
      </c>
      <c r="G396" s="58">
        <v>35</v>
      </c>
      <c r="H396" s="56">
        <f t="shared" si="24"/>
        <v>45107</v>
      </c>
      <c r="I396" s="57">
        <v>5.82</v>
      </c>
      <c r="J396" s="57">
        <v>34.92</v>
      </c>
      <c r="K396" s="57">
        <v>174.7</v>
      </c>
      <c r="L396" s="57">
        <v>2271.46</v>
      </c>
      <c r="M396" s="54" t="s">
        <v>245</v>
      </c>
      <c r="N396" s="54" t="s">
        <v>79</v>
      </c>
      <c r="O396" s="54" t="s">
        <v>193</v>
      </c>
      <c r="P396" s="54" t="s">
        <v>246</v>
      </c>
    </row>
    <row r="397" spans="1:16" ht="17.45" customHeight="1" x14ac:dyDescent="0.25">
      <c r="A397" s="54" t="s">
        <v>705</v>
      </c>
      <c r="B397" s="54" t="s">
        <v>706</v>
      </c>
      <c r="C397" s="56">
        <f t="shared" si="26"/>
        <v>44196</v>
      </c>
      <c r="D397" s="56">
        <f t="shared" si="26"/>
        <v>44196</v>
      </c>
      <c r="E397" s="57">
        <v>128788.11</v>
      </c>
      <c r="F397" s="54" t="s">
        <v>191</v>
      </c>
      <c r="G397" s="58">
        <v>35</v>
      </c>
      <c r="H397" s="56">
        <f t="shared" si="24"/>
        <v>45107</v>
      </c>
      <c r="I397" s="57">
        <v>306.64</v>
      </c>
      <c r="J397" s="57">
        <v>1839.84</v>
      </c>
      <c r="K397" s="57">
        <v>9199.16</v>
      </c>
      <c r="L397" s="57">
        <v>119588.95</v>
      </c>
      <c r="M397" s="54" t="s">
        <v>245</v>
      </c>
      <c r="N397" s="54" t="s">
        <v>79</v>
      </c>
      <c r="O397" s="54" t="s">
        <v>193</v>
      </c>
      <c r="P397" s="54" t="s">
        <v>246</v>
      </c>
    </row>
    <row r="398" spans="1:16" ht="17.45" customHeight="1" x14ac:dyDescent="0.25">
      <c r="A398" s="54" t="s">
        <v>707</v>
      </c>
      <c r="B398" s="54" t="s">
        <v>708</v>
      </c>
      <c r="C398" s="56">
        <f t="shared" si="26"/>
        <v>44196</v>
      </c>
      <c r="D398" s="56">
        <f t="shared" si="26"/>
        <v>44196</v>
      </c>
      <c r="E398" s="57">
        <v>74972.100000000006</v>
      </c>
      <c r="F398" s="54" t="s">
        <v>191</v>
      </c>
      <c r="G398" s="58">
        <v>10</v>
      </c>
      <c r="H398" s="56">
        <f t="shared" si="24"/>
        <v>45107</v>
      </c>
      <c r="I398" s="57">
        <v>624.77</v>
      </c>
      <c r="J398" s="57">
        <v>3748.62</v>
      </c>
      <c r="K398" s="57">
        <v>18743.04</v>
      </c>
      <c r="L398" s="57">
        <v>56229.06</v>
      </c>
      <c r="M398" s="54" t="s">
        <v>534</v>
      </c>
      <c r="N398" s="54" t="s">
        <v>79</v>
      </c>
      <c r="O398" s="54" t="s">
        <v>193</v>
      </c>
      <c r="P398" s="54" t="s">
        <v>231</v>
      </c>
    </row>
    <row r="399" spans="1:16" ht="17.45" customHeight="1" x14ac:dyDescent="0.25">
      <c r="A399" s="54" t="s">
        <v>709</v>
      </c>
      <c r="B399" s="54" t="s">
        <v>710</v>
      </c>
      <c r="C399" s="56">
        <f t="shared" si="26"/>
        <v>44196</v>
      </c>
      <c r="D399" s="56">
        <f t="shared" si="26"/>
        <v>44196</v>
      </c>
      <c r="E399" s="57">
        <v>79717.52</v>
      </c>
      <c r="F399" s="54" t="s">
        <v>191</v>
      </c>
      <c r="G399" s="58">
        <v>10</v>
      </c>
      <c r="H399" s="56">
        <f t="shared" si="24"/>
        <v>45107</v>
      </c>
      <c r="I399" s="57">
        <v>664.31</v>
      </c>
      <c r="J399" s="57">
        <v>3985.86</v>
      </c>
      <c r="K399" s="57">
        <v>19929.36</v>
      </c>
      <c r="L399" s="57">
        <v>59788.160000000003</v>
      </c>
      <c r="M399" s="54" t="s">
        <v>711</v>
      </c>
      <c r="N399" s="54" t="s">
        <v>79</v>
      </c>
      <c r="O399" s="54" t="s">
        <v>193</v>
      </c>
      <c r="P399" s="54" t="s">
        <v>538</v>
      </c>
    </row>
    <row r="400" spans="1:16" ht="17.45" customHeight="1" x14ac:dyDescent="0.25">
      <c r="A400" s="54" t="s">
        <v>712</v>
      </c>
      <c r="B400" s="54" t="s">
        <v>574</v>
      </c>
      <c r="C400" s="56">
        <f>DATE(2021,1,31)</f>
        <v>44227</v>
      </c>
      <c r="D400" s="56">
        <f>DATE(2021,1,31)</f>
        <v>44227</v>
      </c>
      <c r="E400" s="57">
        <v>5470.63</v>
      </c>
      <c r="F400" s="54" t="s">
        <v>191</v>
      </c>
      <c r="G400" s="58">
        <v>35</v>
      </c>
      <c r="H400" s="56">
        <f t="shared" si="24"/>
        <v>45107</v>
      </c>
      <c r="I400" s="57">
        <v>13.03</v>
      </c>
      <c r="J400" s="57">
        <v>78.180000000000007</v>
      </c>
      <c r="K400" s="57">
        <v>377.76</v>
      </c>
      <c r="L400" s="57">
        <v>5092.87</v>
      </c>
      <c r="M400" s="54" t="s">
        <v>245</v>
      </c>
      <c r="N400" s="54" t="s">
        <v>79</v>
      </c>
      <c r="O400" s="54" t="s">
        <v>193</v>
      </c>
      <c r="P400" s="54" t="s">
        <v>246</v>
      </c>
    </row>
    <row r="401" spans="1:16" ht="17.45" customHeight="1" x14ac:dyDescent="0.25">
      <c r="A401" s="54" t="s">
        <v>713</v>
      </c>
      <c r="B401" s="54" t="s">
        <v>357</v>
      </c>
      <c r="C401" s="56">
        <f>DATE(2021,1,31)</f>
        <v>44227</v>
      </c>
      <c r="D401" s="56">
        <f>DATE(2021,1,31)</f>
        <v>44227</v>
      </c>
      <c r="E401" s="57">
        <v>8128.19</v>
      </c>
      <c r="F401" s="54" t="s">
        <v>191</v>
      </c>
      <c r="G401" s="58">
        <v>30</v>
      </c>
      <c r="H401" s="56">
        <f t="shared" si="24"/>
        <v>45107</v>
      </c>
      <c r="I401" s="57">
        <v>22.58</v>
      </c>
      <c r="J401" s="57">
        <v>135.47999999999999</v>
      </c>
      <c r="K401" s="57">
        <v>654.78</v>
      </c>
      <c r="L401" s="57">
        <v>7473.41</v>
      </c>
      <c r="M401" s="54" t="s">
        <v>249</v>
      </c>
      <c r="N401" s="54" t="s">
        <v>79</v>
      </c>
      <c r="O401" s="54" t="s">
        <v>193</v>
      </c>
      <c r="P401" s="54" t="s">
        <v>250</v>
      </c>
    </row>
    <row r="402" spans="1:16" ht="17.45" customHeight="1" x14ac:dyDescent="0.25">
      <c r="A402" s="54" t="s">
        <v>714</v>
      </c>
      <c r="B402" s="54" t="s">
        <v>357</v>
      </c>
      <c r="C402" s="56">
        <f>DATE(2021,3,31)</f>
        <v>44286</v>
      </c>
      <c r="D402" s="56">
        <f>DATE(2021,3,31)</f>
        <v>44286</v>
      </c>
      <c r="E402" s="57">
        <v>13300.7</v>
      </c>
      <c r="F402" s="54" t="s">
        <v>191</v>
      </c>
      <c r="G402" s="58">
        <v>30</v>
      </c>
      <c r="H402" s="56">
        <f t="shared" si="24"/>
        <v>45107</v>
      </c>
      <c r="I402" s="57">
        <v>36.950000000000003</v>
      </c>
      <c r="J402" s="57">
        <v>221.7</v>
      </c>
      <c r="K402" s="57">
        <v>997.58</v>
      </c>
      <c r="L402" s="57">
        <v>12303.12</v>
      </c>
      <c r="M402" s="54" t="s">
        <v>249</v>
      </c>
      <c r="N402" s="54" t="s">
        <v>79</v>
      </c>
      <c r="O402" s="54" t="s">
        <v>193</v>
      </c>
      <c r="P402" s="54" t="s">
        <v>250</v>
      </c>
    </row>
    <row r="403" spans="1:16" ht="17.45" customHeight="1" x14ac:dyDescent="0.25">
      <c r="A403" s="54" t="s">
        <v>715</v>
      </c>
      <c r="B403" s="54" t="s">
        <v>244</v>
      </c>
      <c r="C403" s="56">
        <f>DATE(2021,3,31)</f>
        <v>44286</v>
      </c>
      <c r="D403" s="56">
        <f>DATE(2021,3,31)</f>
        <v>44286</v>
      </c>
      <c r="E403" s="57">
        <v>8687.84</v>
      </c>
      <c r="F403" s="54" t="s">
        <v>191</v>
      </c>
      <c r="G403" s="58">
        <v>35</v>
      </c>
      <c r="H403" s="56">
        <f t="shared" si="24"/>
        <v>45107</v>
      </c>
      <c r="I403" s="57">
        <v>20.69</v>
      </c>
      <c r="J403" s="57">
        <v>124.14</v>
      </c>
      <c r="K403" s="57">
        <v>558.53</v>
      </c>
      <c r="L403" s="57">
        <v>8129.31</v>
      </c>
      <c r="M403" s="54" t="s">
        <v>245</v>
      </c>
      <c r="N403" s="54" t="s">
        <v>79</v>
      </c>
      <c r="O403" s="54" t="s">
        <v>193</v>
      </c>
      <c r="P403" s="54" t="s">
        <v>246</v>
      </c>
    </row>
    <row r="404" spans="1:16" ht="17.45" customHeight="1" x14ac:dyDescent="0.25">
      <c r="A404" s="54" t="s">
        <v>716</v>
      </c>
      <c r="B404" s="54" t="s">
        <v>357</v>
      </c>
      <c r="C404" s="56">
        <f>DATE(2021,4,30)</f>
        <v>44316</v>
      </c>
      <c r="D404" s="56">
        <f>DATE(2021,4,30)</f>
        <v>44316</v>
      </c>
      <c r="E404" s="57">
        <v>11317.46</v>
      </c>
      <c r="F404" s="54" t="s">
        <v>191</v>
      </c>
      <c r="G404" s="58">
        <v>30</v>
      </c>
      <c r="H404" s="56">
        <f t="shared" si="24"/>
        <v>45107</v>
      </c>
      <c r="I404" s="57">
        <v>31.44</v>
      </c>
      <c r="J404" s="57">
        <v>188.64</v>
      </c>
      <c r="K404" s="57">
        <v>817.39</v>
      </c>
      <c r="L404" s="57">
        <v>10500.07</v>
      </c>
      <c r="M404" s="54" t="s">
        <v>249</v>
      </c>
      <c r="N404" s="54" t="s">
        <v>79</v>
      </c>
      <c r="O404" s="54" t="s">
        <v>193</v>
      </c>
      <c r="P404" s="54" t="s">
        <v>250</v>
      </c>
    </row>
    <row r="405" spans="1:16" ht="17.45" customHeight="1" x14ac:dyDescent="0.25">
      <c r="A405" s="54" t="s">
        <v>717</v>
      </c>
      <c r="B405" s="54" t="s">
        <v>244</v>
      </c>
      <c r="C405" s="56">
        <f>DATE(2021,4,30)</f>
        <v>44316</v>
      </c>
      <c r="D405" s="56">
        <f>DATE(2021,4,30)</f>
        <v>44316</v>
      </c>
      <c r="E405" s="57">
        <v>5863.78</v>
      </c>
      <c r="F405" s="54" t="s">
        <v>191</v>
      </c>
      <c r="G405" s="58">
        <v>35</v>
      </c>
      <c r="H405" s="56">
        <f t="shared" si="24"/>
        <v>45107</v>
      </c>
      <c r="I405" s="57">
        <v>13.96</v>
      </c>
      <c r="J405" s="57">
        <v>83.76</v>
      </c>
      <c r="K405" s="57">
        <v>362.99</v>
      </c>
      <c r="L405" s="57">
        <v>5500.79</v>
      </c>
      <c r="M405" s="54" t="s">
        <v>245</v>
      </c>
      <c r="N405" s="54" t="s">
        <v>79</v>
      </c>
      <c r="O405" s="54" t="s">
        <v>193</v>
      </c>
      <c r="P405" s="54" t="s">
        <v>246</v>
      </c>
    </row>
    <row r="406" spans="1:16" ht="17.45" customHeight="1" x14ac:dyDescent="0.25">
      <c r="A406" s="54" t="s">
        <v>718</v>
      </c>
      <c r="B406" s="54" t="s">
        <v>529</v>
      </c>
      <c r="C406" s="56">
        <f>DATE(2021,5,31)</f>
        <v>44347</v>
      </c>
      <c r="D406" s="56">
        <f>DATE(2021,5,31)</f>
        <v>44347</v>
      </c>
      <c r="E406" s="57">
        <v>12992.57</v>
      </c>
      <c r="F406" s="54" t="s">
        <v>191</v>
      </c>
      <c r="G406" s="58">
        <v>35</v>
      </c>
      <c r="H406" s="56">
        <f t="shared" si="24"/>
        <v>45107</v>
      </c>
      <c r="I406" s="57">
        <v>30.93</v>
      </c>
      <c r="J406" s="57">
        <v>185.58</v>
      </c>
      <c r="K406" s="57">
        <v>773.34</v>
      </c>
      <c r="L406" s="57">
        <v>12219.23</v>
      </c>
      <c r="M406" s="54" t="s">
        <v>245</v>
      </c>
      <c r="N406" s="54" t="s">
        <v>79</v>
      </c>
      <c r="O406" s="54" t="s">
        <v>193</v>
      </c>
      <c r="P406" s="54" t="s">
        <v>246</v>
      </c>
    </row>
    <row r="407" spans="1:16" ht="17.45" customHeight="1" x14ac:dyDescent="0.25">
      <c r="A407" s="54" t="s">
        <v>719</v>
      </c>
      <c r="B407" s="54" t="s">
        <v>357</v>
      </c>
      <c r="C407" s="56">
        <f>DATE(2021,5,31)</f>
        <v>44347</v>
      </c>
      <c r="D407" s="56">
        <f>DATE(2021,5,31)</f>
        <v>44347</v>
      </c>
      <c r="E407" s="57">
        <v>4479.1899999999996</v>
      </c>
      <c r="F407" s="54" t="s">
        <v>191</v>
      </c>
      <c r="G407" s="58">
        <v>30</v>
      </c>
      <c r="H407" s="56">
        <f t="shared" si="24"/>
        <v>45107</v>
      </c>
      <c r="I407" s="57">
        <v>12.44</v>
      </c>
      <c r="J407" s="57">
        <v>74.64</v>
      </c>
      <c r="K407" s="57">
        <v>311.05</v>
      </c>
      <c r="L407" s="57">
        <v>4168.1400000000003</v>
      </c>
      <c r="M407" s="54" t="s">
        <v>249</v>
      </c>
      <c r="N407" s="54" t="s">
        <v>79</v>
      </c>
      <c r="O407" s="54" t="s">
        <v>193</v>
      </c>
      <c r="P407" s="54" t="s">
        <v>250</v>
      </c>
    </row>
    <row r="408" spans="1:16" ht="17.45" customHeight="1" x14ac:dyDescent="0.25">
      <c r="A408" s="54" t="s">
        <v>720</v>
      </c>
      <c r="B408" s="54" t="s">
        <v>357</v>
      </c>
      <c r="C408" s="56">
        <f>DATE(2021,6,30)</f>
        <v>44377</v>
      </c>
      <c r="D408" s="56">
        <f>DATE(2021,6,30)</f>
        <v>44377</v>
      </c>
      <c r="E408" s="57">
        <v>4191.3500000000004</v>
      </c>
      <c r="F408" s="54" t="s">
        <v>191</v>
      </c>
      <c r="G408" s="58">
        <v>30</v>
      </c>
      <c r="H408" s="56">
        <f t="shared" si="24"/>
        <v>45107</v>
      </c>
      <c r="I408" s="57">
        <v>11.64</v>
      </c>
      <c r="J408" s="57">
        <v>69.84</v>
      </c>
      <c r="K408" s="57">
        <v>279.41000000000003</v>
      </c>
      <c r="L408" s="57">
        <v>3911.94</v>
      </c>
      <c r="M408" s="54" t="s">
        <v>249</v>
      </c>
      <c r="N408" s="54" t="s">
        <v>79</v>
      </c>
      <c r="O408" s="54" t="s">
        <v>193</v>
      </c>
      <c r="P408" s="54" t="s">
        <v>250</v>
      </c>
    </row>
    <row r="409" spans="1:16" ht="17.45" customHeight="1" x14ac:dyDescent="0.25">
      <c r="A409" s="54" t="s">
        <v>721</v>
      </c>
      <c r="B409" s="54" t="s">
        <v>244</v>
      </c>
      <c r="C409" s="56">
        <f>DATE(2021,6,30)</f>
        <v>44377</v>
      </c>
      <c r="D409" s="56">
        <f>DATE(2021,6,30)</f>
        <v>44377</v>
      </c>
      <c r="E409" s="57">
        <v>17222.3</v>
      </c>
      <c r="F409" s="54" t="s">
        <v>191</v>
      </c>
      <c r="G409" s="58">
        <v>35</v>
      </c>
      <c r="H409" s="56">
        <f t="shared" si="24"/>
        <v>45107</v>
      </c>
      <c r="I409" s="57">
        <v>41.01</v>
      </c>
      <c r="J409" s="57">
        <v>246.06</v>
      </c>
      <c r="K409" s="57">
        <v>984.16</v>
      </c>
      <c r="L409" s="57">
        <v>16238.14</v>
      </c>
      <c r="M409" s="54" t="s">
        <v>245</v>
      </c>
      <c r="N409" s="54" t="s">
        <v>79</v>
      </c>
      <c r="O409" s="54" t="s">
        <v>193</v>
      </c>
      <c r="P409" s="54" t="s">
        <v>246</v>
      </c>
    </row>
    <row r="410" spans="1:16" ht="17.45" customHeight="1" x14ac:dyDescent="0.25">
      <c r="A410" s="54" t="s">
        <v>722</v>
      </c>
      <c r="B410" s="54" t="s">
        <v>357</v>
      </c>
      <c r="C410" s="56">
        <f>DATE(2021,7,31)</f>
        <v>44408</v>
      </c>
      <c r="D410" s="56">
        <f>DATE(2021,7,31)</f>
        <v>44408</v>
      </c>
      <c r="E410" s="57">
        <v>7086.26</v>
      </c>
      <c r="F410" s="54" t="s">
        <v>191</v>
      </c>
      <c r="G410" s="58">
        <v>30</v>
      </c>
      <c r="H410" s="56">
        <f t="shared" si="24"/>
        <v>45107</v>
      </c>
      <c r="I410" s="57">
        <v>19.68</v>
      </c>
      <c r="J410" s="57">
        <v>118.08</v>
      </c>
      <c r="K410" s="57">
        <v>452.71</v>
      </c>
      <c r="L410" s="57">
        <v>6633.55</v>
      </c>
      <c r="M410" s="54" t="s">
        <v>249</v>
      </c>
      <c r="N410" s="54" t="s">
        <v>79</v>
      </c>
      <c r="O410" s="54" t="s">
        <v>193</v>
      </c>
      <c r="P410" s="54" t="s">
        <v>250</v>
      </c>
    </row>
    <row r="411" spans="1:16" ht="17.45" customHeight="1" x14ac:dyDescent="0.25">
      <c r="A411" s="54" t="s">
        <v>723</v>
      </c>
      <c r="B411" s="54" t="s">
        <v>574</v>
      </c>
      <c r="C411" s="56">
        <f>DATE(2021,7,31)</f>
        <v>44408</v>
      </c>
      <c r="D411" s="56">
        <f>DATE(2021,7,31)</f>
        <v>44408</v>
      </c>
      <c r="E411" s="57">
        <v>12760.39</v>
      </c>
      <c r="F411" s="54" t="s">
        <v>191</v>
      </c>
      <c r="G411" s="58">
        <v>35</v>
      </c>
      <c r="H411" s="56">
        <f t="shared" si="24"/>
        <v>45107</v>
      </c>
      <c r="I411" s="57">
        <v>30.38</v>
      </c>
      <c r="J411" s="57">
        <v>182.28</v>
      </c>
      <c r="K411" s="57">
        <v>698.77</v>
      </c>
      <c r="L411" s="57">
        <v>12061.62</v>
      </c>
      <c r="M411" s="54" t="s">
        <v>245</v>
      </c>
      <c r="N411" s="54" t="s">
        <v>79</v>
      </c>
      <c r="O411" s="54" t="s">
        <v>193</v>
      </c>
      <c r="P411" s="54" t="s">
        <v>246</v>
      </c>
    </row>
    <row r="412" spans="1:16" ht="17.45" customHeight="1" x14ac:dyDescent="0.25">
      <c r="A412" s="54" t="s">
        <v>724</v>
      </c>
      <c r="B412" s="54" t="s">
        <v>357</v>
      </c>
      <c r="C412" s="56">
        <f>DATE(2021,8,31)</f>
        <v>44439</v>
      </c>
      <c r="D412" s="56">
        <f>DATE(2021,8,31)</f>
        <v>44439</v>
      </c>
      <c r="E412" s="57">
        <v>10998.68</v>
      </c>
      <c r="F412" s="54" t="s">
        <v>191</v>
      </c>
      <c r="G412" s="58">
        <v>30</v>
      </c>
      <c r="H412" s="56">
        <f t="shared" si="24"/>
        <v>45107</v>
      </c>
      <c r="I412" s="57">
        <v>30.55</v>
      </c>
      <c r="J412" s="57">
        <v>183.3</v>
      </c>
      <c r="K412" s="57">
        <v>672.13</v>
      </c>
      <c r="L412" s="57">
        <v>10326.549999999999</v>
      </c>
      <c r="M412" s="54" t="s">
        <v>249</v>
      </c>
      <c r="N412" s="54" t="s">
        <v>79</v>
      </c>
      <c r="O412" s="54" t="s">
        <v>193</v>
      </c>
      <c r="P412" s="54" t="s">
        <v>250</v>
      </c>
    </row>
    <row r="413" spans="1:16" ht="17.45" customHeight="1" x14ac:dyDescent="0.25">
      <c r="A413" s="54" t="s">
        <v>725</v>
      </c>
      <c r="B413" s="54" t="s">
        <v>443</v>
      </c>
      <c r="C413" s="56">
        <f>DATE(2021,8,31)</f>
        <v>44439</v>
      </c>
      <c r="D413" s="56">
        <f>DATE(2021,8,31)</f>
        <v>44439</v>
      </c>
      <c r="E413" s="57">
        <v>16712.2</v>
      </c>
      <c r="F413" s="54" t="s">
        <v>191</v>
      </c>
      <c r="G413" s="58">
        <v>35</v>
      </c>
      <c r="H413" s="56">
        <f t="shared" si="24"/>
        <v>45107</v>
      </c>
      <c r="I413" s="57">
        <v>39.79</v>
      </c>
      <c r="J413" s="57">
        <v>238.74</v>
      </c>
      <c r="K413" s="57">
        <v>875.39</v>
      </c>
      <c r="L413" s="57">
        <v>15836.81</v>
      </c>
      <c r="M413" s="54" t="s">
        <v>245</v>
      </c>
      <c r="N413" s="54" t="s">
        <v>79</v>
      </c>
      <c r="O413" s="54" t="s">
        <v>193</v>
      </c>
      <c r="P413" s="54" t="s">
        <v>246</v>
      </c>
    </row>
    <row r="414" spans="1:16" ht="17.45" customHeight="1" x14ac:dyDescent="0.25">
      <c r="A414" s="54" t="s">
        <v>726</v>
      </c>
      <c r="B414" s="54" t="s">
        <v>435</v>
      </c>
      <c r="C414" s="56">
        <f>DATE(2021,9,30)</f>
        <v>44469</v>
      </c>
      <c r="D414" s="56">
        <f>DATE(2021,9,30)</f>
        <v>44469</v>
      </c>
      <c r="E414" s="57">
        <v>3883.76</v>
      </c>
      <c r="F414" s="54" t="s">
        <v>191</v>
      </c>
      <c r="G414" s="58">
        <v>30</v>
      </c>
      <c r="H414" s="56">
        <f t="shared" si="24"/>
        <v>45107</v>
      </c>
      <c r="I414" s="57">
        <v>10.79</v>
      </c>
      <c r="J414" s="57">
        <v>64.739999999999995</v>
      </c>
      <c r="K414" s="57">
        <v>226.56</v>
      </c>
      <c r="L414" s="57">
        <v>3657.2</v>
      </c>
      <c r="M414" s="54" t="s">
        <v>249</v>
      </c>
      <c r="N414" s="54" t="s">
        <v>79</v>
      </c>
      <c r="O414" s="54" t="s">
        <v>193</v>
      </c>
      <c r="P414" s="54" t="s">
        <v>250</v>
      </c>
    </row>
    <row r="415" spans="1:16" ht="17.45" customHeight="1" x14ac:dyDescent="0.25">
      <c r="A415" s="54" t="s">
        <v>727</v>
      </c>
      <c r="B415" s="54" t="s">
        <v>443</v>
      </c>
      <c r="C415" s="56">
        <f>DATE(2021,9,30)</f>
        <v>44469</v>
      </c>
      <c r="D415" s="56">
        <f>DATE(2021,9,30)</f>
        <v>44469</v>
      </c>
      <c r="E415" s="57">
        <v>3287.09</v>
      </c>
      <c r="F415" s="54" t="s">
        <v>191</v>
      </c>
      <c r="G415" s="58">
        <v>35</v>
      </c>
      <c r="H415" s="56">
        <f t="shared" si="24"/>
        <v>45107</v>
      </c>
      <c r="I415" s="57">
        <v>7.83</v>
      </c>
      <c r="J415" s="57">
        <v>46.98</v>
      </c>
      <c r="K415" s="57">
        <v>164.38</v>
      </c>
      <c r="L415" s="57">
        <v>3122.71</v>
      </c>
      <c r="M415" s="54" t="s">
        <v>245</v>
      </c>
      <c r="N415" s="54" t="s">
        <v>79</v>
      </c>
      <c r="O415" s="54" t="s">
        <v>193</v>
      </c>
      <c r="P415" s="54" t="s">
        <v>246</v>
      </c>
    </row>
    <row r="416" spans="1:16" ht="17.45" customHeight="1" x14ac:dyDescent="0.25">
      <c r="A416" s="54" t="s">
        <v>728</v>
      </c>
      <c r="B416" s="54" t="s">
        <v>244</v>
      </c>
      <c r="C416" s="56">
        <f>DATE(2021,10,31)</f>
        <v>44500</v>
      </c>
      <c r="D416" s="56">
        <f>DATE(2021,10,31)</f>
        <v>44500</v>
      </c>
      <c r="E416" s="57">
        <v>27188.52</v>
      </c>
      <c r="F416" s="54" t="s">
        <v>191</v>
      </c>
      <c r="G416" s="58">
        <v>35</v>
      </c>
      <c r="H416" s="56">
        <f t="shared" si="24"/>
        <v>45107</v>
      </c>
      <c r="I416" s="57">
        <v>64.73</v>
      </c>
      <c r="J416" s="57">
        <v>388.38</v>
      </c>
      <c r="K416" s="57">
        <v>1294.6600000000001</v>
      </c>
      <c r="L416" s="57">
        <v>25893.86</v>
      </c>
      <c r="M416" s="54" t="s">
        <v>245</v>
      </c>
      <c r="N416" s="54" t="s">
        <v>79</v>
      </c>
      <c r="O416" s="54" t="s">
        <v>193</v>
      </c>
      <c r="P416" s="54" t="s">
        <v>246</v>
      </c>
    </row>
    <row r="417" spans="1:16" ht="17.45" customHeight="1" x14ac:dyDescent="0.25">
      <c r="A417" s="54" t="s">
        <v>729</v>
      </c>
      <c r="B417" s="54" t="s">
        <v>730</v>
      </c>
      <c r="C417" s="56">
        <f>DATE(2021,10,31)</f>
        <v>44500</v>
      </c>
      <c r="D417" s="56">
        <f>DATE(2021,10,31)</f>
        <v>44500</v>
      </c>
      <c r="E417" s="57">
        <v>6493.46</v>
      </c>
      <c r="F417" s="54" t="s">
        <v>191</v>
      </c>
      <c r="G417" s="58">
        <v>30</v>
      </c>
      <c r="H417" s="56">
        <f t="shared" si="24"/>
        <v>45107</v>
      </c>
      <c r="I417" s="57">
        <v>18.04</v>
      </c>
      <c r="J417" s="57">
        <v>108.24</v>
      </c>
      <c r="K417" s="57">
        <v>360.76</v>
      </c>
      <c r="L417" s="57">
        <v>6132.7</v>
      </c>
      <c r="M417" s="54" t="s">
        <v>249</v>
      </c>
      <c r="N417" s="54" t="s">
        <v>79</v>
      </c>
      <c r="O417" s="54" t="s">
        <v>193</v>
      </c>
      <c r="P417" s="54" t="s">
        <v>250</v>
      </c>
    </row>
    <row r="418" spans="1:16" ht="17.45" customHeight="1" x14ac:dyDescent="0.25">
      <c r="A418" s="54" t="s">
        <v>731</v>
      </c>
      <c r="B418" s="54" t="s">
        <v>732</v>
      </c>
      <c r="C418" s="56">
        <f t="shared" ref="C418:D421" si="27">DATE(2021,11,30)</f>
        <v>44530</v>
      </c>
      <c r="D418" s="56">
        <f t="shared" si="27"/>
        <v>44530</v>
      </c>
      <c r="E418" s="57">
        <v>9548.14</v>
      </c>
      <c r="F418" s="54" t="s">
        <v>191</v>
      </c>
      <c r="G418" s="58">
        <v>30</v>
      </c>
      <c r="H418" s="56">
        <f t="shared" si="24"/>
        <v>45107</v>
      </c>
      <c r="I418" s="57">
        <v>26.52</v>
      </c>
      <c r="J418" s="57">
        <v>159.12</v>
      </c>
      <c r="K418" s="57">
        <v>503.91</v>
      </c>
      <c r="L418" s="57">
        <v>9044.23</v>
      </c>
      <c r="M418" s="54" t="s">
        <v>249</v>
      </c>
      <c r="N418" s="54" t="s">
        <v>79</v>
      </c>
      <c r="O418" s="54" t="s">
        <v>193</v>
      </c>
      <c r="P418" s="54" t="s">
        <v>250</v>
      </c>
    </row>
    <row r="419" spans="1:16" ht="17.45" customHeight="1" x14ac:dyDescent="0.25">
      <c r="A419" s="54" t="s">
        <v>733</v>
      </c>
      <c r="B419" s="54" t="s">
        <v>732</v>
      </c>
      <c r="C419" s="56">
        <f t="shared" si="27"/>
        <v>44530</v>
      </c>
      <c r="D419" s="56">
        <f t="shared" si="27"/>
        <v>44530</v>
      </c>
      <c r="E419" s="57">
        <v>7505.32</v>
      </c>
      <c r="F419" s="54" t="s">
        <v>191</v>
      </c>
      <c r="G419" s="58">
        <v>35</v>
      </c>
      <c r="H419" s="56">
        <f t="shared" si="24"/>
        <v>45107</v>
      </c>
      <c r="I419" s="57">
        <v>17.87</v>
      </c>
      <c r="J419" s="57">
        <v>107.22</v>
      </c>
      <c r="K419" s="57">
        <v>339.53</v>
      </c>
      <c r="L419" s="57">
        <v>7165.79</v>
      </c>
      <c r="M419" s="54" t="s">
        <v>245</v>
      </c>
      <c r="N419" s="54" t="s">
        <v>79</v>
      </c>
      <c r="O419" s="54" t="s">
        <v>193</v>
      </c>
      <c r="P419" s="54" t="s">
        <v>246</v>
      </c>
    </row>
    <row r="420" spans="1:16" ht="17.45" customHeight="1" x14ac:dyDescent="0.25">
      <c r="A420" s="54" t="s">
        <v>734</v>
      </c>
      <c r="B420" s="54" t="s">
        <v>735</v>
      </c>
      <c r="C420" s="56">
        <f t="shared" si="27"/>
        <v>44530</v>
      </c>
      <c r="D420" s="56">
        <f t="shared" si="27"/>
        <v>44530</v>
      </c>
      <c r="E420" s="57">
        <v>13213.89</v>
      </c>
      <c r="F420" s="54" t="s">
        <v>191</v>
      </c>
      <c r="G420" s="58">
        <v>35</v>
      </c>
      <c r="H420" s="56">
        <f t="shared" si="24"/>
        <v>45107</v>
      </c>
      <c r="I420" s="57">
        <v>31.46</v>
      </c>
      <c r="J420" s="57">
        <v>188.76</v>
      </c>
      <c r="K420" s="57">
        <v>597.76</v>
      </c>
      <c r="L420" s="57">
        <v>12616.13</v>
      </c>
      <c r="M420" s="54" t="s">
        <v>245</v>
      </c>
      <c r="N420" s="54" t="s">
        <v>79</v>
      </c>
      <c r="O420" s="54" t="s">
        <v>193</v>
      </c>
      <c r="P420" s="54" t="s">
        <v>246</v>
      </c>
    </row>
    <row r="421" spans="1:16" ht="17.45" customHeight="1" x14ac:dyDescent="0.25">
      <c r="A421" s="54" t="s">
        <v>736</v>
      </c>
      <c r="B421" s="54" t="s">
        <v>405</v>
      </c>
      <c r="C421" s="56">
        <f t="shared" si="27"/>
        <v>44530</v>
      </c>
      <c r="D421" s="56">
        <f t="shared" si="27"/>
        <v>44530</v>
      </c>
      <c r="E421" s="57">
        <v>11966.91</v>
      </c>
      <c r="F421" s="54" t="s">
        <v>191</v>
      </c>
      <c r="G421" s="58">
        <v>30</v>
      </c>
      <c r="H421" s="56">
        <f t="shared" si="24"/>
        <v>45107</v>
      </c>
      <c r="I421" s="57">
        <v>33.24</v>
      </c>
      <c r="J421" s="57">
        <v>199.44</v>
      </c>
      <c r="K421" s="57">
        <v>631.58000000000004</v>
      </c>
      <c r="L421" s="57">
        <v>11335.33</v>
      </c>
      <c r="M421" s="54" t="s">
        <v>249</v>
      </c>
      <c r="N421" s="54" t="s">
        <v>79</v>
      </c>
      <c r="O421" s="54" t="s">
        <v>193</v>
      </c>
      <c r="P421" s="54" t="s">
        <v>250</v>
      </c>
    </row>
    <row r="422" spans="1:16" ht="17.45" customHeight="1" x14ac:dyDescent="0.25">
      <c r="A422" s="54" t="s">
        <v>737</v>
      </c>
      <c r="B422" s="54" t="s">
        <v>244</v>
      </c>
      <c r="C422" s="56">
        <f>DATE(2021,12,31)</f>
        <v>44561</v>
      </c>
      <c r="D422" s="56">
        <f>DATE(2021,12,31)</f>
        <v>44561</v>
      </c>
      <c r="E422" s="57">
        <v>14910.52</v>
      </c>
      <c r="F422" s="54" t="s">
        <v>191</v>
      </c>
      <c r="G422" s="58">
        <v>35</v>
      </c>
      <c r="H422" s="56">
        <f t="shared" si="24"/>
        <v>45107</v>
      </c>
      <c r="I422" s="57">
        <v>35.5</v>
      </c>
      <c r="J422" s="57">
        <v>213</v>
      </c>
      <c r="K422" s="57">
        <v>639.01</v>
      </c>
      <c r="L422" s="57">
        <v>14271.51</v>
      </c>
      <c r="M422" s="54" t="s">
        <v>245</v>
      </c>
      <c r="N422" s="54" t="s">
        <v>79</v>
      </c>
      <c r="O422" s="54" t="s">
        <v>193</v>
      </c>
      <c r="P422" s="54" t="s">
        <v>246</v>
      </c>
    </row>
    <row r="423" spans="1:16" ht="17.45" customHeight="1" x14ac:dyDescent="0.25">
      <c r="A423" s="54" t="s">
        <v>738</v>
      </c>
      <c r="B423" s="54" t="s">
        <v>357</v>
      </c>
      <c r="C423" s="56">
        <f>DATE(2021,12,31)</f>
        <v>44561</v>
      </c>
      <c r="D423" s="56">
        <f>DATE(2021,12,31)</f>
        <v>44561</v>
      </c>
      <c r="E423" s="57">
        <v>6832.91</v>
      </c>
      <c r="F423" s="54" t="s">
        <v>191</v>
      </c>
      <c r="G423" s="58">
        <v>30</v>
      </c>
      <c r="H423" s="56">
        <f t="shared" si="24"/>
        <v>45107</v>
      </c>
      <c r="I423" s="57">
        <v>18.98</v>
      </c>
      <c r="J423" s="57">
        <v>113.88</v>
      </c>
      <c r="K423" s="57">
        <v>341.64</v>
      </c>
      <c r="L423" s="57">
        <v>6491.27</v>
      </c>
      <c r="M423" s="54" t="s">
        <v>249</v>
      </c>
      <c r="N423" s="54" t="s">
        <v>79</v>
      </c>
      <c r="O423" s="54" t="s">
        <v>193</v>
      </c>
      <c r="P423" s="54" t="s">
        <v>250</v>
      </c>
    </row>
    <row r="424" spans="1:16" ht="17.45" customHeight="1" x14ac:dyDescent="0.25">
      <c r="A424" s="54" t="s">
        <v>739</v>
      </c>
      <c r="B424" s="54" t="s">
        <v>740</v>
      </c>
      <c r="C424" s="56">
        <f>DATE(2022,2,28)</f>
        <v>44620</v>
      </c>
      <c r="D424" s="56">
        <f>DATE(2022,2,28)</f>
        <v>44620</v>
      </c>
      <c r="E424" s="57">
        <v>1465.1</v>
      </c>
      <c r="F424" s="54" t="s">
        <v>191</v>
      </c>
      <c r="G424" s="58">
        <v>30</v>
      </c>
      <c r="H424" s="56">
        <f t="shared" si="24"/>
        <v>45107</v>
      </c>
      <c r="I424" s="57">
        <v>4.07</v>
      </c>
      <c r="J424" s="57">
        <v>24.42</v>
      </c>
      <c r="K424" s="57">
        <v>65.12</v>
      </c>
      <c r="L424" s="57">
        <v>1399.98</v>
      </c>
      <c r="M424" s="54" t="s">
        <v>249</v>
      </c>
      <c r="N424" s="54" t="s">
        <v>79</v>
      </c>
      <c r="O424" s="54" t="s">
        <v>193</v>
      </c>
      <c r="P424" s="54" t="s">
        <v>250</v>
      </c>
    </row>
    <row r="425" spans="1:16" ht="17.45" customHeight="1" x14ac:dyDescent="0.25">
      <c r="A425" s="54" t="s">
        <v>741</v>
      </c>
      <c r="B425" s="54" t="s">
        <v>735</v>
      </c>
      <c r="C425" s="56">
        <f>DATE(2022,2,28)</f>
        <v>44620</v>
      </c>
      <c r="D425" s="56">
        <f>DATE(2022,2,28)</f>
        <v>44620</v>
      </c>
      <c r="E425" s="57">
        <v>8975.75</v>
      </c>
      <c r="F425" s="54" t="s">
        <v>191</v>
      </c>
      <c r="G425" s="58">
        <v>35</v>
      </c>
      <c r="H425" s="56">
        <f t="shared" si="24"/>
        <v>45107</v>
      </c>
      <c r="I425" s="57">
        <v>21.37</v>
      </c>
      <c r="J425" s="57">
        <v>128.22</v>
      </c>
      <c r="K425" s="57">
        <v>341.93</v>
      </c>
      <c r="L425" s="57">
        <v>8633.82</v>
      </c>
      <c r="M425" s="54" t="s">
        <v>245</v>
      </c>
      <c r="N425" s="54" t="s">
        <v>79</v>
      </c>
      <c r="O425" s="54" t="s">
        <v>193</v>
      </c>
      <c r="P425" s="54" t="s">
        <v>246</v>
      </c>
    </row>
    <row r="426" spans="1:16" ht="17.45" customHeight="1" x14ac:dyDescent="0.25">
      <c r="A426" s="54" t="s">
        <v>742</v>
      </c>
      <c r="B426" s="54" t="s">
        <v>405</v>
      </c>
      <c r="C426" s="56">
        <f>DATE(2022,3,31)</f>
        <v>44651</v>
      </c>
      <c r="D426" s="56">
        <f>DATE(2022,3,31)</f>
        <v>44651</v>
      </c>
      <c r="E426" s="57">
        <v>12689.69</v>
      </c>
      <c r="F426" s="54" t="s">
        <v>191</v>
      </c>
      <c r="G426" s="58">
        <v>30</v>
      </c>
      <c r="H426" s="56">
        <f t="shared" si="24"/>
        <v>45107</v>
      </c>
      <c r="I426" s="57">
        <v>35.25</v>
      </c>
      <c r="J426" s="57">
        <v>211.5</v>
      </c>
      <c r="K426" s="57">
        <v>528.74</v>
      </c>
      <c r="L426" s="57">
        <v>12160.95</v>
      </c>
      <c r="M426" s="54" t="s">
        <v>249</v>
      </c>
      <c r="N426" s="54" t="s">
        <v>79</v>
      </c>
      <c r="O426" s="54" t="s">
        <v>193</v>
      </c>
      <c r="P426" s="54" t="s">
        <v>250</v>
      </c>
    </row>
    <row r="427" spans="1:16" ht="17.45" customHeight="1" x14ac:dyDescent="0.25">
      <c r="A427" s="54" t="s">
        <v>743</v>
      </c>
      <c r="B427" s="54" t="s">
        <v>744</v>
      </c>
      <c r="C427" s="56">
        <f>DATE(2022,3,31)</f>
        <v>44651</v>
      </c>
      <c r="D427" s="56">
        <f>DATE(2022,3,31)</f>
        <v>44651</v>
      </c>
      <c r="E427" s="57">
        <v>9453.7099999999991</v>
      </c>
      <c r="F427" s="54" t="s">
        <v>191</v>
      </c>
      <c r="G427" s="58">
        <v>35</v>
      </c>
      <c r="H427" s="56">
        <f t="shared" si="24"/>
        <v>45107</v>
      </c>
      <c r="I427" s="57">
        <v>22.51</v>
      </c>
      <c r="J427" s="57">
        <v>135.06</v>
      </c>
      <c r="K427" s="57">
        <v>337.64</v>
      </c>
      <c r="L427" s="57">
        <v>9116.07</v>
      </c>
      <c r="M427" s="54" t="s">
        <v>245</v>
      </c>
      <c r="N427" s="54" t="s">
        <v>79</v>
      </c>
      <c r="O427" s="54" t="s">
        <v>193</v>
      </c>
      <c r="P427" s="54" t="s">
        <v>246</v>
      </c>
    </row>
    <row r="428" spans="1:16" ht="17.45" customHeight="1" x14ac:dyDescent="0.25">
      <c r="A428" s="54" t="s">
        <v>745</v>
      </c>
      <c r="B428" s="54" t="s">
        <v>735</v>
      </c>
      <c r="C428" s="56">
        <f>DATE(2022,4,30)</f>
        <v>44681</v>
      </c>
      <c r="D428" s="56">
        <f>DATE(2022,4,30)</f>
        <v>44681</v>
      </c>
      <c r="E428" s="57">
        <v>8921.6</v>
      </c>
      <c r="F428" s="54" t="s">
        <v>191</v>
      </c>
      <c r="G428" s="58">
        <v>35</v>
      </c>
      <c r="H428" s="56">
        <f t="shared" si="24"/>
        <v>45107</v>
      </c>
      <c r="I428" s="57">
        <v>21.24</v>
      </c>
      <c r="J428" s="57">
        <v>127.44</v>
      </c>
      <c r="K428" s="57">
        <v>297.38</v>
      </c>
      <c r="L428" s="57">
        <v>8624.2199999999993</v>
      </c>
      <c r="M428" s="54" t="s">
        <v>245</v>
      </c>
      <c r="N428" s="54" t="s">
        <v>79</v>
      </c>
      <c r="O428" s="54" t="s">
        <v>193</v>
      </c>
      <c r="P428" s="54" t="s">
        <v>246</v>
      </c>
    </row>
    <row r="429" spans="1:16" ht="17.45" customHeight="1" x14ac:dyDescent="0.25">
      <c r="A429" s="54" t="s">
        <v>746</v>
      </c>
      <c r="B429" s="54" t="s">
        <v>405</v>
      </c>
      <c r="C429" s="56">
        <f>DATE(2022,5,31)</f>
        <v>44712</v>
      </c>
      <c r="D429" s="56">
        <f>DATE(2022,5,31)</f>
        <v>44712</v>
      </c>
      <c r="E429" s="57">
        <v>1710.67</v>
      </c>
      <c r="F429" s="54" t="s">
        <v>191</v>
      </c>
      <c r="G429" s="58">
        <v>30</v>
      </c>
      <c r="H429" s="56">
        <f t="shared" si="24"/>
        <v>45107</v>
      </c>
      <c r="I429" s="57">
        <v>4.75</v>
      </c>
      <c r="J429" s="57">
        <v>28.5</v>
      </c>
      <c r="K429" s="57">
        <v>61.76</v>
      </c>
      <c r="L429" s="57">
        <v>1648.91</v>
      </c>
      <c r="M429" s="54" t="s">
        <v>249</v>
      </c>
      <c r="N429" s="54" t="s">
        <v>79</v>
      </c>
      <c r="O429" s="54" t="s">
        <v>193</v>
      </c>
      <c r="P429" s="54" t="s">
        <v>250</v>
      </c>
    </row>
    <row r="430" spans="1:16" ht="17.45" customHeight="1" x14ac:dyDescent="0.25">
      <c r="A430" s="54" t="s">
        <v>747</v>
      </c>
      <c r="B430" s="54" t="s">
        <v>735</v>
      </c>
      <c r="C430" s="56">
        <f>DATE(2022,5,31)</f>
        <v>44712</v>
      </c>
      <c r="D430" s="56">
        <f>DATE(2022,5,31)</f>
        <v>44712</v>
      </c>
      <c r="E430" s="57">
        <v>10748.84</v>
      </c>
      <c r="F430" s="54" t="s">
        <v>191</v>
      </c>
      <c r="G430" s="58">
        <v>35</v>
      </c>
      <c r="H430" s="56">
        <f t="shared" si="24"/>
        <v>45107</v>
      </c>
      <c r="I430" s="57">
        <v>25.59</v>
      </c>
      <c r="J430" s="57">
        <v>153.54</v>
      </c>
      <c r="K430" s="57">
        <v>332.69</v>
      </c>
      <c r="L430" s="57">
        <v>10416.15</v>
      </c>
      <c r="M430" s="54" t="s">
        <v>245</v>
      </c>
      <c r="N430" s="54" t="s">
        <v>79</v>
      </c>
      <c r="O430" s="54" t="s">
        <v>193</v>
      </c>
      <c r="P430" s="54" t="s">
        <v>246</v>
      </c>
    </row>
    <row r="431" spans="1:16" ht="17.45" customHeight="1" x14ac:dyDescent="0.25">
      <c r="A431" s="54" t="s">
        <v>748</v>
      </c>
      <c r="B431" s="54" t="s">
        <v>405</v>
      </c>
      <c r="C431" s="56">
        <f>DATE(2022,6,30)</f>
        <v>44742</v>
      </c>
      <c r="D431" s="56">
        <f>DATE(2022,6,30)</f>
        <v>44742</v>
      </c>
      <c r="E431" s="57">
        <v>3827.5</v>
      </c>
      <c r="F431" s="54" t="s">
        <v>191</v>
      </c>
      <c r="G431" s="58">
        <v>30</v>
      </c>
      <c r="H431" s="56">
        <f t="shared" si="24"/>
        <v>45107</v>
      </c>
      <c r="I431" s="57">
        <v>10.63</v>
      </c>
      <c r="J431" s="57">
        <v>63.78</v>
      </c>
      <c r="K431" s="57">
        <v>127.57</v>
      </c>
      <c r="L431" s="57">
        <v>3699.93</v>
      </c>
      <c r="M431" s="54" t="s">
        <v>249</v>
      </c>
      <c r="N431" s="54" t="s">
        <v>79</v>
      </c>
      <c r="O431" s="54" t="s">
        <v>193</v>
      </c>
      <c r="P431" s="54" t="s">
        <v>250</v>
      </c>
    </row>
    <row r="432" spans="1:16" ht="17.45" customHeight="1" x14ac:dyDescent="0.25">
      <c r="A432" s="54" t="s">
        <v>749</v>
      </c>
      <c r="B432" s="54" t="s">
        <v>744</v>
      </c>
      <c r="C432" s="56">
        <f>DATE(2022,6,30)</f>
        <v>44742</v>
      </c>
      <c r="D432" s="56">
        <f>DATE(2022,6,30)</f>
        <v>44742</v>
      </c>
      <c r="E432" s="57">
        <v>13248.43</v>
      </c>
      <c r="F432" s="54" t="s">
        <v>191</v>
      </c>
      <c r="G432" s="58">
        <v>35</v>
      </c>
      <c r="H432" s="56">
        <f t="shared" si="24"/>
        <v>45107</v>
      </c>
      <c r="I432" s="57">
        <v>31.54</v>
      </c>
      <c r="J432" s="57">
        <v>189.24</v>
      </c>
      <c r="K432" s="57">
        <v>378.5</v>
      </c>
      <c r="L432" s="57">
        <v>12869.93</v>
      </c>
      <c r="M432" s="54" t="s">
        <v>245</v>
      </c>
      <c r="N432" s="54" t="s">
        <v>79</v>
      </c>
      <c r="O432" s="54" t="s">
        <v>193</v>
      </c>
      <c r="P432" s="54" t="s">
        <v>246</v>
      </c>
    </row>
    <row r="433" spans="1:16" ht="17.45" customHeight="1" x14ac:dyDescent="0.25">
      <c r="A433" s="54" t="s">
        <v>750</v>
      </c>
      <c r="B433" s="54" t="s">
        <v>751</v>
      </c>
      <c r="C433" s="56">
        <f t="shared" ref="C433:D435" si="28">DATE(2022,7,31)</f>
        <v>44773</v>
      </c>
      <c r="D433" s="56">
        <f t="shared" si="28"/>
        <v>44773</v>
      </c>
      <c r="E433" s="57">
        <v>11080.44</v>
      </c>
      <c r="F433" s="54" t="s">
        <v>191</v>
      </c>
      <c r="G433" s="58">
        <v>30</v>
      </c>
      <c r="H433" s="56">
        <f t="shared" si="24"/>
        <v>45107</v>
      </c>
      <c r="I433" s="57">
        <v>30.78</v>
      </c>
      <c r="J433" s="57">
        <v>184.68</v>
      </c>
      <c r="K433" s="57">
        <v>338.58</v>
      </c>
      <c r="L433" s="57">
        <v>10741.86</v>
      </c>
      <c r="M433" s="54" t="s">
        <v>249</v>
      </c>
      <c r="N433" s="54" t="s">
        <v>79</v>
      </c>
      <c r="O433" s="54" t="s">
        <v>193</v>
      </c>
      <c r="P433" s="54" t="s">
        <v>250</v>
      </c>
    </row>
    <row r="434" spans="1:16" ht="17.45" customHeight="1" x14ac:dyDescent="0.25">
      <c r="A434" s="54" t="s">
        <v>752</v>
      </c>
      <c r="B434" s="54" t="s">
        <v>357</v>
      </c>
      <c r="C434" s="56">
        <f t="shared" si="28"/>
        <v>44773</v>
      </c>
      <c r="D434" s="56">
        <f t="shared" si="28"/>
        <v>44773</v>
      </c>
      <c r="E434" s="57">
        <v>6957.52</v>
      </c>
      <c r="F434" s="54" t="s">
        <v>191</v>
      </c>
      <c r="G434" s="58">
        <v>30</v>
      </c>
      <c r="H434" s="56">
        <f t="shared" si="24"/>
        <v>45107</v>
      </c>
      <c r="I434" s="57">
        <v>19.329999999999998</v>
      </c>
      <c r="J434" s="57">
        <v>115.98</v>
      </c>
      <c r="K434" s="57">
        <v>212.61</v>
      </c>
      <c r="L434" s="57">
        <v>6744.91</v>
      </c>
      <c r="M434" s="54" t="s">
        <v>249</v>
      </c>
      <c r="N434" s="54" t="s">
        <v>79</v>
      </c>
      <c r="O434" s="54" t="s">
        <v>193</v>
      </c>
      <c r="P434" s="54" t="s">
        <v>250</v>
      </c>
    </row>
    <row r="435" spans="1:16" ht="17.45" customHeight="1" x14ac:dyDescent="0.25">
      <c r="A435" s="54" t="s">
        <v>753</v>
      </c>
      <c r="B435" s="54" t="s">
        <v>754</v>
      </c>
      <c r="C435" s="56">
        <f t="shared" si="28"/>
        <v>44773</v>
      </c>
      <c r="D435" s="56">
        <f t="shared" si="28"/>
        <v>44773</v>
      </c>
      <c r="E435" s="57">
        <v>10922.4</v>
      </c>
      <c r="F435" s="54" t="s">
        <v>191</v>
      </c>
      <c r="G435" s="58">
        <v>35</v>
      </c>
      <c r="H435" s="56">
        <f t="shared" si="24"/>
        <v>45107</v>
      </c>
      <c r="I435" s="57">
        <v>26.01</v>
      </c>
      <c r="J435" s="57">
        <v>156.06</v>
      </c>
      <c r="K435" s="57">
        <v>286.08999999999997</v>
      </c>
      <c r="L435" s="57">
        <v>10636.31</v>
      </c>
      <c r="M435" s="54" t="s">
        <v>245</v>
      </c>
      <c r="N435" s="54" t="s">
        <v>79</v>
      </c>
      <c r="O435" s="54" t="s">
        <v>193</v>
      </c>
      <c r="P435" s="54" t="s">
        <v>246</v>
      </c>
    </row>
    <row r="436" spans="1:16" ht="17.45" customHeight="1" x14ac:dyDescent="0.25">
      <c r="A436" s="54" t="s">
        <v>755</v>
      </c>
      <c r="B436" s="54" t="s">
        <v>735</v>
      </c>
      <c r="C436" s="56">
        <f>DATE(2022,8,31)</f>
        <v>44804</v>
      </c>
      <c r="D436" s="56">
        <f>DATE(2022,8,31)</f>
        <v>44804</v>
      </c>
      <c r="E436" s="57">
        <v>34900.870000000003</v>
      </c>
      <c r="F436" s="54" t="s">
        <v>191</v>
      </c>
      <c r="G436" s="58">
        <v>35</v>
      </c>
      <c r="H436" s="56">
        <f t="shared" si="24"/>
        <v>45107</v>
      </c>
      <c r="I436" s="57">
        <v>83.1</v>
      </c>
      <c r="J436" s="57">
        <v>498.6</v>
      </c>
      <c r="K436" s="57">
        <v>830.99</v>
      </c>
      <c r="L436" s="57">
        <v>34069.879999999997</v>
      </c>
      <c r="M436" s="54" t="s">
        <v>245</v>
      </c>
      <c r="N436" s="54" t="s">
        <v>79</v>
      </c>
      <c r="O436" s="54" t="s">
        <v>193</v>
      </c>
      <c r="P436" s="54" t="s">
        <v>246</v>
      </c>
    </row>
    <row r="437" spans="1:16" ht="17.45" customHeight="1" x14ac:dyDescent="0.25">
      <c r="A437" s="54" t="s">
        <v>756</v>
      </c>
      <c r="B437" s="54" t="s">
        <v>757</v>
      </c>
      <c r="C437" s="56">
        <f>DATE(2022,8,31)</f>
        <v>44804</v>
      </c>
      <c r="D437" s="56">
        <f>DATE(2022,8,31)</f>
        <v>44804</v>
      </c>
      <c r="E437" s="57">
        <v>811.45</v>
      </c>
      <c r="F437" s="54" t="s">
        <v>191</v>
      </c>
      <c r="G437" s="58">
        <v>30</v>
      </c>
      <c r="H437" s="56">
        <f t="shared" si="24"/>
        <v>45107</v>
      </c>
      <c r="I437" s="57">
        <v>2.25</v>
      </c>
      <c r="J437" s="57">
        <v>13.5</v>
      </c>
      <c r="K437" s="57">
        <v>22.52</v>
      </c>
      <c r="L437" s="57">
        <v>788.93</v>
      </c>
      <c r="M437" s="54" t="s">
        <v>249</v>
      </c>
      <c r="N437" s="54" t="s">
        <v>79</v>
      </c>
      <c r="O437" s="54" t="s">
        <v>193</v>
      </c>
      <c r="P437" s="54" t="s">
        <v>250</v>
      </c>
    </row>
    <row r="438" spans="1:16" ht="17.45" customHeight="1" x14ac:dyDescent="0.25">
      <c r="A438" s="54" t="s">
        <v>758</v>
      </c>
      <c r="B438" s="54" t="s">
        <v>735</v>
      </c>
      <c r="C438" s="56">
        <f>DATE(2022,9,30)</f>
        <v>44834</v>
      </c>
      <c r="D438" s="56">
        <f>DATE(2022,9,30)</f>
        <v>44834</v>
      </c>
      <c r="E438" s="57">
        <v>22787.14</v>
      </c>
      <c r="F438" s="54" t="s">
        <v>191</v>
      </c>
      <c r="G438" s="58">
        <v>35</v>
      </c>
      <c r="H438" s="56">
        <f t="shared" si="24"/>
        <v>45107</v>
      </c>
      <c r="I438" s="57">
        <v>54.26</v>
      </c>
      <c r="J438" s="57">
        <v>325.56</v>
      </c>
      <c r="K438" s="57">
        <v>488.33</v>
      </c>
      <c r="L438" s="57">
        <v>22298.81</v>
      </c>
      <c r="M438" s="54" t="s">
        <v>245</v>
      </c>
      <c r="N438" s="54" t="s">
        <v>79</v>
      </c>
      <c r="O438" s="54" t="s">
        <v>193</v>
      </c>
      <c r="P438" s="54" t="s">
        <v>246</v>
      </c>
    </row>
    <row r="439" spans="1:16" ht="17.45" customHeight="1" x14ac:dyDescent="0.25">
      <c r="A439" s="54" t="s">
        <v>759</v>
      </c>
      <c r="B439" s="54" t="s">
        <v>405</v>
      </c>
      <c r="C439" s="56">
        <f>DATE(2022,9,30)</f>
        <v>44834</v>
      </c>
      <c r="D439" s="56">
        <f>DATE(2022,9,30)</f>
        <v>44834</v>
      </c>
      <c r="E439" s="57">
        <v>11561.44</v>
      </c>
      <c r="F439" s="54" t="s">
        <v>191</v>
      </c>
      <c r="G439" s="58">
        <v>30</v>
      </c>
      <c r="H439" s="56">
        <f t="shared" si="24"/>
        <v>45107</v>
      </c>
      <c r="I439" s="57">
        <v>32.119999999999997</v>
      </c>
      <c r="J439" s="57">
        <v>192.72</v>
      </c>
      <c r="K439" s="57">
        <v>289.07</v>
      </c>
      <c r="L439" s="57">
        <v>11272.37</v>
      </c>
      <c r="M439" s="54" t="s">
        <v>249</v>
      </c>
      <c r="N439" s="54" t="s">
        <v>79</v>
      </c>
      <c r="O439" s="54" t="s">
        <v>193</v>
      </c>
      <c r="P439" s="54" t="s">
        <v>250</v>
      </c>
    </row>
    <row r="440" spans="1:16" ht="17.45" customHeight="1" x14ac:dyDescent="0.25">
      <c r="A440" s="54" t="s">
        <v>760</v>
      </c>
      <c r="B440" s="54" t="s">
        <v>405</v>
      </c>
      <c r="C440" s="56">
        <f>DATE(2022,10,31)</f>
        <v>44865</v>
      </c>
      <c r="D440" s="56">
        <f>DATE(2022,10,31)</f>
        <v>44865</v>
      </c>
      <c r="E440" s="57">
        <v>5335.36</v>
      </c>
      <c r="F440" s="54" t="s">
        <v>191</v>
      </c>
      <c r="G440" s="58">
        <v>30</v>
      </c>
      <c r="H440" s="56">
        <f t="shared" si="24"/>
        <v>45107</v>
      </c>
      <c r="I440" s="57">
        <v>14.82</v>
      </c>
      <c r="J440" s="57">
        <v>88.92</v>
      </c>
      <c r="K440" s="57">
        <v>118.56</v>
      </c>
      <c r="L440" s="57">
        <v>5216.8</v>
      </c>
      <c r="M440" s="54" t="s">
        <v>249</v>
      </c>
      <c r="N440" s="54" t="s">
        <v>79</v>
      </c>
      <c r="O440" s="54" t="s">
        <v>193</v>
      </c>
      <c r="P440" s="54" t="s">
        <v>250</v>
      </c>
    </row>
    <row r="441" spans="1:16" ht="17.45" customHeight="1" x14ac:dyDescent="0.25">
      <c r="A441" s="54" t="s">
        <v>761</v>
      </c>
      <c r="B441" s="54" t="s">
        <v>735</v>
      </c>
      <c r="C441" s="56">
        <f>DATE(2022,10,31)</f>
        <v>44865</v>
      </c>
      <c r="D441" s="56">
        <f>DATE(2022,10,31)</f>
        <v>44865</v>
      </c>
      <c r="E441" s="57">
        <v>10565.66</v>
      </c>
      <c r="F441" s="54" t="s">
        <v>191</v>
      </c>
      <c r="G441" s="58">
        <v>35</v>
      </c>
      <c r="H441" s="56">
        <f t="shared" si="24"/>
        <v>45107</v>
      </c>
      <c r="I441" s="57">
        <v>25.16</v>
      </c>
      <c r="J441" s="57">
        <v>150.96</v>
      </c>
      <c r="K441" s="57">
        <v>201.27</v>
      </c>
      <c r="L441" s="57">
        <v>10364.39</v>
      </c>
      <c r="M441" s="54" t="s">
        <v>245</v>
      </c>
      <c r="N441" s="54" t="s">
        <v>79</v>
      </c>
      <c r="O441" s="54" t="s">
        <v>193</v>
      </c>
      <c r="P441" s="54" t="s">
        <v>246</v>
      </c>
    </row>
    <row r="442" spans="1:16" ht="17.45" customHeight="1" x14ac:dyDescent="0.25">
      <c r="A442" s="54" t="s">
        <v>762</v>
      </c>
      <c r="B442" s="54" t="s">
        <v>405</v>
      </c>
      <c r="C442" s="56">
        <f>DATE(2022,11,30)</f>
        <v>44895</v>
      </c>
      <c r="D442" s="56">
        <f>DATE(2022,11,30)</f>
        <v>44895</v>
      </c>
      <c r="E442" s="57">
        <v>6352.62</v>
      </c>
      <c r="F442" s="54" t="s">
        <v>191</v>
      </c>
      <c r="G442" s="58">
        <v>30</v>
      </c>
      <c r="H442" s="56">
        <f t="shared" ref="H442:H468" si="29">DATE(2023,6,30)</f>
        <v>45107</v>
      </c>
      <c r="I442" s="57">
        <v>17.649999999999999</v>
      </c>
      <c r="J442" s="57">
        <v>105.9</v>
      </c>
      <c r="K442" s="57">
        <v>123.55</v>
      </c>
      <c r="L442" s="57">
        <v>6229.07</v>
      </c>
      <c r="M442" s="54" t="s">
        <v>249</v>
      </c>
      <c r="N442" s="54" t="s">
        <v>79</v>
      </c>
      <c r="O442" s="54" t="s">
        <v>193</v>
      </c>
      <c r="P442" s="54" t="s">
        <v>250</v>
      </c>
    </row>
    <row r="443" spans="1:16" ht="17.45" customHeight="1" x14ac:dyDescent="0.25">
      <c r="A443" s="54" t="s">
        <v>763</v>
      </c>
      <c r="B443" s="54" t="s">
        <v>735</v>
      </c>
      <c r="C443" s="56">
        <f>DATE(2022,11,30)</f>
        <v>44895</v>
      </c>
      <c r="D443" s="56">
        <f>DATE(2022,11,30)</f>
        <v>44895</v>
      </c>
      <c r="E443" s="57">
        <v>9392.8700000000008</v>
      </c>
      <c r="F443" s="54" t="s">
        <v>191</v>
      </c>
      <c r="G443" s="58">
        <v>35</v>
      </c>
      <c r="H443" s="56">
        <f t="shared" si="29"/>
        <v>45107</v>
      </c>
      <c r="I443" s="57">
        <v>22.36</v>
      </c>
      <c r="J443" s="57">
        <v>134.16</v>
      </c>
      <c r="K443" s="57">
        <v>156.52000000000001</v>
      </c>
      <c r="L443" s="57">
        <v>9236.35</v>
      </c>
      <c r="M443" s="54" t="s">
        <v>245</v>
      </c>
      <c r="N443" s="54" t="s">
        <v>79</v>
      </c>
      <c r="O443" s="54" t="s">
        <v>193</v>
      </c>
      <c r="P443" s="54" t="s">
        <v>246</v>
      </c>
    </row>
    <row r="444" spans="1:16" ht="17.45" customHeight="1" x14ac:dyDescent="0.25">
      <c r="A444" s="54" t="s">
        <v>764</v>
      </c>
      <c r="B444" s="54" t="s">
        <v>765</v>
      </c>
      <c r="C444" s="56">
        <f t="shared" ref="C444:D448" si="30">DATE(2022,12,31)</f>
        <v>44926</v>
      </c>
      <c r="D444" s="56">
        <f t="shared" si="30"/>
        <v>44926</v>
      </c>
      <c r="E444" s="57">
        <v>54055</v>
      </c>
      <c r="F444" s="54" t="s">
        <v>191</v>
      </c>
      <c r="G444" s="58">
        <v>5</v>
      </c>
      <c r="H444" s="56">
        <f t="shared" si="29"/>
        <v>45107</v>
      </c>
      <c r="I444" s="57">
        <v>900.92</v>
      </c>
      <c r="J444" s="57">
        <v>5405.52</v>
      </c>
      <c r="K444" s="57">
        <v>5405.52</v>
      </c>
      <c r="L444" s="57">
        <v>48649.48</v>
      </c>
      <c r="M444" s="54" t="s">
        <v>249</v>
      </c>
      <c r="N444" s="54" t="s">
        <v>79</v>
      </c>
      <c r="O444" s="54" t="s">
        <v>193</v>
      </c>
      <c r="P444" s="54" t="s">
        <v>250</v>
      </c>
    </row>
    <row r="445" spans="1:16" ht="17.45" customHeight="1" x14ac:dyDescent="0.25">
      <c r="A445" s="54" t="s">
        <v>766</v>
      </c>
      <c r="B445" s="54" t="s">
        <v>405</v>
      </c>
      <c r="C445" s="56">
        <f t="shared" si="30"/>
        <v>44926</v>
      </c>
      <c r="D445" s="56">
        <f t="shared" si="30"/>
        <v>44926</v>
      </c>
      <c r="E445" s="57">
        <v>9477.0400000000009</v>
      </c>
      <c r="F445" s="54" t="s">
        <v>191</v>
      </c>
      <c r="G445" s="58">
        <v>30</v>
      </c>
      <c r="H445" s="56">
        <f t="shared" si="29"/>
        <v>45107</v>
      </c>
      <c r="I445" s="57">
        <v>26.33</v>
      </c>
      <c r="J445" s="57">
        <v>157.97999999999999</v>
      </c>
      <c r="K445" s="57">
        <v>157.97999999999999</v>
      </c>
      <c r="L445" s="57">
        <v>9319.06</v>
      </c>
      <c r="M445" s="54" t="s">
        <v>249</v>
      </c>
      <c r="N445" s="54" t="s">
        <v>79</v>
      </c>
      <c r="O445" s="54" t="s">
        <v>193</v>
      </c>
      <c r="P445" s="54" t="s">
        <v>250</v>
      </c>
    </row>
    <row r="446" spans="1:16" ht="17.45" customHeight="1" x14ac:dyDescent="0.25">
      <c r="A446" s="54" t="s">
        <v>767</v>
      </c>
      <c r="B446" s="54" t="s">
        <v>735</v>
      </c>
      <c r="C446" s="56">
        <f t="shared" si="30"/>
        <v>44926</v>
      </c>
      <c r="D446" s="56">
        <f t="shared" si="30"/>
        <v>44926</v>
      </c>
      <c r="E446" s="57">
        <v>4594.6499999999996</v>
      </c>
      <c r="F446" s="54" t="s">
        <v>191</v>
      </c>
      <c r="G446" s="58">
        <v>35</v>
      </c>
      <c r="H446" s="56">
        <f t="shared" si="29"/>
        <v>45107</v>
      </c>
      <c r="I446" s="57">
        <v>10.94</v>
      </c>
      <c r="J446" s="57">
        <v>65.64</v>
      </c>
      <c r="K446" s="57">
        <v>65.64</v>
      </c>
      <c r="L446" s="57">
        <v>4529.01</v>
      </c>
      <c r="M446" s="54" t="s">
        <v>245</v>
      </c>
      <c r="N446" s="54" t="s">
        <v>79</v>
      </c>
      <c r="O446" s="54" t="s">
        <v>193</v>
      </c>
      <c r="P446" s="54" t="s">
        <v>246</v>
      </c>
    </row>
    <row r="447" spans="1:16" ht="17.45" customHeight="1" x14ac:dyDescent="0.25">
      <c r="A447" s="54" t="s">
        <v>768</v>
      </c>
      <c r="B447" s="54" t="s">
        <v>769</v>
      </c>
      <c r="C447" s="56">
        <f t="shared" si="30"/>
        <v>44926</v>
      </c>
      <c r="D447" s="56">
        <f t="shared" si="30"/>
        <v>44926</v>
      </c>
      <c r="E447" s="57">
        <v>17853.580000000002</v>
      </c>
      <c r="F447" s="54" t="s">
        <v>191</v>
      </c>
      <c r="G447" s="58">
        <v>35</v>
      </c>
      <c r="H447" s="56">
        <f t="shared" si="29"/>
        <v>45107</v>
      </c>
      <c r="I447" s="57">
        <v>42.51</v>
      </c>
      <c r="J447" s="57">
        <v>255.06</v>
      </c>
      <c r="K447" s="57">
        <v>255.06</v>
      </c>
      <c r="L447" s="57">
        <v>17598.52</v>
      </c>
      <c r="M447" s="54" t="s">
        <v>245</v>
      </c>
      <c r="N447" s="54" t="s">
        <v>79</v>
      </c>
      <c r="O447" s="54" t="s">
        <v>193</v>
      </c>
      <c r="P447" s="54" t="s">
        <v>246</v>
      </c>
    </row>
    <row r="448" spans="1:16" ht="17.45" customHeight="1" x14ac:dyDescent="0.25">
      <c r="A448" s="54" t="s">
        <v>770</v>
      </c>
      <c r="B448" s="54" t="s">
        <v>771</v>
      </c>
      <c r="C448" s="56">
        <f t="shared" si="30"/>
        <v>44926</v>
      </c>
      <c r="D448" s="56">
        <f t="shared" si="30"/>
        <v>44926</v>
      </c>
      <c r="E448" s="57">
        <v>3655.99</v>
      </c>
      <c r="F448" s="54" t="s">
        <v>191</v>
      </c>
      <c r="G448" s="58">
        <v>35</v>
      </c>
      <c r="H448" s="56">
        <f t="shared" si="29"/>
        <v>45107</v>
      </c>
      <c r="I448" s="57">
        <v>8.6999999999999993</v>
      </c>
      <c r="J448" s="57">
        <v>52.2</v>
      </c>
      <c r="K448" s="57">
        <v>52.2</v>
      </c>
      <c r="L448" s="57">
        <v>3603.79</v>
      </c>
      <c r="M448" s="54" t="s">
        <v>245</v>
      </c>
      <c r="N448" s="54" t="s">
        <v>79</v>
      </c>
      <c r="O448" s="54" t="s">
        <v>193</v>
      </c>
      <c r="P448" s="54" t="s">
        <v>246</v>
      </c>
    </row>
    <row r="449" spans="1:16" ht="17.45" customHeight="1" x14ac:dyDescent="0.25">
      <c r="A449" s="54" t="s">
        <v>772</v>
      </c>
      <c r="B449" s="54" t="s">
        <v>405</v>
      </c>
      <c r="C449" s="56">
        <f>DATE(2023,1,31)</f>
        <v>44957</v>
      </c>
      <c r="D449" s="56">
        <f>DATE(2023,1,31)</f>
        <v>44957</v>
      </c>
      <c r="E449" s="57">
        <v>962.56</v>
      </c>
      <c r="F449" s="54" t="s">
        <v>191</v>
      </c>
      <c r="G449" s="58">
        <v>30</v>
      </c>
      <c r="H449" s="56">
        <f t="shared" si="29"/>
        <v>45107</v>
      </c>
      <c r="I449" s="57">
        <v>2.67</v>
      </c>
      <c r="J449" s="57">
        <v>13.35</v>
      </c>
      <c r="K449" s="57">
        <v>13.35</v>
      </c>
      <c r="L449" s="57">
        <v>949.21</v>
      </c>
      <c r="M449" s="54" t="s">
        <v>249</v>
      </c>
      <c r="N449" s="54" t="s">
        <v>79</v>
      </c>
      <c r="O449" s="54" t="s">
        <v>193</v>
      </c>
      <c r="P449" s="54" t="s">
        <v>250</v>
      </c>
    </row>
    <row r="450" spans="1:16" ht="17.45" customHeight="1" x14ac:dyDescent="0.25">
      <c r="A450" s="54" t="s">
        <v>773</v>
      </c>
      <c r="B450" s="54" t="s">
        <v>735</v>
      </c>
      <c r="C450" s="56">
        <f>DATE(2023,1,31)</f>
        <v>44957</v>
      </c>
      <c r="D450" s="56">
        <f>DATE(2023,1,31)</f>
        <v>44957</v>
      </c>
      <c r="E450" s="57">
        <v>6780.36</v>
      </c>
      <c r="F450" s="54" t="s">
        <v>191</v>
      </c>
      <c r="G450" s="58">
        <v>35</v>
      </c>
      <c r="H450" s="56">
        <f t="shared" si="29"/>
        <v>45107</v>
      </c>
      <c r="I450" s="57">
        <v>16.14</v>
      </c>
      <c r="J450" s="57">
        <v>80.7</v>
      </c>
      <c r="K450" s="57">
        <v>80.7</v>
      </c>
      <c r="L450" s="57">
        <v>6699.66</v>
      </c>
      <c r="M450" s="54" t="s">
        <v>245</v>
      </c>
      <c r="N450" s="54" t="s">
        <v>79</v>
      </c>
      <c r="O450" s="54" t="s">
        <v>193</v>
      </c>
      <c r="P450" s="54" t="s">
        <v>246</v>
      </c>
    </row>
    <row r="451" spans="1:16" ht="17.45" customHeight="1" x14ac:dyDescent="0.25">
      <c r="A451" s="54" t="s">
        <v>774</v>
      </c>
      <c r="B451" s="54" t="s">
        <v>405</v>
      </c>
      <c r="C451" s="56">
        <f t="shared" ref="C451:D453" si="31">DATE(2023,2,28)</f>
        <v>44985</v>
      </c>
      <c r="D451" s="56">
        <f t="shared" si="31"/>
        <v>44985</v>
      </c>
      <c r="E451" s="57">
        <v>1925.12</v>
      </c>
      <c r="F451" s="54" t="s">
        <v>191</v>
      </c>
      <c r="G451" s="58">
        <v>30</v>
      </c>
      <c r="H451" s="56">
        <f t="shared" si="29"/>
        <v>45107</v>
      </c>
      <c r="I451" s="57">
        <v>5.35</v>
      </c>
      <c r="J451" s="57">
        <v>21.4</v>
      </c>
      <c r="K451" s="57">
        <v>21.4</v>
      </c>
      <c r="L451" s="57">
        <v>1903.72</v>
      </c>
      <c r="M451" s="54" t="s">
        <v>249</v>
      </c>
      <c r="N451" s="54" t="s">
        <v>79</v>
      </c>
      <c r="O451" s="54" t="s">
        <v>193</v>
      </c>
      <c r="P451" s="54" t="s">
        <v>250</v>
      </c>
    </row>
    <row r="452" spans="1:16" ht="17.45" customHeight="1" x14ac:dyDescent="0.25">
      <c r="A452" s="54" t="s">
        <v>775</v>
      </c>
      <c r="B452" s="54" t="s">
        <v>776</v>
      </c>
      <c r="C452" s="56">
        <f t="shared" si="31"/>
        <v>44985</v>
      </c>
      <c r="D452" s="56">
        <f t="shared" si="31"/>
        <v>44985</v>
      </c>
      <c r="E452" s="57">
        <v>2279.96</v>
      </c>
      <c r="F452" s="54" t="s">
        <v>191</v>
      </c>
      <c r="G452" s="58">
        <v>35</v>
      </c>
      <c r="H452" s="56">
        <f t="shared" si="29"/>
        <v>45107</v>
      </c>
      <c r="I452" s="57">
        <v>5.43</v>
      </c>
      <c r="J452" s="57">
        <v>21.72</v>
      </c>
      <c r="K452" s="57">
        <v>21.72</v>
      </c>
      <c r="L452" s="57">
        <v>2258.2399999999998</v>
      </c>
      <c r="M452" s="54" t="s">
        <v>245</v>
      </c>
      <c r="N452" s="54" t="s">
        <v>79</v>
      </c>
      <c r="O452" s="54" t="s">
        <v>193</v>
      </c>
      <c r="P452" s="54" t="s">
        <v>246</v>
      </c>
    </row>
    <row r="453" spans="1:16" ht="17.45" customHeight="1" x14ac:dyDescent="0.25">
      <c r="A453" s="54" t="s">
        <v>777</v>
      </c>
      <c r="B453" s="54" t="s">
        <v>735</v>
      </c>
      <c r="C453" s="56">
        <f t="shared" si="31"/>
        <v>44985</v>
      </c>
      <c r="D453" s="56">
        <f t="shared" si="31"/>
        <v>44985</v>
      </c>
      <c r="E453" s="57">
        <v>13872.1</v>
      </c>
      <c r="F453" s="54" t="s">
        <v>191</v>
      </c>
      <c r="G453" s="58">
        <v>35</v>
      </c>
      <c r="H453" s="56">
        <f t="shared" si="29"/>
        <v>45107</v>
      </c>
      <c r="I453" s="57">
        <v>33.03</v>
      </c>
      <c r="J453" s="57">
        <v>132.12</v>
      </c>
      <c r="K453" s="57">
        <v>132.12</v>
      </c>
      <c r="L453" s="57">
        <v>13739.98</v>
      </c>
      <c r="M453" s="54" t="s">
        <v>245</v>
      </c>
      <c r="N453" s="54" t="s">
        <v>79</v>
      </c>
      <c r="O453" s="54" t="s">
        <v>193</v>
      </c>
      <c r="P453" s="54" t="s">
        <v>246</v>
      </c>
    </row>
    <row r="454" spans="1:16" ht="17.45" customHeight="1" x14ac:dyDescent="0.25">
      <c r="A454" s="54" t="s">
        <v>778</v>
      </c>
      <c r="B454" s="54" t="s">
        <v>405</v>
      </c>
      <c r="C454" s="56">
        <f t="shared" ref="C454:D456" si="32">DATE(2023,3,31)</f>
        <v>45016</v>
      </c>
      <c r="D454" s="56">
        <f t="shared" si="32"/>
        <v>45016</v>
      </c>
      <c r="E454" s="57">
        <v>11349.34</v>
      </c>
      <c r="F454" s="54" t="s">
        <v>191</v>
      </c>
      <c r="G454" s="58">
        <v>30</v>
      </c>
      <c r="H454" s="56">
        <f t="shared" si="29"/>
        <v>45107</v>
      </c>
      <c r="I454" s="57">
        <v>31.53</v>
      </c>
      <c r="J454" s="57">
        <v>94.59</v>
      </c>
      <c r="K454" s="57">
        <v>94.59</v>
      </c>
      <c r="L454" s="57">
        <v>11254.75</v>
      </c>
      <c r="M454" s="54" t="s">
        <v>249</v>
      </c>
      <c r="N454" s="54" t="s">
        <v>79</v>
      </c>
      <c r="O454" s="54" t="s">
        <v>193</v>
      </c>
      <c r="P454" s="54" t="s">
        <v>250</v>
      </c>
    </row>
    <row r="455" spans="1:16" ht="17.45" customHeight="1" x14ac:dyDescent="0.25">
      <c r="A455" s="54" t="s">
        <v>779</v>
      </c>
      <c r="B455" s="54" t="s">
        <v>744</v>
      </c>
      <c r="C455" s="56">
        <f t="shared" si="32"/>
        <v>45016</v>
      </c>
      <c r="D455" s="56">
        <f t="shared" si="32"/>
        <v>45016</v>
      </c>
      <c r="E455" s="57">
        <v>13554.52</v>
      </c>
      <c r="F455" s="54" t="s">
        <v>191</v>
      </c>
      <c r="G455" s="58">
        <v>35</v>
      </c>
      <c r="H455" s="56">
        <f t="shared" si="29"/>
        <v>45107</v>
      </c>
      <c r="I455" s="57">
        <v>32.270000000000003</v>
      </c>
      <c r="J455" s="57">
        <v>96.81</v>
      </c>
      <c r="K455" s="57">
        <v>96.81</v>
      </c>
      <c r="L455" s="57">
        <v>13457.71</v>
      </c>
      <c r="M455" s="54" t="s">
        <v>245</v>
      </c>
      <c r="N455" s="54" t="s">
        <v>79</v>
      </c>
      <c r="O455" s="54" t="s">
        <v>193</v>
      </c>
      <c r="P455" s="54" t="s">
        <v>246</v>
      </c>
    </row>
    <row r="456" spans="1:16" ht="17.45" customHeight="1" x14ac:dyDescent="0.25">
      <c r="A456" s="54" t="s">
        <v>780</v>
      </c>
      <c r="B456" s="54" t="s">
        <v>781</v>
      </c>
      <c r="C456" s="56">
        <f t="shared" si="32"/>
        <v>45016</v>
      </c>
      <c r="D456" s="56">
        <f t="shared" si="32"/>
        <v>45016</v>
      </c>
      <c r="E456" s="57">
        <v>2150</v>
      </c>
      <c r="F456" s="54" t="s">
        <v>191</v>
      </c>
      <c r="G456" s="58">
        <v>5</v>
      </c>
      <c r="H456" s="56">
        <f t="shared" si="29"/>
        <v>45107</v>
      </c>
      <c r="I456" s="57">
        <v>35.83</v>
      </c>
      <c r="J456" s="57">
        <v>107.49</v>
      </c>
      <c r="K456" s="57">
        <v>107.49</v>
      </c>
      <c r="L456" s="57">
        <v>2042.51</v>
      </c>
      <c r="M456" s="54" t="s">
        <v>236</v>
      </c>
      <c r="N456" s="54" t="s">
        <v>79</v>
      </c>
      <c r="O456" s="54" t="s">
        <v>193</v>
      </c>
      <c r="P456" s="54" t="s">
        <v>231</v>
      </c>
    </row>
    <row r="457" spans="1:16" ht="17.45" customHeight="1" x14ac:dyDescent="0.25">
      <c r="A457" s="54" t="s">
        <v>782</v>
      </c>
      <c r="B457" s="54" t="s">
        <v>405</v>
      </c>
      <c r="C457" s="56">
        <f>DATE(2023,4,30)</f>
        <v>45046</v>
      </c>
      <c r="D457" s="56">
        <f>DATE(2023,4,30)</f>
        <v>45046</v>
      </c>
      <c r="E457" s="57">
        <v>6737.92</v>
      </c>
      <c r="F457" s="54" t="s">
        <v>191</v>
      </c>
      <c r="G457" s="58">
        <v>30</v>
      </c>
      <c r="H457" s="56">
        <f t="shared" si="29"/>
        <v>45107</v>
      </c>
      <c r="I457" s="57">
        <v>18.72</v>
      </c>
      <c r="J457" s="57">
        <v>37.44</v>
      </c>
      <c r="K457" s="57">
        <v>37.44</v>
      </c>
      <c r="L457" s="57">
        <v>6700.48</v>
      </c>
      <c r="M457" s="54" t="s">
        <v>249</v>
      </c>
      <c r="N457" s="54" t="s">
        <v>79</v>
      </c>
      <c r="O457" s="54" t="s">
        <v>193</v>
      </c>
      <c r="P457" s="54" t="s">
        <v>250</v>
      </c>
    </row>
    <row r="458" spans="1:16" ht="17.45" customHeight="1" x14ac:dyDescent="0.25">
      <c r="A458" s="54" t="s">
        <v>783</v>
      </c>
      <c r="B458" s="54" t="s">
        <v>735</v>
      </c>
      <c r="C458" s="56">
        <f>DATE(2023,4,30)</f>
        <v>45046</v>
      </c>
      <c r="D458" s="56">
        <f>DATE(2023,4,30)</f>
        <v>45046</v>
      </c>
      <c r="E458" s="57">
        <v>22752</v>
      </c>
      <c r="F458" s="54" t="s">
        <v>191</v>
      </c>
      <c r="G458" s="58">
        <v>35</v>
      </c>
      <c r="H458" s="56">
        <f t="shared" si="29"/>
        <v>45107</v>
      </c>
      <c r="I458" s="57">
        <v>54.17</v>
      </c>
      <c r="J458" s="57">
        <v>108.34</v>
      </c>
      <c r="K458" s="57">
        <v>108.34</v>
      </c>
      <c r="L458" s="57">
        <v>22643.66</v>
      </c>
      <c r="M458" s="54" t="s">
        <v>245</v>
      </c>
      <c r="N458" s="54" t="s">
        <v>79</v>
      </c>
      <c r="O458" s="54" t="s">
        <v>193</v>
      </c>
      <c r="P458" s="54" t="s">
        <v>246</v>
      </c>
    </row>
    <row r="459" spans="1:16" ht="17.45" customHeight="1" x14ac:dyDescent="0.25">
      <c r="A459" s="54" t="s">
        <v>784</v>
      </c>
      <c r="B459" s="54" t="s">
        <v>405</v>
      </c>
      <c r="C459" s="56">
        <f>DATE(2023,5,31)</f>
        <v>45077</v>
      </c>
      <c r="D459" s="56">
        <f>DATE(2023,5,31)</f>
        <v>45077</v>
      </c>
      <c r="E459" s="57">
        <v>962.56</v>
      </c>
      <c r="F459" s="54" t="s">
        <v>191</v>
      </c>
      <c r="G459" s="58">
        <v>30</v>
      </c>
      <c r="H459" s="56">
        <f t="shared" si="29"/>
        <v>45107</v>
      </c>
      <c r="I459" s="57">
        <v>2.67</v>
      </c>
      <c r="J459" s="57">
        <v>2.67</v>
      </c>
      <c r="K459" s="57">
        <v>2.67</v>
      </c>
      <c r="L459" s="57">
        <v>959.89</v>
      </c>
      <c r="M459" s="54" t="s">
        <v>249</v>
      </c>
      <c r="N459" s="54" t="s">
        <v>79</v>
      </c>
      <c r="O459" s="54" t="s">
        <v>193</v>
      </c>
      <c r="P459" s="54" t="s">
        <v>250</v>
      </c>
    </row>
    <row r="460" spans="1:16" ht="17.45" customHeight="1" x14ac:dyDescent="0.25">
      <c r="A460" s="54" t="s">
        <v>785</v>
      </c>
      <c r="B460" s="54" t="s">
        <v>735</v>
      </c>
      <c r="C460" s="56">
        <f>DATE(2023,5,31)</f>
        <v>45077</v>
      </c>
      <c r="D460" s="56">
        <f>DATE(2023,5,31)</f>
        <v>45077</v>
      </c>
      <c r="E460" s="57">
        <v>3066.24</v>
      </c>
      <c r="F460" s="54" t="s">
        <v>191</v>
      </c>
      <c r="G460" s="58">
        <v>35</v>
      </c>
      <c r="H460" s="56">
        <f t="shared" si="29"/>
        <v>45107</v>
      </c>
      <c r="I460" s="57">
        <v>7.3</v>
      </c>
      <c r="J460" s="57">
        <v>7.3</v>
      </c>
      <c r="K460" s="57">
        <v>7.3</v>
      </c>
      <c r="L460" s="57">
        <v>3058.94</v>
      </c>
      <c r="M460" s="54" t="s">
        <v>245</v>
      </c>
      <c r="N460" s="54" t="s">
        <v>79</v>
      </c>
      <c r="O460" s="54" t="s">
        <v>193</v>
      </c>
      <c r="P460" s="54" t="s">
        <v>246</v>
      </c>
    </row>
    <row r="461" spans="1:16" ht="17.45" customHeight="1" x14ac:dyDescent="0.25">
      <c r="A461" s="54" t="s">
        <v>786</v>
      </c>
      <c r="B461" s="54" t="s">
        <v>735</v>
      </c>
      <c r="C461" s="56">
        <f>DATE(2023,6,30)</f>
        <v>45107</v>
      </c>
      <c r="D461" s="56">
        <f>DATE(2023,6,30)</f>
        <v>45107</v>
      </c>
      <c r="E461" s="57">
        <v>5016.3100000000004</v>
      </c>
      <c r="F461" s="54" t="s">
        <v>191</v>
      </c>
      <c r="G461" s="58">
        <v>35</v>
      </c>
      <c r="H461" s="56">
        <f t="shared" si="29"/>
        <v>45107</v>
      </c>
      <c r="I461" s="57">
        <v>0</v>
      </c>
      <c r="J461" s="57">
        <v>0</v>
      </c>
      <c r="K461" s="57">
        <v>0</v>
      </c>
      <c r="L461" s="57">
        <v>5016.3100000000004</v>
      </c>
      <c r="M461" s="54" t="s">
        <v>245</v>
      </c>
      <c r="N461" s="54" t="s">
        <v>79</v>
      </c>
      <c r="O461" s="54" t="s">
        <v>193</v>
      </c>
      <c r="P461" s="54" t="s">
        <v>246</v>
      </c>
    </row>
    <row r="462" spans="1:16" ht="17.45" customHeight="1" x14ac:dyDescent="0.25">
      <c r="A462" s="54" t="s">
        <v>787</v>
      </c>
      <c r="B462" s="54" t="s">
        <v>405</v>
      </c>
      <c r="C462" s="56">
        <f>DATE(2023,6,30)</f>
        <v>45107</v>
      </c>
      <c r="D462" s="56">
        <f>DATE(2023,6,30)</f>
        <v>45107</v>
      </c>
      <c r="E462" s="57">
        <v>2197.58</v>
      </c>
      <c r="F462" s="54" t="s">
        <v>191</v>
      </c>
      <c r="G462" s="58">
        <v>30</v>
      </c>
      <c r="H462" s="56">
        <f t="shared" si="29"/>
        <v>45107</v>
      </c>
      <c r="I462" s="57">
        <v>0</v>
      </c>
      <c r="J462" s="57">
        <v>0</v>
      </c>
      <c r="K462" s="57">
        <v>0</v>
      </c>
      <c r="L462" s="57">
        <v>2197.58</v>
      </c>
      <c r="M462" s="54" t="s">
        <v>249</v>
      </c>
      <c r="N462" s="54" t="s">
        <v>79</v>
      </c>
      <c r="O462" s="54" t="s">
        <v>193</v>
      </c>
      <c r="P462" s="54" t="s">
        <v>250</v>
      </c>
    </row>
    <row r="463" spans="1:16" ht="17.45" customHeight="1" x14ac:dyDescent="0.25">
      <c r="A463" s="54" t="s">
        <v>788</v>
      </c>
      <c r="B463" s="54" t="s">
        <v>405</v>
      </c>
      <c r="C463" s="56">
        <f>DATE(2022,4,30)</f>
        <v>44681</v>
      </c>
      <c r="D463" s="56">
        <f>DATE(2022,4,30)</f>
        <v>44681</v>
      </c>
      <c r="E463" s="57">
        <v>1229.48</v>
      </c>
      <c r="F463" s="54" t="s">
        <v>191</v>
      </c>
      <c r="G463" s="58">
        <v>30</v>
      </c>
      <c r="H463" s="56">
        <f t="shared" si="29"/>
        <v>45107</v>
      </c>
      <c r="I463" s="57">
        <v>3.42</v>
      </c>
      <c r="J463" s="57">
        <v>20.52</v>
      </c>
      <c r="K463" s="57">
        <v>47.84</v>
      </c>
      <c r="L463" s="57">
        <v>1181.6400000000001</v>
      </c>
      <c r="M463" s="54" t="s">
        <v>249</v>
      </c>
      <c r="N463" s="54" t="s">
        <v>79</v>
      </c>
      <c r="O463" s="54" t="s">
        <v>193</v>
      </c>
      <c r="P463" s="54" t="s">
        <v>250</v>
      </c>
    </row>
    <row r="464" spans="1:16" ht="17.45" customHeight="1" x14ac:dyDescent="0.25">
      <c r="A464" s="54" t="s">
        <v>789</v>
      </c>
      <c r="B464" s="54" t="s">
        <v>357</v>
      </c>
      <c r="C464" s="56">
        <f>DATE(2018,4,30)</f>
        <v>43220</v>
      </c>
      <c r="D464" s="56">
        <f>DATE(2018,4,30)</f>
        <v>43220</v>
      </c>
      <c r="E464" s="57">
        <v>2968.17</v>
      </c>
      <c r="F464" s="54" t="s">
        <v>191</v>
      </c>
      <c r="G464" s="58">
        <v>30</v>
      </c>
      <c r="H464" s="56">
        <f t="shared" si="29"/>
        <v>45107</v>
      </c>
      <c r="I464" s="57">
        <v>8.24</v>
      </c>
      <c r="J464" s="57">
        <v>49.44</v>
      </c>
      <c r="K464" s="57">
        <v>511.16</v>
      </c>
      <c r="L464" s="57">
        <v>2457.0100000000002</v>
      </c>
      <c r="M464" s="54" t="s">
        <v>249</v>
      </c>
      <c r="N464" s="54" t="s">
        <v>79</v>
      </c>
      <c r="O464" s="54" t="s">
        <v>193</v>
      </c>
      <c r="P464" s="54" t="s">
        <v>250</v>
      </c>
    </row>
    <row r="465" spans="1:16" ht="17.45" customHeight="1" x14ac:dyDescent="0.25">
      <c r="A465" s="54" t="s">
        <v>790</v>
      </c>
      <c r="B465" s="54" t="s">
        <v>244</v>
      </c>
      <c r="C465" s="56">
        <f>DATE(2018,4,30)</f>
        <v>43220</v>
      </c>
      <c r="D465" s="56">
        <f>DATE(2018,4,30)</f>
        <v>43220</v>
      </c>
      <c r="E465" s="57">
        <v>9257.02</v>
      </c>
      <c r="F465" s="54" t="s">
        <v>191</v>
      </c>
      <c r="G465" s="58">
        <v>35</v>
      </c>
      <c r="H465" s="56">
        <f t="shared" si="29"/>
        <v>45107</v>
      </c>
      <c r="I465" s="57">
        <v>22.04</v>
      </c>
      <c r="J465" s="57">
        <v>132.24</v>
      </c>
      <c r="K465" s="57">
        <v>1366.52</v>
      </c>
      <c r="L465" s="57">
        <v>7890.5</v>
      </c>
      <c r="M465" s="54" t="s">
        <v>245</v>
      </c>
      <c r="N465" s="54" t="s">
        <v>79</v>
      </c>
      <c r="O465" s="54" t="s">
        <v>193</v>
      </c>
      <c r="P465" s="54" t="s">
        <v>246</v>
      </c>
    </row>
    <row r="466" spans="1:16" ht="17.45" customHeight="1" x14ac:dyDescent="0.25">
      <c r="A466" s="54" t="s">
        <v>791</v>
      </c>
      <c r="B466" s="54" t="s">
        <v>435</v>
      </c>
      <c r="C466" s="56">
        <f>DATE(2018,5,31)</f>
        <v>43251</v>
      </c>
      <c r="D466" s="56">
        <f>DATE(2018,5,31)</f>
        <v>43251</v>
      </c>
      <c r="E466" s="57">
        <v>10971.51</v>
      </c>
      <c r="F466" s="54" t="s">
        <v>191</v>
      </c>
      <c r="G466" s="58">
        <v>30</v>
      </c>
      <c r="H466" s="56">
        <f t="shared" si="29"/>
        <v>45107</v>
      </c>
      <c r="I466" s="57">
        <v>30.48</v>
      </c>
      <c r="J466" s="57">
        <v>182.88</v>
      </c>
      <c r="K466" s="57">
        <v>1859.09</v>
      </c>
      <c r="L466" s="57">
        <v>9112.42</v>
      </c>
      <c r="M466" s="54" t="s">
        <v>249</v>
      </c>
      <c r="N466" s="54" t="s">
        <v>79</v>
      </c>
      <c r="O466" s="54" t="s">
        <v>193</v>
      </c>
      <c r="P466" s="54" t="s">
        <v>250</v>
      </c>
    </row>
    <row r="467" spans="1:16" ht="17.45" customHeight="1" x14ac:dyDescent="0.25">
      <c r="A467" s="54" t="s">
        <v>792</v>
      </c>
      <c r="B467" s="54" t="s">
        <v>357</v>
      </c>
      <c r="C467" s="56">
        <f>DATE(2018,6,30)</f>
        <v>43281</v>
      </c>
      <c r="D467" s="56">
        <f>DATE(2018,6,30)</f>
        <v>43281</v>
      </c>
      <c r="E467" s="57">
        <v>14946.58</v>
      </c>
      <c r="F467" s="54" t="s">
        <v>191</v>
      </c>
      <c r="G467" s="58">
        <v>30</v>
      </c>
      <c r="H467" s="56">
        <f t="shared" si="29"/>
        <v>45107</v>
      </c>
      <c r="I467" s="57">
        <v>41.52</v>
      </c>
      <c r="J467" s="57">
        <v>249.12</v>
      </c>
      <c r="K467" s="57">
        <v>2491.11</v>
      </c>
      <c r="L467" s="57">
        <v>12455.47</v>
      </c>
      <c r="M467" s="54" t="s">
        <v>249</v>
      </c>
      <c r="N467" s="54" t="s">
        <v>79</v>
      </c>
      <c r="O467" s="54" t="s">
        <v>193</v>
      </c>
      <c r="P467" s="54" t="s">
        <v>250</v>
      </c>
    </row>
    <row r="468" spans="1:16" ht="17.45" customHeight="1" x14ac:dyDescent="0.25">
      <c r="A468" s="54" t="s">
        <v>793</v>
      </c>
      <c r="B468" s="54" t="s">
        <v>244</v>
      </c>
      <c r="C468" s="56">
        <f>DATE(2018,6,30)</f>
        <v>43281</v>
      </c>
      <c r="D468" s="56">
        <f>DATE(2018,6,30)</f>
        <v>43281</v>
      </c>
      <c r="E468" s="57">
        <v>7047.53</v>
      </c>
      <c r="F468" s="54" t="s">
        <v>191</v>
      </c>
      <c r="G468" s="58">
        <v>35</v>
      </c>
      <c r="H468" s="56">
        <f t="shared" si="29"/>
        <v>45107</v>
      </c>
      <c r="I468" s="57">
        <v>16.78</v>
      </c>
      <c r="J468" s="57">
        <v>100.68</v>
      </c>
      <c r="K468" s="57">
        <v>1006.8</v>
      </c>
      <c r="L468" s="57">
        <v>6040.73</v>
      </c>
      <c r="M468" s="54" t="s">
        <v>245</v>
      </c>
      <c r="N468" s="54" t="s">
        <v>79</v>
      </c>
      <c r="O468" s="54" t="s">
        <v>193</v>
      </c>
      <c r="P468" s="54" t="s">
        <v>246</v>
      </c>
    </row>
    <row r="469" spans="1:16" ht="17.45" customHeight="1" x14ac:dyDescent="0.25">
      <c r="E469" s="59">
        <f>SUM(E21:E468)</f>
        <v>6526126.7500000009</v>
      </c>
      <c r="I469" s="59">
        <f t="shared" ref="I469:L469" si="33">SUM(I21:I468)</f>
        <v>14232.930000000009</v>
      </c>
      <c r="J469" s="59">
        <f t="shared" si="33"/>
        <v>84650.65</v>
      </c>
      <c r="K469" s="59">
        <f t="shared" si="33"/>
        <v>2942125.0799999996</v>
      </c>
      <c r="L469" s="59">
        <f t="shared" si="33"/>
        <v>3584001.6700000004</v>
      </c>
    </row>
    <row r="470" spans="1:16" ht="24.75" customHeight="1" x14ac:dyDescent="0.25">
      <c r="E470" s="59">
        <f>SUM(E469,E20)</f>
        <v>8268045.6400000006</v>
      </c>
      <c r="I470" s="59">
        <f t="shared" ref="I470:L470" si="34">SUM(I469,I20)</f>
        <v>18318.490000000009</v>
      </c>
      <c r="J470" s="59">
        <f t="shared" si="34"/>
        <v>109164.01</v>
      </c>
      <c r="K470" s="59">
        <f t="shared" si="34"/>
        <v>4088899.4699999997</v>
      </c>
      <c r="L470" s="59">
        <f t="shared" si="34"/>
        <v>4179146.1700000004</v>
      </c>
    </row>
  </sheetData>
  <pageMargins left="0.7" right="0.7" top="0.75" bottom="0.75" header="0.3" footer="0.3"/>
  <pageSetup scale="37"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zoomScaleNormal="100" workbookViewId="0">
      <selection activeCell="N5" sqref="N5"/>
    </sheetView>
  </sheetViews>
  <sheetFormatPr defaultRowHeight="15" x14ac:dyDescent="0.25"/>
  <cols>
    <col min="2" max="2" width="13.42578125" bestFit="1" customWidth="1"/>
    <col min="3" max="3" width="11.5703125" bestFit="1" customWidth="1"/>
    <col min="4" max="4" width="3.140625" customWidth="1"/>
    <col min="5" max="5" width="11.5703125" bestFit="1" customWidth="1"/>
    <col min="6" max="6" width="17" bestFit="1" customWidth="1"/>
    <col min="8" max="8" width="10.5703125" bestFit="1" customWidth="1"/>
    <col min="11" max="11" width="11.5703125" bestFit="1" customWidth="1"/>
  </cols>
  <sheetData>
    <row r="1" spans="1:12" x14ac:dyDescent="0.25">
      <c r="A1" t="s">
        <v>131</v>
      </c>
    </row>
    <row r="2" spans="1:12" x14ac:dyDescent="0.25">
      <c r="A2" s="42">
        <v>45107</v>
      </c>
      <c r="F2" s="42"/>
    </row>
    <row r="3" spans="1:12" x14ac:dyDescent="0.25">
      <c r="A3">
        <v>0</v>
      </c>
      <c r="F3" t="s">
        <v>132</v>
      </c>
    </row>
    <row r="4" spans="1:12" ht="45" x14ac:dyDescent="0.25">
      <c r="B4" s="43" t="s">
        <v>133</v>
      </c>
      <c r="C4" s="44" t="s">
        <v>134</v>
      </c>
      <c r="D4" s="44"/>
      <c r="E4" s="43" t="s">
        <v>135</v>
      </c>
      <c r="F4" s="43" t="s">
        <v>136</v>
      </c>
      <c r="G4" s="43" t="s">
        <v>135</v>
      </c>
      <c r="H4" s="43" t="s">
        <v>137</v>
      </c>
      <c r="I4" s="43" t="s">
        <v>135</v>
      </c>
      <c r="J4" s="43" t="s">
        <v>138</v>
      </c>
      <c r="K4" s="43" t="s">
        <v>139</v>
      </c>
      <c r="L4" s="52" t="s">
        <v>3</v>
      </c>
    </row>
    <row r="6" spans="1:12" x14ac:dyDescent="0.25">
      <c r="B6" s="43" t="s">
        <v>140</v>
      </c>
      <c r="C6" s="45">
        <v>0</v>
      </c>
      <c r="E6" s="46">
        <v>0.5</v>
      </c>
      <c r="F6" s="45">
        <f>$C6*E6</f>
        <v>0</v>
      </c>
      <c r="G6" s="47">
        <v>0.45</v>
      </c>
      <c r="H6" s="45">
        <f>$C6*G6</f>
        <v>0</v>
      </c>
      <c r="I6" s="46">
        <v>0.05</v>
      </c>
      <c r="J6" s="45">
        <f>$C6*I6</f>
        <v>0</v>
      </c>
      <c r="K6" s="48">
        <f>F6+H6+J6</f>
        <v>0</v>
      </c>
      <c r="L6" t="s">
        <v>155</v>
      </c>
    </row>
    <row r="7" spans="1:12" x14ac:dyDescent="0.25">
      <c r="B7" s="43" t="s">
        <v>141</v>
      </c>
      <c r="C7" s="45">
        <v>4085.56</v>
      </c>
      <c r="E7" s="46">
        <v>0.71</v>
      </c>
      <c r="F7" s="45">
        <f t="shared" ref="F7:F14" si="0">$C7*E7</f>
        <v>2900.7475999999997</v>
      </c>
      <c r="G7" s="47">
        <v>0.22</v>
      </c>
      <c r="H7" s="45">
        <f t="shared" ref="H7:H14" si="1">$C7*G7</f>
        <v>898.82320000000004</v>
      </c>
      <c r="I7" s="46">
        <v>7.0000000000000007E-2</v>
      </c>
      <c r="J7" s="45">
        <f t="shared" ref="J7:J14" si="2">$C7*I7</f>
        <v>285.98920000000004</v>
      </c>
      <c r="K7" s="48">
        <f t="shared" ref="K7:K14" si="3">F7+H7+J7</f>
        <v>4085.5599999999995</v>
      </c>
      <c r="L7" t="s">
        <v>156</v>
      </c>
    </row>
    <row r="8" spans="1:12" x14ac:dyDescent="0.25">
      <c r="B8" s="43" t="s">
        <v>142</v>
      </c>
      <c r="C8" s="45">
        <v>0</v>
      </c>
      <c r="E8" s="46">
        <v>0.4</v>
      </c>
      <c r="F8" s="45">
        <f t="shared" si="0"/>
        <v>0</v>
      </c>
      <c r="G8" s="47">
        <v>0.35</v>
      </c>
      <c r="H8" s="45">
        <f t="shared" si="1"/>
        <v>0</v>
      </c>
      <c r="I8" s="46">
        <v>0.25</v>
      </c>
      <c r="J8" s="45">
        <f t="shared" si="2"/>
        <v>0</v>
      </c>
      <c r="K8" s="48">
        <f t="shared" si="3"/>
        <v>0</v>
      </c>
      <c r="L8" t="s">
        <v>157</v>
      </c>
    </row>
    <row r="9" spans="1:12" x14ac:dyDescent="0.25">
      <c r="B9" s="43" t="s">
        <v>79</v>
      </c>
      <c r="C9" s="45">
        <v>14232.93</v>
      </c>
      <c r="E9" s="46">
        <v>0.53</v>
      </c>
      <c r="F9" s="45">
        <f t="shared" si="0"/>
        <v>7543.4529000000002</v>
      </c>
      <c r="G9" s="47">
        <v>0.47</v>
      </c>
      <c r="H9" s="45">
        <f t="shared" si="1"/>
        <v>6689.4771000000001</v>
      </c>
      <c r="I9" s="46">
        <v>0</v>
      </c>
      <c r="J9" s="45">
        <f t="shared" si="2"/>
        <v>0</v>
      </c>
      <c r="K9" s="48">
        <f t="shared" si="3"/>
        <v>14232.93</v>
      </c>
      <c r="L9" t="s">
        <v>158</v>
      </c>
    </row>
    <row r="10" spans="1:12" x14ac:dyDescent="0.25">
      <c r="B10" s="43" t="s">
        <v>143</v>
      </c>
      <c r="C10" s="45">
        <v>0</v>
      </c>
      <c r="E10" s="46">
        <v>0.8</v>
      </c>
      <c r="F10" s="45">
        <f t="shared" si="0"/>
        <v>0</v>
      </c>
      <c r="G10" s="47">
        <v>0.1</v>
      </c>
      <c r="H10" s="45">
        <f t="shared" si="1"/>
        <v>0</v>
      </c>
      <c r="I10" s="46">
        <v>0.1</v>
      </c>
      <c r="J10" s="45">
        <f t="shared" si="2"/>
        <v>0</v>
      </c>
      <c r="K10" s="48">
        <f t="shared" si="3"/>
        <v>0</v>
      </c>
      <c r="L10" t="s">
        <v>159</v>
      </c>
    </row>
    <row r="11" spans="1:12" x14ac:dyDescent="0.25">
      <c r="B11" s="43" t="s">
        <v>144</v>
      </c>
      <c r="C11" s="45">
        <v>0</v>
      </c>
      <c r="E11" s="46">
        <v>0.5</v>
      </c>
      <c r="F11" s="45">
        <f t="shared" si="0"/>
        <v>0</v>
      </c>
      <c r="G11" s="47">
        <v>0.5</v>
      </c>
      <c r="H11" s="45">
        <f t="shared" si="1"/>
        <v>0</v>
      </c>
      <c r="I11" s="46">
        <v>0</v>
      </c>
      <c r="J11" s="45">
        <f t="shared" si="2"/>
        <v>0</v>
      </c>
      <c r="K11" s="48">
        <f t="shared" si="3"/>
        <v>0</v>
      </c>
      <c r="L11" t="s">
        <v>160</v>
      </c>
    </row>
    <row r="12" spans="1:12" x14ac:dyDescent="0.25">
      <c r="B12" s="43" t="s">
        <v>145</v>
      </c>
      <c r="C12" s="45">
        <v>0</v>
      </c>
      <c r="E12" s="46">
        <v>0.79</v>
      </c>
      <c r="F12" s="45">
        <f t="shared" si="0"/>
        <v>0</v>
      </c>
      <c r="G12" s="47">
        <v>0.21</v>
      </c>
      <c r="H12" s="45">
        <f t="shared" si="1"/>
        <v>0</v>
      </c>
      <c r="I12" s="46">
        <v>0</v>
      </c>
      <c r="J12" s="45">
        <f t="shared" si="2"/>
        <v>0</v>
      </c>
      <c r="K12" s="48">
        <f t="shared" si="3"/>
        <v>0</v>
      </c>
      <c r="L12" t="s">
        <v>161</v>
      </c>
    </row>
    <row r="13" spans="1:12" x14ac:dyDescent="0.25">
      <c r="B13" s="43" t="s">
        <v>146</v>
      </c>
      <c r="C13" s="45">
        <v>0</v>
      </c>
      <c r="E13" s="46">
        <v>0.52</v>
      </c>
      <c r="F13" s="45">
        <f t="shared" si="0"/>
        <v>0</v>
      </c>
      <c r="G13" s="47">
        <v>0.48</v>
      </c>
      <c r="H13" s="45">
        <f t="shared" si="1"/>
        <v>0</v>
      </c>
      <c r="I13" s="46">
        <v>0</v>
      </c>
      <c r="J13" s="45">
        <f t="shared" si="2"/>
        <v>0</v>
      </c>
      <c r="K13" s="48">
        <f t="shared" si="3"/>
        <v>0</v>
      </c>
      <c r="L13" t="s">
        <v>162</v>
      </c>
    </row>
    <row r="14" spans="1:12" x14ac:dyDescent="0.25">
      <c r="B14" s="43" t="s">
        <v>147</v>
      </c>
      <c r="C14" s="45">
        <v>0</v>
      </c>
      <c r="E14" s="46">
        <v>0.6</v>
      </c>
      <c r="F14" s="45">
        <f t="shared" si="0"/>
        <v>0</v>
      </c>
      <c r="G14" s="47">
        <v>0.3</v>
      </c>
      <c r="H14" s="45">
        <f t="shared" si="1"/>
        <v>0</v>
      </c>
      <c r="I14" s="46">
        <v>0.1</v>
      </c>
      <c r="J14" s="45">
        <f t="shared" si="2"/>
        <v>0</v>
      </c>
      <c r="K14" s="48">
        <f t="shared" si="3"/>
        <v>0</v>
      </c>
      <c r="L14" t="s">
        <v>163</v>
      </c>
    </row>
    <row r="15" spans="1:12" x14ac:dyDescent="0.25">
      <c r="C15" s="45"/>
      <c r="F15" s="45"/>
    </row>
    <row r="16" spans="1:12" ht="45" x14ac:dyDescent="0.25">
      <c r="B16" s="49" t="s">
        <v>148</v>
      </c>
      <c r="C16" s="48">
        <f>SUM(C6:C15)</f>
        <v>18318.490000000002</v>
      </c>
      <c r="F16" s="50">
        <f>SUM(F6:F15)</f>
        <v>10444.200499999999</v>
      </c>
      <c r="H16" s="51">
        <f>SUM(H6:H15)</f>
        <v>7588.3002999999999</v>
      </c>
      <c r="J16" s="51">
        <f>SUM(J6:J15)</f>
        <v>285.98920000000004</v>
      </c>
      <c r="K16" s="48">
        <f>SUM(K6:K15)</f>
        <v>18318.489999999998</v>
      </c>
    </row>
    <row r="19" spans="1:5" x14ac:dyDescent="0.25">
      <c r="B19" t="s">
        <v>149</v>
      </c>
    </row>
    <row r="20" spans="1:5" x14ac:dyDescent="0.25">
      <c r="A20" t="s">
        <v>150</v>
      </c>
      <c r="B20" t="s">
        <v>151</v>
      </c>
      <c r="E20" s="48">
        <f>C22+C24</f>
        <v>7874.2894999999999</v>
      </c>
    </row>
    <row r="22" spans="1:5" x14ac:dyDescent="0.25">
      <c r="A22" t="s">
        <v>152</v>
      </c>
      <c r="B22" t="s">
        <v>153</v>
      </c>
      <c r="C22" s="48">
        <f>H16</f>
        <v>7588.3002999999999</v>
      </c>
    </row>
    <row r="24" spans="1:5" x14ac:dyDescent="0.25">
      <c r="A24" t="s">
        <v>152</v>
      </c>
      <c r="B24" t="s">
        <v>154</v>
      </c>
      <c r="C24" s="48">
        <f>J16</f>
        <v>285.98920000000004</v>
      </c>
    </row>
    <row r="26" spans="1:5" x14ac:dyDescent="0.25">
      <c r="C26" s="45">
        <f>SUM(C20:C24)</f>
        <v>7874.2894999999999</v>
      </c>
      <c r="E26" s="45">
        <f>SUM(E20:E24)</f>
        <v>7874.2894999999999</v>
      </c>
    </row>
  </sheetData>
  <printOptions gridLines="1"/>
  <pageMargins left="0.7" right="0.7" top="0.75" bottom="0.75" header="0.3" footer="0.3"/>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
  <sheetViews>
    <sheetView workbookViewId="0">
      <selection activeCell="E15" sqref="E15"/>
    </sheetView>
  </sheetViews>
  <sheetFormatPr defaultRowHeight="15" x14ac:dyDescent="0.25"/>
  <cols>
    <col min="1" max="1" width="16.28515625" customWidth="1"/>
  </cols>
  <sheetData>
    <row r="1" spans="1:12" x14ac:dyDescent="0.25">
      <c r="A1" s="1" t="s">
        <v>164</v>
      </c>
      <c r="D1" s="1" t="str">
        <f>[1]Labor!C1</f>
        <v>807 KAR 5:071 Section 3(2)(c)  &amp; 807 KAR 5:001 Section 16(9)(t)(1-3)</v>
      </c>
    </row>
    <row r="3" spans="1:12" ht="15" customHeight="1" x14ac:dyDescent="0.25"/>
    <row r="4" spans="1:12" ht="30" x14ac:dyDescent="0.25">
      <c r="A4" s="53" t="s">
        <v>165</v>
      </c>
      <c r="B4" s="14" t="s">
        <v>166</v>
      </c>
      <c r="C4" s="3"/>
      <c r="D4" s="3"/>
      <c r="E4" s="3"/>
      <c r="F4" s="3"/>
      <c r="G4" s="3"/>
      <c r="H4" s="3"/>
      <c r="I4" s="3"/>
      <c r="J4" s="3"/>
      <c r="K4" s="3"/>
      <c r="L4" s="4"/>
    </row>
    <row r="5" spans="1:12" x14ac:dyDescent="0.25">
      <c r="A5" s="5"/>
      <c r="B5" s="15" t="s">
        <v>167</v>
      </c>
      <c r="C5" s="6"/>
      <c r="D5" s="6"/>
      <c r="E5" s="6"/>
      <c r="F5" s="6"/>
      <c r="G5" s="6"/>
      <c r="H5" s="6"/>
      <c r="I5" s="6"/>
      <c r="J5" s="6"/>
      <c r="K5" s="6"/>
      <c r="L5" s="7"/>
    </row>
    <row r="6" spans="1:12" x14ac:dyDescent="0.25">
      <c r="A6" s="5"/>
      <c r="B6" s="15" t="s">
        <v>168</v>
      </c>
      <c r="C6" s="6"/>
      <c r="D6" s="6"/>
      <c r="E6" s="6"/>
      <c r="F6" s="6"/>
      <c r="G6" s="6"/>
      <c r="H6" s="6"/>
      <c r="I6" s="6"/>
      <c r="J6" s="6"/>
      <c r="K6" s="6"/>
      <c r="L6" s="7"/>
    </row>
    <row r="7" spans="1:12" x14ac:dyDescent="0.25">
      <c r="A7" s="5"/>
      <c r="B7" s="15" t="s">
        <v>169</v>
      </c>
      <c r="C7" s="6"/>
      <c r="D7" s="6"/>
      <c r="E7" s="6"/>
      <c r="F7" s="6"/>
      <c r="G7" s="6"/>
      <c r="H7" s="6"/>
      <c r="I7" s="6"/>
      <c r="J7" s="6"/>
      <c r="K7" s="6"/>
      <c r="L7" s="7"/>
    </row>
    <row r="8" spans="1:12" x14ac:dyDescent="0.25">
      <c r="A8" s="5"/>
      <c r="B8" s="15" t="s">
        <v>170</v>
      </c>
      <c r="C8" s="6"/>
      <c r="D8" s="6"/>
      <c r="E8" s="6"/>
      <c r="F8" s="6"/>
      <c r="G8" s="6"/>
      <c r="H8" s="6"/>
      <c r="I8" s="6"/>
      <c r="J8" s="6"/>
      <c r="K8" s="6"/>
      <c r="L8" s="7"/>
    </row>
    <row r="9" spans="1:12" x14ac:dyDescent="0.25">
      <c r="A9" s="5"/>
      <c r="B9" s="15" t="s">
        <v>172</v>
      </c>
      <c r="C9" s="6"/>
      <c r="D9" s="6"/>
      <c r="E9" s="6"/>
      <c r="F9" s="6"/>
      <c r="G9" s="6"/>
      <c r="H9" s="6"/>
      <c r="I9" s="6"/>
      <c r="J9" s="6"/>
      <c r="K9" s="6"/>
      <c r="L9" s="7"/>
    </row>
    <row r="10" spans="1:12" x14ac:dyDescent="0.25">
      <c r="A10" s="8"/>
      <c r="B10" s="16" t="s">
        <v>171</v>
      </c>
      <c r="C10" s="9"/>
      <c r="D10" s="9"/>
      <c r="E10" s="9"/>
      <c r="F10" s="9"/>
      <c r="G10" s="9"/>
      <c r="H10" s="9"/>
      <c r="I10" s="9"/>
      <c r="J10" s="9"/>
      <c r="K10" s="9"/>
      <c r="L10" s="10"/>
    </row>
  </sheetData>
  <pageMargins left="0.7" right="0.7" top="0.75" bottom="0.75" header="0.3" footer="0.3"/>
  <pageSetup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50"/>
  <sheetViews>
    <sheetView tabSelected="1" zoomScaleNormal="100" workbookViewId="0">
      <selection activeCell="D3" sqref="D3"/>
    </sheetView>
  </sheetViews>
  <sheetFormatPr defaultRowHeight="15" x14ac:dyDescent="0.25"/>
  <cols>
    <col min="1" max="1" width="9.140625" customWidth="1"/>
    <col min="3" max="3" width="11.85546875" customWidth="1"/>
    <col min="4" max="4" width="47.85546875" customWidth="1"/>
    <col min="5" max="5" width="15.28515625" customWidth="1"/>
    <col min="6" max="6" width="18" customWidth="1"/>
  </cols>
  <sheetData>
    <row r="1" spans="1:9" x14ac:dyDescent="0.25">
      <c r="A1" s="1" t="s">
        <v>997</v>
      </c>
    </row>
    <row r="2" spans="1:9" x14ac:dyDescent="0.25">
      <c r="A2" s="1" t="str">
        <f>[1]Labor!C1</f>
        <v>807 KAR 5:071 Section 3(2)(c)  &amp; 807 KAR 5:001 Section 16(9)(t)(1-3)</v>
      </c>
    </row>
    <row r="3" spans="1:9" x14ac:dyDescent="0.25">
      <c r="A3" s="1"/>
    </row>
    <row r="4" spans="1:9" x14ac:dyDescent="0.25">
      <c r="A4" s="109" t="s">
        <v>998</v>
      </c>
      <c r="B4" s="110"/>
      <c r="C4" s="14" t="s">
        <v>999</v>
      </c>
      <c r="D4" s="3"/>
      <c r="E4" s="3"/>
      <c r="F4" s="3"/>
      <c r="G4" s="3"/>
      <c r="H4" s="3"/>
      <c r="I4" s="4"/>
    </row>
    <row r="5" spans="1:9" x14ac:dyDescent="0.25">
      <c r="A5" s="15"/>
      <c r="B5" s="7"/>
      <c r="C5" s="15" t="s">
        <v>1000</v>
      </c>
      <c r="D5" s="6"/>
      <c r="E5" s="6"/>
      <c r="F5" s="6"/>
      <c r="G5" s="6"/>
      <c r="H5" s="6"/>
      <c r="I5" s="7"/>
    </row>
    <row r="6" spans="1:9" x14ac:dyDescent="0.25">
      <c r="A6" s="15"/>
      <c r="B6" s="7"/>
      <c r="C6" s="15" t="s">
        <v>1001</v>
      </c>
      <c r="D6" s="6"/>
      <c r="E6" s="6"/>
      <c r="F6" s="6"/>
      <c r="G6" s="6"/>
      <c r="H6" s="6"/>
      <c r="I6" s="7"/>
    </row>
    <row r="7" spans="1:9" x14ac:dyDescent="0.25">
      <c r="A7" s="15"/>
      <c r="B7" s="7"/>
      <c r="C7" s="15" t="s">
        <v>1002</v>
      </c>
      <c r="D7" s="6"/>
      <c r="E7" s="6"/>
      <c r="F7" s="6"/>
      <c r="G7" s="6"/>
      <c r="H7" s="6"/>
      <c r="I7" s="7"/>
    </row>
    <row r="8" spans="1:9" x14ac:dyDescent="0.25">
      <c r="A8" s="15"/>
      <c r="B8" s="7"/>
      <c r="C8" s="15" t="s">
        <v>1003</v>
      </c>
      <c r="D8" s="6"/>
      <c r="E8" s="6"/>
      <c r="F8" s="6"/>
      <c r="G8" s="6"/>
      <c r="H8" s="6"/>
      <c r="I8" s="7"/>
    </row>
    <row r="9" spans="1:9" x14ac:dyDescent="0.25">
      <c r="A9" s="15"/>
      <c r="B9" s="7"/>
      <c r="C9" s="15" t="s">
        <v>1004</v>
      </c>
      <c r="D9" s="6"/>
      <c r="E9" s="6"/>
      <c r="F9" s="6"/>
      <c r="G9" s="6"/>
      <c r="H9" s="6"/>
      <c r="I9" s="7"/>
    </row>
    <row r="10" spans="1:9" x14ac:dyDescent="0.25">
      <c r="A10" s="16"/>
      <c r="B10" s="10"/>
      <c r="C10" s="16" t="s">
        <v>1005</v>
      </c>
      <c r="D10" s="9"/>
      <c r="E10" s="9"/>
      <c r="F10" s="9"/>
      <c r="G10" s="9"/>
      <c r="H10" s="9"/>
      <c r="I10" s="10"/>
    </row>
    <row r="12" spans="1:9" x14ac:dyDescent="0.25">
      <c r="C12" s="14" t="s">
        <v>1006</v>
      </c>
      <c r="D12" s="3"/>
      <c r="E12" s="3"/>
      <c r="F12" s="3"/>
      <c r="G12" s="3"/>
      <c r="H12" s="3"/>
      <c r="I12" s="4"/>
    </row>
    <row r="13" spans="1:9" x14ac:dyDescent="0.25">
      <c r="C13" s="15" t="s">
        <v>1007</v>
      </c>
      <c r="D13" s="6"/>
      <c r="E13" s="6"/>
      <c r="F13" s="6"/>
      <c r="G13" s="6"/>
      <c r="H13" s="6"/>
      <c r="I13" s="7"/>
    </row>
    <row r="14" spans="1:9" x14ac:dyDescent="0.25">
      <c r="C14" s="16" t="s">
        <v>1008</v>
      </c>
      <c r="D14" s="9"/>
      <c r="E14" s="9"/>
      <c r="F14" s="9"/>
      <c r="G14" s="9"/>
      <c r="H14" s="9"/>
      <c r="I14" s="10"/>
    </row>
    <row r="15" spans="1:9" x14ac:dyDescent="0.25">
      <c r="C15" s="6"/>
      <c r="D15" s="6"/>
      <c r="E15" s="6"/>
      <c r="F15" s="6"/>
      <c r="G15" s="6"/>
      <c r="H15" s="6"/>
      <c r="I15" s="6"/>
    </row>
    <row r="16" spans="1:9" x14ac:dyDescent="0.25">
      <c r="C16" s="104" t="s">
        <v>1137</v>
      </c>
      <c r="D16" s="3"/>
      <c r="E16" s="3"/>
      <c r="F16" s="3"/>
      <c r="G16" s="3"/>
      <c r="H16" s="3"/>
      <c r="I16" s="4"/>
    </row>
    <row r="17" spans="3:9" x14ac:dyDescent="0.25">
      <c r="C17" s="40" t="s">
        <v>1135</v>
      </c>
      <c r="D17" s="6"/>
      <c r="E17" s="6"/>
      <c r="F17" s="6"/>
      <c r="G17" s="6"/>
      <c r="H17" s="6"/>
      <c r="I17" s="7"/>
    </row>
    <row r="18" spans="3:9" x14ac:dyDescent="0.25">
      <c r="C18" s="41" t="s">
        <v>1136</v>
      </c>
      <c r="D18" s="9"/>
      <c r="E18" s="9"/>
      <c r="F18" s="9"/>
      <c r="G18" s="9"/>
      <c r="H18" s="9"/>
      <c r="I18" s="10"/>
    </row>
    <row r="19" spans="3:9" x14ac:dyDescent="0.25">
      <c r="C19" s="6"/>
      <c r="D19" s="6"/>
      <c r="E19" s="6"/>
      <c r="F19" s="6"/>
      <c r="G19" s="6"/>
      <c r="H19" s="6"/>
      <c r="I19" s="6"/>
    </row>
    <row r="20" spans="3:9" x14ac:dyDescent="0.25">
      <c r="C20" s="6"/>
      <c r="D20" s="6"/>
      <c r="E20" s="6"/>
      <c r="F20" s="6"/>
      <c r="G20" s="6"/>
      <c r="H20" s="6"/>
      <c r="I20" s="6"/>
    </row>
    <row r="21" spans="3:9" x14ac:dyDescent="0.25">
      <c r="C21" s="6"/>
      <c r="D21" s="6"/>
      <c r="E21" s="6"/>
      <c r="F21" s="6"/>
      <c r="G21" s="6"/>
      <c r="H21" s="6"/>
      <c r="I21" s="6"/>
    </row>
    <row r="22" spans="3:9" x14ac:dyDescent="0.25">
      <c r="C22" s="65" t="s">
        <v>1009</v>
      </c>
      <c r="D22" s="13" t="s">
        <v>1010</v>
      </c>
      <c r="E22" s="13"/>
      <c r="F22" s="12"/>
      <c r="G22" s="6"/>
      <c r="H22" s="6"/>
      <c r="I22" s="6"/>
    </row>
    <row r="23" spans="3:9" x14ac:dyDescent="0.25">
      <c r="C23" s="72" t="s">
        <v>1011</v>
      </c>
      <c r="D23" s="13" t="s">
        <v>1012</v>
      </c>
      <c r="E23" s="13"/>
      <c r="F23" s="12"/>
      <c r="G23" s="6"/>
      <c r="H23" s="6"/>
      <c r="I23" s="6"/>
    </row>
    <row r="24" spans="3:9" x14ac:dyDescent="0.25">
      <c r="C24" s="72" t="s">
        <v>1013</v>
      </c>
      <c r="D24" s="13" t="s">
        <v>1014</v>
      </c>
      <c r="E24" s="13"/>
      <c r="F24" s="12"/>
      <c r="G24" s="6"/>
      <c r="H24" s="6"/>
      <c r="I24" s="6"/>
    </row>
    <row r="25" spans="3:9" x14ac:dyDescent="0.25">
      <c r="C25" s="89" t="s">
        <v>1015</v>
      </c>
      <c r="D25" s="90" t="s">
        <v>1016</v>
      </c>
      <c r="E25" s="3"/>
      <c r="F25" s="4"/>
      <c r="G25" s="6"/>
      <c r="H25" s="6"/>
      <c r="I25" s="6"/>
    </row>
    <row r="26" spans="3:9" x14ac:dyDescent="0.25">
      <c r="C26" s="91"/>
      <c r="D26" s="92" t="s">
        <v>1017</v>
      </c>
      <c r="E26" s="9"/>
      <c r="F26" s="10"/>
      <c r="G26" s="6"/>
      <c r="H26" s="6"/>
      <c r="I26" s="6"/>
    </row>
    <row r="27" spans="3:9" x14ac:dyDescent="0.25">
      <c r="C27" s="72" t="s">
        <v>1018</v>
      </c>
      <c r="D27" s="93" t="s">
        <v>1019</v>
      </c>
      <c r="E27" s="13"/>
      <c r="F27" s="12"/>
      <c r="G27" s="6"/>
      <c r="H27" s="6"/>
      <c r="I27" s="6"/>
    </row>
    <row r="28" spans="3:9" x14ac:dyDescent="0.25">
      <c r="C28" s="89" t="s">
        <v>1020</v>
      </c>
      <c r="D28" s="90" t="s">
        <v>1021</v>
      </c>
      <c r="E28" s="3"/>
      <c r="F28" s="4"/>
      <c r="G28" s="6"/>
      <c r="H28" s="6"/>
      <c r="I28" s="6"/>
    </row>
    <row r="29" spans="3:9" x14ac:dyDescent="0.25">
      <c r="C29" s="8"/>
      <c r="D29" s="92" t="s">
        <v>1022</v>
      </c>
      <c r="E29" s="9"/>
      <c r="F29" s="10"/>
      <c r="G29" s="6"/>
      <c r="H29" s="6"/>
      <c r="I29" s="6"/>
    </row>
    <row r="30" spans="3:9" x14ac:dyDescent="0.25">
      <c r="C30" s="72" t="s">
        <v>1133</v>
      </c>
      <c r="D30" s="13" t="s">
        <v>1134</v>
      </c>
      <c r="E30" s="13"/>
      <c r="F30" s="12"/>
      <c r="G30" s="6"/>
      <c r="H30" s="6"/>
      <c r="I30" s="6"/>
    </row>
    <row r="31" spans="3:9" x14ac:dyDescent="0.25">
      <c r="C31" s="6"/>
      <c r="D31" s="6"/>
      <c r="E31" s="6"/>
      <c r="F31" s="6"/>
      <c r="G31" s="6"/>
      <c r="H31" s="6"/>
      <c r="I31" s="6"/>
    </row>
    <row r="32" spans="3:9" x14ac:dyDescent="0.25">
      <c r="C32" s="6"/>
      <c r="D32" s="6"/>
      <c r="E32" s="6"/>
      <c r="F32" s="6"/>
      <c r="G32" s="6"/>
      <c r="H32" s="6"/>
      <c r="I32" s="6"/>
    </row>
    <row r="33" spans="3:9" x14ac:dyDescent="0.25">
      <c r="C33" s="6"/>
      <c r="D33" s="6"/>
      <c r="E33" s="6"/>
      <c r="F33" s="6"/>
      <c r="G33" s="6"/>
      <c r="H33" s="6"/>
      <c r="I33" s="6"/>
    </row>
    <row r="34" spans="3:9" x14ac:dyDescent="0.25">
      <c r="C34" s="2"/>
      <c r="D34" s="2"/>
      <c r="E34" s="2"/>
      <c r="F34" s="18" t="s">
        <v>797</v>
      </c>
      <c r="G34" s="6"/>
      <c r="H34" s="6"/>
      <c r="I34" s="6"/>
    </row>
    <row r="35" spans="3:9" x14ac:dyDescent="0.25">
      <c r="C35" s="94" t="s">
        <v>1023</v>
      </c>
      <c r="D35" s="94" t="s">
        <v>1024</v>
      </c>
      <c r="E35" s="94" t="s">
        <v>135</v>
      </c>
      <c r="F35" s="95" t="s">
        <v>1025</v>
      </c>
      <c r="G35" s="6"/>
      <c r="H35" s="6"/>
    </row>
    <row r="36" spans="3:9" x14ac:dyDescent="0.25">
      <c r="C36" s="5" t="s">
        <v>1026</v>
      </c>
      <c r="D36" s="5" t="s">
        <v>1027</v>
      </c>
      <c r="E36" s="7"/>
      <c r="F36" s="2"/>
    </row>
    <row r="37" spans="3:9" x14ac:dyDescent="0.25">
      <c r="C37" s="5" t="s">
        <v>1028</v>
      </c>
      <c r="D37" s="5" t="s">
        <v>1029</v>
      </c>
      <c r="E37" s="96">
        <v>0.75</v>
      </c>
      <c r="F37" s="97" t="s">
        <v>1011</v>
      </c>
    </row>
    <row r="38" spans="3:9" x14ac:dyDescent="0.25">
      <c r="C38" s="5" t="s">
        <v>1030</v>
      </c>
      <c r="D38" s="5" t="s">
        <v>1031</v>
      </c>
      <c r="E38" s="96">
        <v>0.04</v>
      </c>
      <c r="F38" s="98"/>
    </row>
    <row r="39" spans="3:9" x14ac:dyDescent="0.25">
      <c r="C39" s="5" t="s">
        <v>1032</v>
      </c>
      <c r="D39" s="5" t="s">
        <v>1033</v>
      </c>
      <c r="E39" s="96">
        <v>0.01</v>
      </c>
      <c r="F39" s="5"/>
    </row>
    <row r="40" spans="3:9" x14ac:dyDescent="0.25">
      <c r="C40" s="5" t="s">
        <v>1034</v>
      </c>
      <c r="D40" s="5" t="s">
        <v>1035</v>
      </c>
      <c r="E40" s="96">
        <v>0.2</v>
      </c>
      <c r="F40" s="5"/>
    </row>
    <row r="41" spans="3:9" x14ac:dyDescent="0.25">
      <c r="C41" s="8"/>
      <c r="D41" s="8"/>
      <c r="E41" s="99">
        <v>1</v>
      </c>
      <c r="F41" s="8"/>
    </row>
    <row r="42" spans="3:9" x14ac:dyDescent="0.25">
      <c r="C42" s="2" t="s">
        <v>1036</v>
      </c>
      <c r="D42" s="2" t="s">
        <v>1037</v>
      </c>
      <c r="E42" s="4"/>
      <c r="F42" s="2"/>
    </row>
    <row r="43" spans="3:9" x14ac:dyDescent="0.25">
      <c r="C43" s="5" t="s">
        <v>1038</v>
      </c>
      <c r="D43" s="5" t="s">
        <v>1029</v>
      </c>
      <c r="E43" s="100">
        <v>0.51</v>
      </c>
      <c r="F43" s="97" t="s">
        <v>1013</v>
      </c>
    </row>
    <row r="44" spans="3:9" x14ac:dyDescent="0.25">
      <c r="C44" s="5" t="s">
        <v>1039</v>
      </c>
      <c r="D44" s="5" t="s">
        <v>1035</v>
      </c>
      <c r="E44" s="100">
        <v>0.49</v>
      </c>
      <c r="F44" s="5"/>
    </row>
    <row r="45" spans="3:9" x14ac:dyDescent="0.25">
      <c r="C45" s="8"/>
      <c r="D45" s="8"/>
      <c r="E45" s="99">
        <v>1</v>
      </c>
      <c r="F45" s="8"/>
    </row>
    <row r="46" spans="3:9" x14ac:dyDescent="0.25">
      <c r="C46" s="2" t="s">
        <v>1040</v>
      </c>
      <c r="D46" s="2" t="s">
        <v>1041</v>
      </c>
      <c r="E46" s="4"/>
      <c r="F46" s="2"/>
    </row>
    <row r="47" spans="3:9" x14ac:dyDescent="0.25">
      <c r="C47" s="5" t="s">
        <v>1042</v>
      </c>
      <c r="D47" s="5" t="s">
        <v>1029</v>
      </c>
      <c r="E47" s="100">
        <v>0.51</v>
      </c>
      <c r="F47" s="97" t="s">
        <v>1013</v>
      </c>
    </row>
    <row r="48" spans="3:9" x14ac:dyDescent="0.25">
      <c r="C48" s="5" t="s">
        <v>1043</v>
      </c>
      <c r="D48" s="5" t="s">
        <v>1035</v>
      </c>
      <c r="E48" s="100">
        <v>0.49</v>
      </c>
      <c r="F48" s="5"/>
    </row>
    <row r="49" spans="3:6" x14ac:dyDescent="0.25">
      <c r="C49" s="8"/>
      <c r="D49" s="8"/>
      <c r="E49" s="99">
        <v>1</v>
      </c>
      <c r="F49" s="8"/>
    </row>
    <row r="50" spans="3:6" x14ac:dyDescent="0.25">
      <c r="C50" s="2" t="s">
        <v>1044</v>
      </c>
      <c r="D50" s="2" t="s">
        <v>1045</v>
      </c>
      <c r="E50" s="4"/>
      <c r="F50" s="2"/>
    </row>
    <row r="51" spans="3:6" x14ac:dyDescent="0.25">
      <c r="C51" s="5" t="s">
        <v>1046</v>
      </c>
      <c r="D51" s="5" t="s">
        <v>1029</v>
      </c>
      <c r="E51" s="100">
        <v>0.51</v>
      </c>
      <c r="F51" s="97" t="s">
        <v>1013</v>
      </c>
    </row>
    <row r="52" spans="3:6" x14ac:dyDescent="0.25">
      <c r="C52" s="5" t="s">
        <v>1043</v>
      </c>
      <c r="D52" s="5" t="s">
        <v>1035</v>
      </c>
      <c r="E52" s="100">
        <v>0.49</v>
      </c>
      <c r="F52" s="5"/>
    </row>
    <row r="53" spans="3:6" x14ac:dyDescent="0.25">
      <c r="C53" s="8"/>
      <c r="D53" s="8"/>
      <c r="E53" s="99">
        <v>1</v>
      </c>
      <c r="F53" s="8"/>
    </row>
    <row r="54" spans="3:6" x14ac:dyDescent="0.25">
      <c r="C54" s="2" t="s">
        <v>1047</v>
      </c>
      <c r="D54" s="2" t="s">
        <v>1048</v>
      </c>
      <c r="E54" s="4"/>
      <c r="F54" s="2"/>
    </row>
    <row r="55" spans="3:6" x14ac:dyDescent="0.25">
      <c r="C55" s="5" t="s">
        <v>1049</v>
      </c>
      <c r="D55" s="5" t="s">
        <v>1029</v>
      </c>
      <c r="E55" s="100">
        <v>0.51</v>
      </c>
      <c r="F55" s="97" t="s">
        <v>1013</v>
      </c>
    </row>
    <row r="56" spans="3:6" x14ac:dyDescent="0.25">
      <c r="C56" s="5" t="s">
        <v>1043</v>
      </c>
      <c r="D56" s="5" t="s">
        <v>1035</v>
      </c>
      <c r="E56" s="100">
        <v>0.49</v>
      </c>
      <c r="F56" s="5"/>
    </row>
    <row r="57" spans="3:6" x14ac:dyDescent="0.25">
      <c r="C57" s="8"/>
      <c r="D57" s="101"/>
      <c r="E57" s="99">
        <v>1</v>
      </c>
      <c r="F57" s="8"/>
    </row>
    <row r="58" spans="3:6" x14ac:dyDescent="0.25">
      <c r="C58" s="2" t="s">
        <v>1050</v>
      </c>
      <c r="D58" s="2" t="s">
        <v>1051</v>
      </c>
      <c r="E58" s="4"/>
      <c r="F58" s="2"/>
    </row>
    <row r="59" spans="3:6" x14ac:dyDescent="0.25">
      <c r="C59" s="5" t="s">
        <v>1052</v>
      </c>
      <c r="D59" s="5" t="s">
        <v>1029</v>
      </c>
      <c r="E59" s="100">
        <v>0.51</v>
      </c>
      <c r="F59" s="97" t="s">
        <v>1013</v>
      </c>
    </row>
    <row r="60" spans="3:6" x14ac:dyDescent="0.25">
      <c r="C60" s="5" t="s">
        <v>1043</v>
      </c>
      <c r="D60" s="5" t="s">
        <v>1035</v>
      </c>
      <c r="E60" s="100">
        <v>0.49</v>
      </c>
      <c r="F60" s="5"/>
    </row>
    <row r="61" spans="3:6" x14ac:dyDescent="0.25">
      <c r="C61" s="8"/>
      <c r="D61" s="8"/>
      <c r="E61" s="99">
        <v>1</v>
      </c>
      <c r="F61" s="8"/>
    </row>
    <row r="62" spans="3:6" x14ac:dyDescent="0.25">
      <c r="C62" s="2" t="s">
        <v>1053</v>
      </c>
      <c r="D62" s="2" t="s">
        <v>1054</v>
      </c>
      <c r="E62" s="4"/>
      <c r="F62" s="2"/>
    </row>
    <row r="63" spans="3:6" x14ac:dyDescent="0.25">
      <c r="C63" s="5" t="s">
        <v>1055</v>
      </c>
      <c r="D63" s="5" t="s">
        <v>1029</v>
      </c>
      <c r="E63" s="100">
        <v>0.87</v>
      </c>
      <c r="F63" s="97" t="s">
        <v>1015</v>
      </c>
    </row>
    <row r="64" spans="3:6" x14ac:dyDescent="0.25">
      <c r="C64" s="5" t="s">
        <v>1056</v>
      </c>
      <c r="D64" s="5" t="s">
        <v>1035</v>
      </c>
      <c r="E64" s="100">
        <v>0.13</v>
      </c>
      <c r="F64" s="5"/>
    </row>
    <row r="65" spans="3:6" x14ac:dyDescent="0.25">
      <c r="C65" s="8"/>
      <c r="D65" s="8"/>
      <c r="E65" s="99">
        <v>1</v>
      </c>
      <c r="F65" s="8"/>
    </row>
    <row r="66" spans="3:6" x14ac:dyDescent="0.25">
      <c r="C66" s="2" t="s">
        <v>1057</v>
      </c>
      <c r="D66" s="2" t="s">
        <v>1058</v>
      </c>
      <c r="E66" s="4"/>
      <c r="F66" s="2"/>
    </row>
    <row r="67" spans="3:6" x14ac:dyDescent="0.25">
      <c r="C67" s="5" t="s">
        <v>1059</v>
      </c>
      <c r="D67" s="5" t="s">
        <v>1029</v>
      </c>
      <c r="E67" s="100">
        <v>0.75</v>
      </c>
      <c r="F67" s="97" t="s">
        <v>1011</v>
      </c>
    </row>
    <row r="68" spans="3:6" x14ac:dyDescent="0.25">
      <c r="C68" s="5" t="s">
        <v>1060</v>
      </c>
      <c r="D68" s="5" t="s">
        <v>1031</v>
      </c>
      <c r="E68" s="100">
        <v>0.04</v>
      </c>
      <c r="F68" s="5"/>
    </row>
    <row r="69" spans="3:6" x14ac:dyDescent="0.25">
      <c r="C69" s="5" t="s">
        <v>1061</v>
      </c>
      <c r="D69" s="5" t="s">
        <v>1033</v>
      </c>
      <c r="E69" s="100">
        <v>0.01</v>
      </c>
      <c r="F69" s="5"/>
    </row>
    <row r="70" spans="3:6" x14ac:dyDescent="0.25">
      <c r="C70" s="5" t="s">
        <v>1062</v>
      </c>
      <c r="D70" s="5" t="s">
        <v>1035</v>
      </c>
      <c r="E70" s="100">
        <v>0.2</v>
      </c>
      <c r="F70" s="5"/>
    </row>
    <row r="71" spans="3:6" x14ac:dyDescent="0.25">
      <c r="C71" s="8"/>
      <c r="D71" s="101"/>
      <c r="E71" s="99">
        <v>1</v>
      </c>
      <c r="F71" s="8"/>
    </row>
    <row r="72" spans="3:6" x14ac:dyDescent="0.25">
      <c r="C72" s="2" t="s">
        <v>1063</v>
      </c>
      <c r="D72" s="2" t="s">
        <v>1064</v>
      </c>
      <c r="E72" s="4"/>
      <c r="F72" s="2"/>
    </row>
    <row r="73" spans="3:6" x14ac:dyDescent="0.25">
      <c r="C73" s="5" t="s">
        <v>1065</v>
      </c>
      <c r="D73" s="5" t="s">
        <v>1029</v>
      </c>
      <c r="E73" s="100">
        <v>0.8</v>
      </c>
      <c r="F73" s="97" t="s">
        <v>1018</v>
      </c>
    </row>
    <row r="74" spans="3:6" x14ac:dyDescent="0.25">
      <c r="C74" s="5" t="s">
        <v>1066</v>
      </c>
      <c r="D74" s="5" t="s">
        <v>1035</v>
      </c>
      <c r="E74" s="100">
        <v>0.2</v>
      </c>
      <c r="F74" s="5"/>
    </row>
    <row r="75" spans="3:6" x14ac:dyDescent="0.25">
      <c r="C75" s="8"/>
      <c r="D75" s="8"/>
      <c r="E75" s="99">
        <v>1</v>
      </c>
      <c r="F75" s="8"/>
    </row>
    <row r="76" spans="3:6" x14ac:dyDescent="0.25">
      <c r="C76" s="2" t="s">
        <v>1067</v>
      </c>
      <c r="D76" s="2" t="s">
        <v>1068</v>
      </c>
      <c r="E76" s="4"/>
      <c r="F76" s="2"/>
    </row>
    <row r="77" spans="3:6" x14ac:dyDescent="0.25">
      <c r="C77" s="5" t="s">
        <v>1069</v>
      </c>
      <c r="D77" s="5" t="s">
        <v>1029</v>
      </c>
      <c r="E77" s="100">
        <v>0.8</v>
      </c>
      <c r="F77" s="97" t="s">
        <v>1018</v>
      </c>
    </row>
    <row r="78" spans="3:6" x14ac:dyDescent="0.25">
      <c r="C78" s="5" t="s">
        <v>1066</v>
      </c>
      <c r="D78" s="5" t="s">
        <v>1035</v>
      </c>
      <c r="E78" s="100">
        <v>0.2</v>
      </c>
      <c r="F78" s="5"/>
    </row>
    <row r="79" spans="3:6" x14ac:dyDescent="0.25">
      <c r="C79" s="8"/>
      <c r="D79" s="8"/>
      <c r="E79" s="99">
        <v>1</v>
      </c>
      <c r="F79" s="8"/>
    </row>
    <row r="80" spans="3:6" x14ac:dyDescent="0.25">
      <c r="C80" s="5" t="s">
        <v>1127</v>
      </c>
      <c r="D80" s="2" t="s">
        <v>1131</v>
      </c>
      <c r="E80" s="100"/>
      <c r="F80" s="103"/>
    </row>
    <row r="81" spans="3:6" x14ac:dyDescent="0.25">
      <c r="C81" s="5" t="s">
        <v>1128</v>
      </c>
      <c r="D81" s="5" t="s">
        <v>1029</v>
      </c>
      <c r="E81" s="100">
        <v>0.44</v>
      </c>
      <c r="F81" s="102" t="s">
        <v>1133</v>
      </c>
    </row>
    <row r="82" spans="3:6" x14ac:dyDescent="0.25">
      <c r="C82" s="5" t="s">
        <v>1030</v>
      </c>
      <c r="D82" s="5" t="s">
        <v>1031</v>
      </c>
      <c r="E82" s="100">
        <v>0.02</v>
      </c>
      <c r="F82" s="103"/>
    </row>
    <row r="83" spans="3:6" x14ac:dyDescent="0.25">
      <c r="C83" s="5" t="s">
        <v>1032</v>
      </c>
      <c r="D83" s="5" t="s">
        <v>1033</v>
      </c>
      <c r="E83" s="100">
        <v>0.01</v>
      </c>
      <c r="F83" s="103"/>
    </row>
    <row r="84" spans="3:6" x14ac:dyDescent="0.25">
      <c r="C84" s="5" t="s">
        <v>1129</v>
      </c>
      <c r="D84" s="5" t="s">
        <v>1035</v>
      </c>
      <c r="E84" s="100">
        <v>0.31</v>
      </c>
      <c r="F84" s="103"/>
    </row>
    <row r="85" spans="3:6" x14ac:dyDescent="0.25">
      <c r="C85" s="5" t="s">
        <v>1130</v>
      </c>
      <c r="D85" s="5" t="s">
        <v>1132</v>
      </c>
      <c r="E85" s="100">
        <v>0.22</v>
      </c>
      <c r="F85" s="103"/>
    </row>
    <row r="86" spans="3:6" x14ac:dyDescent="0.25">
      <c r="C86" s="5"/>
      <c r="D86" s="5"/>
      <c r="E86" s="100"/>
      <c r="F86" s="5"/>
    </row>
    <row r="87" spans="3:6" x14ac:dyDescent="0.25">
      <c r="C87" s="2" t="s">
        <v>1070</v>
      </c>
      <c r="D87" s="2" t="s">
        <v>1071</v>
      </c>
      <c r="E87" s="4"/>
      <c r="F87" s="2"/>
    </row>
    <row r="88" spans="3:6" x14ac:dyDescent="0.25">
      <c r="C88" s="5" t="s">
        <v>1072</v>
      </c>
      <c r="D88" s="5" t="s">
        <v>1029</v>
      </c>
      <c r="E88" s="100">
        <v>0.51</v>
      </c>
      <c r="F88" s="97" t="s">
        <v>1013</v>
      </c>
    </row>
    <row r="89" spans="3:6" x14ac:dyDescent="0.25">
      <c r="C89" s="5" t="s">
        <v>1073</v>
      </c>
      <c r="D89" s="5" t="s">
        <v>1035</v>
      </c>
      <c r="E89" s="100">
        <v>0.49</v>
      </c>
      <c r="F89" s="5"/>
    </row>
    <row r="90" spans="3:6" x14ac:dyDescent="0.25">
      <c r="C90" s="8"/>
      <c r="D90" s="8"/>
      <c r="E90" s="99">
        <v>1</v>
      </c>
      <c r="F90" s="8"/>
    </row>
    <row r="91" spans="3:6" x14ac:dyDescent="0.25">
      <c r="C91" s="2" t="s">
        <v>1074</v>
      </c>
      <c r="D91" s="2" t="s">
        <v>1075</v>
      </c>
      <c r="E91" s="4"/>
      <c r="F91" s="2"/>
    </row>
    <row r="92" spans="3:6" x14ac:dyDescent="0.25">
      <c r="C92" s="5" t="s">
        <v>1076</v>
      </c>
      <c r="D92" s="5" t="s">
        <v>1029</v>
      </c>
      <c r="E92" s="100">
        <v>0.93</v>
      </c>
      <c r="F92" s="97" t="s">
        <v>1020</v>
      </c>
    </row>
    <row r="93" spans="3:6" x14ac:dyDescent="0.25">
      <c r="C93" s="5" t="s">
        <v>1077</v>
      </c>
      <c r="D93" s="5" t="s">
        <v>1035</v>
      </c>
      <c r="E93" s="100">
        <v>7.0000000000000007E-2</v>
      </c>
      <c r="F93" s="5"/>
    </row>
    <row r="94" spans="3:6" x14ac:dyDescent="0.25">
      <c r="C94" s="8"/>
      <c r="D94" s="8"/>
      <c r="E94" s="99">
        <v>1</v>
      </c>
      <c r="F94" s="8"/>
    </row>
    <row r="95" spans="3:6" x14ac:dyDescent="0.25">
      <c r="C95" s="2" t="s">
        <v>1078</v>
      </c>
      <c r="D95" s="2" t="s">
        <v>1079</v>
      </c>
      <c r="E95" s="4"/>
      <c r="F95" s="2"/>
    </row>
    <row r="96" spans="3:6" x14ac:dyDescent="0.25">
      <c r="C96" s="5" t="s">
        <v>1080</v>
      </c>
      <c r="D96" s="5" t="s">
        <v>1029</v>
      </c>
      <c r="E96" s="100">
        <v>0.75</v>
      </c>
      <c r="F96" s="97" t="s">
        <v>1011</v>
      </c>
    </row>
    <row r="97" spans="3:6" x14ac:dyDescent="0.25">
      <c r="C97" s="5" t="s">
        <v>1081</v>
      </c>
      <c r="D97" s="5" t="s">
        <v>1031</v>
      </c>
      <c r="E97" s="100">
        <v>0.04</v>
      </c>
      <c r="F97" s="5"/>
    </row>
    <row r="98" spans="3:6" x14ac:dyDescent="0.25">
      <c r="C98" s="5" t="s">
        <v>1082</v>
      </c>
      <c r="D98" s="5" t="s">
        <v>1033</v>
      </c>
      <c r="E98" s="100">
        <v>0.01</v>
      </c>
      <c r="F98" s="5"/>
    </row>
    <row r="99" spans="3:6" x14ac:dyDescent="0.25">
      <c r="C99" s="5" t="s">
        <v>1083</v>
      </c>
      <c r="D99" s="5" t="s">
        <v>1035</v>
      </c>
      <c r="E99" s="100">
        <v>0.2</v>
      </c>
      <c r="F99" s="5"/>
    </row>
    <row r="100" spans="3:6" x14ac:dyDescent="0.25">
      <c r="C100" s="8"/>
      <c r="D100" s="8"/>
      <c r="E100" s="99">
        <v>1</v>
      </c>
      <c r="F100" s="8"/>
    </row>
    <row r="101" spans="3:6" x14ac:dyDescent="0.25">
      <c r="C101" s="2" t="s">
        <v>1084</v>
      </c>
      <c r="D101" s="2" t="s">
        <v>1085</v>
      </c>
      <c r="E101" s="4"/>
      <c r="F101" s="2"/>
    </row>
    <row r="102" spans="3:6" x14ac:dyDescent="0.25">
      <c r="C102" s="5" t="s">
        <v>1086</v>
      </c>
      <c r="D102" s="5" t="s">
        <v>1029</v>
      </c>
      <c r="E102" s="100">
        <v>0.8</v>
      </c>
      <c r="F102" s="97" t="s">
        <v>1018</v>
      </c>
    </row>
    <row r="103" spans="3:6" x14ac:dyDescent="0.25">
      <c r="C103" s="5" t="s">
        <v>1066</v>
      </c>
      <c r="D103" s="5" t="s">
        <v>1035</v>
      </c>
      <c r="E103" s="100">
        <v>0.2</v>
      </c>
      <c r="F103" s="5"/>
    </row>
    <row r="104" spans="3:6" x14ac:dyDescent="0.25">
      <c r="C104" s="8"/>
      <c r="D104" s="8"/>
      <c r="E104" s="99">
        <v>1</v>
      </c>
      <c r="F104" s="8"/>
    </row>
    <row r="105" spans="3:6" x14ac:dyDescent="0.25">
      <c r="C105" s="2" t="s">
        <v>1087</v>
      </c>
      <c r="D105" s="2" t="s">
        <v>1088</v>
      </c>
      <c r="E105" s="4"/>
      <c r="F105" s="2"/>
    </row>
    <row r="106" spans="3:6" x14ac:dyDescent="0.25">
      <c r="C106" s="5" t="s">
        <v>1089</v>
      </c>
      <c r="D106" s="5" t="s">
        <v>1029</v>
      </c>
      <c r="E106" s="100">
        <v>0.75</v>
      </c>
      <c r="F106" s="97" t="s">
        <v>1011</v>
      </c>
    </row>
    <row r="107" spans="3:6" x14ac:dyDescent="0.25">
      <c r="C107" s="5" t="s">
        <v>1060</v>
      </c>
      <c r="D107" s="5" t="s">
        <v>1031</v>
      </c>
      <c r="E107" s="100">
        <v>0.04</v>
      </c>
      <c r="F107" s="5"/>
    </row>
    <row r="108" spans="3:6" x14ac:dyDescent="0.25">
      <c r="C108" s="5" t="s">
        <v>1061</v>
      </c>
      <c r="D108" s="5" t="s">
        <v>1033</v>
      </c>
      <c r="E108" s="100">
        <v>0.01</v>
      </c>
      <c r="F108" s="5"/>
    </row>
    <row r="109" spans="3:6" x14ac:dyDescent="0.25">
      <c r="C109" s="5" t="s">
        <v>1062</v>
      </c>
      <c r="D109" s="5" t="s">
        <v>1035</v>
      </c>
      <c r="E109" s="100">
        <v>0.2</v>
      </c>
      <c r="F109" s="5"/>
    </row>
    <row r="110" spans="3:6" x14ac:dyDescent="0.25">
      <c r="C110" s="8"/>
      <c r="D110" s="8"/>
      <c r="E110" s="99">
        <v>1</v>
      </c>
      <c r="F110" s="8"/>
    </row>
    <row r="111" spans="3:6" x14ac:dyDescent="0.25">
      <c r="C111" s="2" t="s">
        <v>1090</v>
      </c>
      <c r="D111" s="2" t="s">
        <v>1091</v>
      </c>
      <c r="E111" s="4"/>
      <c r="F111" s="2"/>
    </row>
    <row r="112" spans="3:6" x14ac:dyDescent="0.25">
      <c r="C112" s="5" t="s">
        <v>1092</v>
      </c>
      <c r="D112" s="5" t="s">
        <v>1029</v>
      </c>
      <c r="E112" s="100">
        <v>0.8</v>
      </c>
      <c r="F112" s="97" t="s">
        <v>1018</v>
      </c>
    </row>
    <row r="113" spans="3:6" x14ac:dyDescent="0.25">
      <c r="C113" s="5" t="s">
        <v>1066</v>
      </c>
      <c r="D113" s="5" t="s">
        <v>1035</v>
      </c>
      <c r="E113" s="100">
        <v>0.2</v>
      </c>
      <c r="F113" s="5"/>
    </row>
    <row r="114" spans="3:6" x14ac:dyDescent="0.25">
      <c r="C114" s="8"/>
      <c r="D114" s="8"/>
      <c r="E114" s="99">
        <v>1</v>
      </c>
      <c r="F114" s="8"/>
    </row>
    <row r="115" spans="3:6" x14ac:dyDescent="0.25">
      <c r="C115" s="2" t="s">
        <v>1093</v>
      </c>
      <c r="D115" s="2" t="s">
        <v>1094</v>
      </c>
      <c r="E115" s="4"/>
      <c r="F115" s="2"/>
    </row>
    <row r="116" spans="3:6" x14ac:dyDescent="0.25">
      <c r="C116" s="5" t="s">
        <v>1095</v>
      </c>
      <c r="D116" s="5" t="s">
        <v>1029</v>
      </c>
      <c r="E116" s="100">
        <v>0.8</v>
      </c>
      <c r="F116" s="97" t="s">
        <v>1018</v>
      </c>
    </row>
    <row r="117" spans="3:6" x14ac:dyDescent="0.25">
      <c r="C117" s="5" t="s">
        <v>1066</v>
      </c>
      <c r="D117" s="5" t="s">
        <v>1035</v>
      </c>
      <c r="E117" s="100">
        <v>0.2</v>
      </c>
      <c r="F117" s="5"/>
    </row>
    <row r="118" spans="3:6" x14ac:dyDescent="0.25">
      <c r="C118" s="8"/>
      <c r="D118" s="8"/>
      <c r="E118" s="99">
        <v>1</v>
      </c>
      <c r="F118" s="8"/>
    </row>
    <row r="119" spans="3:6" x14ac:dyDescent="0.25">
      <c r="C119" s="2" t="s">
        <v>1096</v>
      </c>
      <c r="D119" s="2" t="s">
        <v>1097</v>
      </c>
      <c r="E119" s="4"/>
      <c r="F119" s="2"/>
    </row>
    <row r="120" spans="3:6" x14ac:dyDescent="0.25">
      <c r="C120" s="5" t="s">
        <v>1098</v>
      </c>
      <c r="D120" s="5" t="s">
        <v>1029</v>
      </c>
      <c r="E120" s="100">
        <v>0.8</v>
      </c>
      <c r="F120" s="97" t="s">
        <v>1018</v>
      </c>
    </row>
    <row r="121" spans="3:6" x14ac:dyDescent="0.25">
      <c r="C121" s="5" t="s">
        <v>1066</v>
      </c>
      <c r="D121" s="5" t="s">
        <v>1035</v>
      </c>
      <c r="E121" s="100">
        <v>0.2</v>
      </c>
      <c r="F121" s="5"/>
    </row>
    <row r="122" spans="3:6" x14ac:dyDescent="0.25">
      <c r="C122" s="8"/>
      <c r="D122" s="8"/>
      <c r="E122" s="99">
        <v>1</v>
      </c>
      <c r="F122" s="8"/>
    </row>
    <row r="123" spans="3:6" x14ac:dyDescent="0.25">
      <c r="C123" s="2" t="s">
        <v>1099</v>
      </c>
      <c r="D123" s="2" t="s">
        <v>1100</v>
      </c>
      <c r="E123" s="4"/>
      <c r="F123" s="2"/>
    </row>
    <row r="124" spans="3:6" x14ac:dyDescent="0.25">
      <c r="C124" s="5" t="s">
        <v>1101</v>
      </c>
      <c r="D124" s="5" t="s">
        <v>1029</v>
      </c>
      <c r="E124" s="100">
        <v>0.75</v>
      </c>
      <c r="F124" s="97" t="s">
        <v>1011</v>
      </c>
    </row>
    <row r="125" spans="3:6" x14ac:dyDescent="0.25">
      <c r="C125" s="5" t="s">
        <v>1102</v>
      </c>
      <c r="D125" s="5" t="s">
        <v>1031</v>
      </c>
      <c r="E125" s="100">
        <v>0.04</v>
      </c>
      <c r="F125" s="5"/>
    </row>
    <row r="126" spans="3:6" x14ac:dyDescent="0.25">
      <c r="C126" s="5" t="s">
        <v>1103</v>
      </c>
      <c r="D126" s="5" t="s">
        <v>1033</v>
      </c>
      <c r="E126" s="100">
        <v>0.01</v>
      </c>
      <c r="F126" s="5"/>
    </row>
    <row r="127" spans="3:6" x14ac:dyDescent="0.25">
      <c r="C127" s="5" t="s">
        <v>1104</v>
      </c>
      <c r="D127" s="5" t="s">
        <v>1035</v>
      </c>
      <c r="E127" s="100">
        <v>0.2</v>
      </c>
      <c r="F127" s="5"/>
    </row>
    <row r="128" spans="3:6" x14ac:dyDescent="0.25">
      <c r="C128" s="8"/>
      <c r="D128" s="8"/>
      <c r="E128" s="99">
        <v>1</v>
      </c>
      <c r="F128" s="8"/>
    </row>
    <row r="129" spans="3:6" x14ac:dyDescent="0.25">
      <c r="C129" s="2" t="s">
        <v>1105</v>
      </c>
      <c r="D129" s="2" t="s">
        <v>1106</v>
      </c>
      <c r="E129" s="4"/>
      <c r="F129" s="2"/>
    </row>
    <row r="130" spans="3:6" x14ac:dyDescent="0.25">
      <c r="C130" s="5" t="s">
        <v>1107</v>
      </c>
      <c r="D130" s="5" t="s">
        <v>1029</v>
      </c>
      <c r="E130" s="100">
        <v>0.75</v>
      </c>
      <c r="F130" s="97" t="s">
        <v>1011</v>
      </c>
    </row>
    <row r="131" spans="3:6" x14ac:dyDescent="0.25">
      <c r="C131" s="5" t="s">
        <v>1108</v>
      </c>
      <c r="D131" s="5" t="s">
        <v>1031</v>
      </c>
      <c r="E131" s="100">
        <v>0.04</v>
      </c>
      <c r="F131" s="5"/>
    </row>
    <row r="132" spans="3:6" x14ac:dyDescent="0.25">
      <c r="C132" s="5" t="s">
        <v>1109</v>
      </c>
      <c r="D132" s="5" t="s">
        <v>1033</v>
      </c>
      <c r="E132" s="100">
        <v>0.01</v>
      </c>
      <c r="F132" s="5"/>
    </row>
    <row r="133" spans="3:6" x14ac:dyDescent="0.25">
      <c r="C133" s="5" t="s">
        <v>1110</v>
      </c>
      <c r="D133" s="5" t="s">
        <v>1035</v>
      </c>
      <c r="E133" s="100">
        <v>0.2</v>
      </c>
      <c r="F133" s="5"/>
    </row>
    <row r="134" spans="3:6" x14ac:dyDescent="0.25">
      <c r="C134" s="8"/>
      <c r="D134" s="8"/>
      <c r="E134" s="99">
        <v>1</v>
      </c>
      <c r="F134" s="8"/>
    </row>
    <row r="135" spans="3:6" x14ac:dyDescent="0.25">
      <c r="C135" s="2" t="s">
        <v>1111</v>
      </c>
      <c r="D135" s="2" t="s">
        <v>1112</v>
      </c>
      <c r="E135" s="4"/>
      <c r="F135" s="2"/>
    </row>
    <row r="136" spans="3:6" x14ac:dyDescent="0.25">
      <c r="C136" s="5" t="s">
        <v>1113</v>
      </c>
      <c r="D136" s="5" t="s">
        <v>1029</v>
      </c>
      <c r="E136" s="100">
        <v>0.75</v>
      </c>
      <c r="F136" s="97" t="s">
        <v>1011</v>
      </c>
    </row>
    <row r="137" spans="3:6" x14ac:dyDescent="0.25">
      <c r="C137" s="5" t="s">
        <v>1114</v>
      </c>
      <c r="D137" s="5" t="s">
        <v>1031</v>
      </c>
      <c r="E137" s="100">
        <v>0.04</v>
      </c>
      <c r="F137" s="5"/>
    </row>
    <row r="138" spans="3:6" x14ac:dyDescent="0.25">
      <c r="C138" s="5" t="s">
        <v>1115</v>
      </c>
      <c r="D138" s="5" t="s">
        <v>1033</v>
      </c>
      <c r="E138" s="100">
        <v>0.01</v>
      </c>
      <c r="F138" s="5"/>
    </row>
    <row r="139" spans="3:6" x14ac:dyDescent="0.25">
      <c r="C139" s="5" t="s">
        <v>1116</v>
      </c>
      <c r="D139" s="5" t="s">
        <v>1035</v>
      </c>
      <c r="E139" s="100">
        <v>0.2</v>
      </c>
      <c r="F139" s="5"/>
    </row>
    <row r="140" spans="3:6" x14ac:dyDescent="0.25">
      <c r="C140" s="8"/>
      <c r="D140" s="8"/>
      <c r="E140" s="99">
        <v>1</v>
      </c>
      <c r="F140" s="8"/>
    </row>
    <row r="141" spans="3:6" x14ac:dyDescent="0.25">
      <c r="C141" s="2" t="s">
        <v>1117</v>
      </c>
      <c r="D141" s="2" t="s">
        <v>1118</v>
      </c>
      <c r="E141" s="4"/>
      <c r="F141" s="2"/>
    </row>
    <row r="142" spans="3:6" x14ac:dyDescent="0.25">
      <c r="C142" s="5" t="s">
        <v>1119</v>
      </c>
      <c r="D142" s="5" t="s">
        <v>1029</v>
      </c>
      <c r="E142" s="100">
        <v>0.75</v>
      </c>
      <c r="F142" s="97" t="s">
        <v>1011</v>
      </c>
    </row>
    <row r="143" spans="3:6" x14ac:dyDescent="0.25">
      <c r="C143" s="5" t="s">
        <v>1120</v>
      </c>
      <c r="D143" s="5" t="s">
        <v>1031</v>
      </c>
      <c r="E143" s="100">
        <v>0.04</v>
      </c>
      <c r="F143" s="5"/>
    </row>
    <row r="144" spans="3:6" x14ac:dyDescent="0.25">
      <c r="C144" s="5" t="s">
        <v>1121</v>
      </c>
      <c r="D144" s="5" t="s">
        <v>1033</v>
      </c>
      <c r="E144" s="100">
        <v>0.01</v>
      </c>
      <c r="F144" s="5"/>
    </row>
    <row r="145" spans="3:6" x14ac:dyDescent="0.25">
      <c r="C145" s="5" t="s">
        <v>1122</v>
      </c>
      <c r="D145" s="5" t="s">
        <v>1035</v>
      </c>
      <c r="E145" s="100">
        <v>0.2</v>
      </c>
      <c r="F145" s="5"/>
    </row>
    <row r="146" spans="3:6" x14ac:dyDescent="0.25">
      <c r="C146" s="8"/>
      <c r="D146" s="8"/>
      <c r="E146" s="99">
        <v>1</v>
      </c>
      <c r="F146" s="8"/>
    </row>
    <row r="147" spans="3:6" x14ac:dyDescent="0.25">
      <c r="C147" s="2" t="s">
        <v>1123</v>
      </c>
      <c r="D147" s="2" t="s">
        <v>1124</v>
      </c>
      <c r="E147" s="4"/>
      <c r="F147" s="2"/>
    </row>
    <row r="148" spans="3:6" x14ac:dyDescent="0.25">
      <c r="C148" s="5" t="s">
        <v>1125</v>
      </c>
      <c r="D148" s="5" t="s">
        <v>1029</v>
      </c>
      <c r="E148" s="100">
        <v>0.8</v>
      </c>
      <c r="F148" s="97" t="s">
        <v>1018</v>
      </c>
    </row>
    <row r="149" spans="3:6" x14ac:dyDescent="0.25">
      <c r="C149" s="5" t="s">
        <v>1126</v>
      </c>
      <c r="D149" s="5" t="s">
        <v>1035</v>
      </c>
      <c r="E149" s="100">
        <v>0.2</v>
      </c>
      <c r="F149" s="5"/>
    </row>
    <row r="150" spans="3:6" x14ac:dyDescent="0.25">
      <c r="C150" s="8"/>
      <c r="D150" s="8"/>
      <c r="E150" s="99">
        <v>1</v>
      </c>
      <c r="F150" s="8"/>
    </row>
  </sheetData>
  <mergeCells count="1">
    <mergeCell ref="A4:B4"/>
  </mergeCells>
  <pageMargins left="0.7" right="0.7" top="0.75" bottom="0.75" header="0.3" footer="0.3"/>
  <pageSetup scale="73" orientation="landscape" horizontalDpi="0" verticalDpi="0" r:id="rId1"/>
  <rowBreaks count="3" manualBreakCount="3">
    <brk id="45" max="9" man="1"/>
    <brk id="90" max="9" man="1"/>
    <brk id="1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Labor Allocation Methodology</vt:lpstr>
      <vt:lpstr>June 2023 Labor Allocation</vt:lpstr>
      <vt:lpstr>Shared Assets</vt:lpstr>
      <vt:lpstr>Deprec Shared Asset Methodology</vt:lpstr>
      <vt:lpstr>New Assets - Split</vt:lpstr>
      <vt:lpstr>Other Direct Cost Allocations</vt:lpstr>
      <vt:lpstr>'Deprec Shared Asset Methodology'!Print_Area</vt:lpstr>
      <vt:lpstr>'June 2023 Labor Allocation'!Print_Area</vt:lpstr>
      <vt:lpstr>'Labor Allocation Methodology'!Print_Area</vt:lpstr>
      <vt:lpstr>'Other Direct Cost Allocations'!Print_Area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Schmuck</dc:creator>
  <cp:lastModifiedBy>Stoll Keenon Ogden</cp:lastModifiedBy>
  <cp:lastPrinted>2023-07-31T20:37:28Z</cp:lastPrinted>
  <dcterms:created xsi:type="dcterms:W3CDTF">2023-07-31T15:13:39Z</dcterms:created>
  <dcterms:modified xsi:type="dcterms:W3CDTF">2023-08-21T01:36:13Z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dDocumentId">
    <vt:lpwstr>4894-4165-2855</vt:lpwstr>
  </property>
</Properties>
</file>