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EB74F16-88B7-4087-84D4-B82025A47E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ONE Fixed Asset - Mthly Deprec" sheetId="1" r:id="rId1"/>
  </sheets>
  <definedNames>
    <definedName name="_xlnm.Print_Titles" localSheetId="0">'IONE Fixed Asset - Mthly Deprec'!$1:$1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8" i="1" l="1"/>
  <c r="J558" i="1"/>
  <c r="K558" i="1"/>
  <c r="L558" i="1"/>
  <c r="M558" i="1"/>
  <c r="E546" i="1"/>
  <c r="J546" i="1"/>
  <c r="K546" i="1"/>
  <c r="L546" i="1"/>
  <c r="M546" i="1"/>
  <c r="E526" i="1"/>
  <c r="J526" i="1"/>
  <c r="K526" i="1"/>
  <c r="L526" i="1"/>
  <c r="M526" i="1"/>
  <c r="E519" i="1"/>
  <c r="K519" i="1"/>
  <c r="J519" i="1"/>
  <c r="L519" i="1"/>
  <c r="M519" i="1"/>
  <c r="E476" i="1"/>
  <c r="J476" i="1"/>
  <c r="K476" i="1"/>
  <c r="L476" i="1"/>
  <c r="M476" i="1"/>
  <c r="E385" i="1"/>
  <c r="J385" i="1"/>
  <c r="K385" i="1"/>
  <c r="L385" i="1"/>
  <c r="M385" i="1"/>
  <c r="E374" i="1"/>
  <c r="J374" i="1"/>
  <c r="K374" i="1"/>
  <c r="L374" i="1"/>
  <c r="M374" i="1"/>
  <c r="E320" i="1"/>
  <c r="J320" i="1"/>
  <c r="K320" i="1"/>
  <c r="L320" i="1"/>
  <c r="M320" i="1"/>
  <c r="E318" i="1"/>
  <c r="J318" i="1"/>
  <c r="K318" i="1"/>
  <c r="L318" i="1"/>
  <c r="M318" i="1"/>
  <c r="E273" i="1"/>
  <c r="J273" i="1"/>
  <c r="K273" i="1"/>
  <c r="L273" i="1"/>
  <c r="M273" i="1"/>
  <c r="E265" i="1"/>
  <c r="J265" i="1"/>
  <c r="K265" i="1"/>
  <c r="L265" i="1"/>
  <c r="M265" i="1"/>
  <c r="E239" i="1"/>
  <c r="J239" i="1"/>
  <c r="K239" i="1"/>
  <c r="L239" i="1"/>
  <c r="M239" i="1"/>
  <c r="E236" i="1"/>
  <c r="J236" i="1"/>
  <c r="K236" i="1"/>
  <c r="L236" i="1"/>
  <c r="M236" i="1"/>
  <c r="E214" i="1"/>
  <c r="J214" i="1"/>
  <c r="K214" i="1"/>
  <c r="L214" i="1"/>
  <c r="M214" i="1"/>
  <c r="E122" i="1"/>
  <c r="J122" i="1"/>
  <c r="K122" i="1"/>
  <c r="L122" i="1"/>
  <c r="M122" i="1"/>
  <c r="E4" i="1"/>
  <c r="J4" i="1"/>
  <c r="K4" i="1"/>
  <c r="L4" i="1"/>
  <c r="M4" i="1"/>
  <c r="E559" i="1" l="1"/>
  <c r="K559" i="1"/>
  <c r="J559" i="1"/>
  <c r="M559" i="1"/>
  <c r="L559" i="1"/>
  <c r="I475" i="1" l="1"/>
  <c r="D475" i="1"/>
  <c r="C475" i="1"/>
  <c r="I557" i="1"/>
  <c r="D557" i="1"/>
  <c r="C557" i="1"/>
  <c r="I235" i="1"/>
  <c r="D235" i="1"/>
  <c r="C235" i="1"/>
  <c r="I213" i="1"/>
  <c r="D213" i="1"/>
  <c r="C213" i="1"/>
  <c r="I121" i="1"/>
  <c r="D121" i="1"/>
  <c r="C121" i="1"/>
  <c r="I474" i="1"/>
  <c r="D474" i="1"/>
  <c r="C474" i="1"/>
  <c r="I212" i="1"/>
  <c r="D212" i="1"/>
  <c r="C212" i="1"/>
  <c r="I211" i="1"/>
  <c r="D211" i="1"/>
  <c r="C211" i="1"/>
  <c r="I210" i="1"/>
  <c r="D210" i="1"/>
  <c r="C210" i="1"/>
  <c r="I209" i="1"/>
  <c r="D209" i="1"/>
  <c r="C209" i="1"/>
  <c r="I208" i="1"/>
  <c r="D208" i="1"/>
  <c r="C208" i="1"/>
  <c r="I207" i="1"/>
  <c r="D207" i="1"/>
  <c r="C207" i="1"/>
  <c r="I518" i="1"/>
  <c r="D518" i="1"/>
  <c r="C518" i="1"/>
  <c r="I317" i="1"/>
  <c r="D317" i="1"/>
  <c r="C317" i="1"/>
  <c r="I316" i="1"/>
  <c r="D316" i="1"/>
  <c r="C316" i="1"/>
  <c r="I473" i="1"/>
  <c r="D473" i="1"/>
  <c r="C473" i="1"/>
  <c r="I472" i="1"/>
  <c r="D472" i="1"/>
  <c r="C472" i="1"/>
  <c r="I315" i="1"/>
  <c r="D315" i="1"/>
  <c r="C315" i="1"/>
  <c r="I471" i="1"/>
  <c r="D471" i="1"/>
  <c r="C471" i="1"/>
  <c r="I314" i="1"/>
  <c r="D314" i="1"/>
  <c r="C314" i="1"/>
  <c r="I470" i="1"/>
  <c r="D470" i="1"/>
  <c r="C470" i="1"/>
  <c r="I469" i="1"/>
  <c r="D469" i="1"/>
  <c r="C469" i="1"/>
  <c r="I468" i="1"/>
  <c r="D468" i="1"/>
  <c r="C468" i="1"/>
  <c r="I467" i="1"/>
  <c r="D467" i="1"/>
  <c r="C467" i="1"/>
  <c r="I466" i="1"/>
  <c r="D466" i="1"/>
  <c r="C466" i="1"/>
  <c r="I465" i="1"/>
  <c r="D465" i="1"/>
  <c r="C465" i="1"/>
  <c r="I464" i="1"/>
  <c r="D464" i="1"/>
  <c r="C464" i="1"/>
  <c r="I463" i="1"/>
  <c r="D463" i="1"/>
  <c r="C463" i="1"/>
  <c r="I462" i="1"/>
  <c r="D462" i="1"/>
  <c r="C462" i="1"/>
  <c r="I461" i="1"/>
  <c r="D461" i="1"/>
  <c r="C461" i="1"/>
  <c r="I234" i="1"/>
  <c r="D234" i="1"/>
  <c r="C234" i="1"/>
  <c r="I545" i="1"/>
  <c r="D545" i="1"/>
  <c r="C545" i="1"/>
  <c r="I460" i="1"/>
  <c r="D460" i="1"/>
  <c r="C460" i="1"/>
  <c r="I373" i="1"/>
  <c r="D373" i="1"/>
  <c r="C373" i="1"/>
  <c r="I120" i="1"/>
  <c r="D120" i="1"/>
  <c r="C120" i="1"/>
  <c r="I119" i="1"/>
  <c r="D119" i="1"/>
  <c r="C119" i="1"/>
  <c r="I459" i="1"/>
  <c r="D459" i="1"/>
  <c r="C459" i="1"/>
  <c r="I118" i="1"/>
  <c r="D118" i="1"/>
  <c r="C118" i="1"/>
  <c r="I264" i="1"/>
  <c r="D264" i="1"/>
  <c r="C264" i="1"/>
  <c r="I458" i="1"/>
  <c r="D458" i="1"/>
  <c r="C458" i="1"/>
  <c r="I556" i="1"/>
  <c r="D556" i="1"/>
  <c r="C556" i="1"/>
  <c r="I555" i="1"/>
  <c r="D555" i="1"/>
  <c r="C555" i="1"/>
  <c r="I554" i="1"/>
  <c r="D554" i="1"/>
  <c r="C554" i="1"/>
  <c r="I384" i="1"/>
  <c r="D384" i="1"/>
  <c r="C384" i="1"/>
  <c r="I206" i="1"/>
  <c r="D206" i="1"/>
  <c r="C206" i="1"/>
  <c r="I205" i="1"/>
  <c r="D205" i="1"/>
  <c r="C205" i="1"/>
  <c r="I204" i="1"/>
  <c r="D204" i="1"/>
  <c r="C204" i="1"/>
  <c r="I457" i="1"/>
  <c r="D457" i="1"/>
  <c r="C457" i="1"/>
  <c r="I456" i="1"/>
  <c r="D456" i="1"/>
  <c r="C456" i="1"/>
  <c r="I455" i="1"/>
  <c r="D455" i="1"/>
  <c r="C455" i="1"/>
  <c r="I525" i="1"/>
  <c r="D525" i="1"/>
  <c r="C525" i="1"/>
  <c r="I383" i="1"/>
  <c r="D383" i="1"/>
  <c r="C383" i="1"/>
  <c r="I117" i="1"/>
  <c r="D117" i="1"/>
  <c r="C117" i="1"/>
  <c r="I454" i="1"/>
  <c r="D454" i="1"/>
  <c r="C454" i="1"/>
  <c r="I453" i="1"/>
  <c r="D453" i="1"/>
  <c r="C453" i="1"/>
  <c r="I452" i="1"/>
  <c r="D452" i="1"/>
  <c r="C452" i="1"/>
  <c r="I544" i="1"/>
  <c r="D544" i="1"/>
  <c r="C544" i="1"/>
  <c r="I451" i="1"/>
  <c r="D451" i="1"/>
  <c r="C451" i="1"/>
  <c r="I272" i="1"/>
  <c r="D272" i="1"/>
  <c r="C272" i="1"/>
  <c r="I313" i="1"/>
  <c r="D313" i="1"/>
  <c r="C313" i="1"/>
  <c r="I271" i="1"/>
  <c r="D271" i="1"/>
  <c r="C271" i="1"/>
  <c r="I203" i="1"/>
  <c r="D203" i="1"/>
  <c r="C203" i="1"/>
  <c r="I202" i="1"/>
  <c r="D202" i="1"/>
  <c r="C202" i="1"/>
  <c r="I116" i="1"/>
  <c r="D116" i="1"/>
  <c r="C116" i="1"/>
  <c r="I450" i="1"/>
  <c r="D450" i="1"/>
  <c r="C450" i="1"/>
  <c r="I449" i="1"/>
  <c r="D449" i="1"/>
  <c r="C449" i="1"/>
  <c r="I517" i="1"/>
  <c r="D517" i="1"/>
  <c r="C517" i="1"/>
  <c r="I263" i="1"/>
  <c r="D263" i="1"/>
  <c r="C263" i="1"/>
  <c r="I201" i="1"/>
  <c r="D201" i="1"/>
  <c r="C201" i="1"/>
  <c r="I200" i="1"/>
  <c r="D200" i="1"/>
  <c r="C200" i="1"/>
  <c r="I372" i="1"/>
  <c r="D372" i="1"/>
  <c r="C372" i="1"/>
  <c r="I199" i="1"/>
  <c r="D199" i="1"/>
  <c r="C199" i="1"/>
  <c r="I198" i="1"/>
  <c r="D198" i="1"/>
  <c r="C198" i="1"/>
  <c r="I312" i="1"/>
  <c r="D312" i="1"/>
  <c r="C312" i="1"/>
  <c r="I115" i="1"/>
  <c r="D115" i="1"/>
  <c r="C115" i="1"/>
  <c r="I114" i="1"/>
  <c r="D114" i="1"/>
  <c r="C114" i="1"/>
  <c r="I113" i="1"/>
  <c r="D113" i="1"/>
  <c r="C113" i="1"/>
  <c r="I197" i="1"/>
  <c r="D197" i="1"/>
  <c r="C197" i="1"/>
  <c r="I196" i="1"/>
  <c r="D196" i="1"/>
  <c r="C196" i="1"/>
  <c r="I543" i="1"/>
  <c r="D543" i="1"/>
  <c r="C543" i="1"/>
  <c r="I311" i="1"/>
  <c r="D311" i="1"/>
  <c r="C311" i="1"/>
  <c r="I310" i="1"/>
  <c r="D310" i="1"/>
  <c r="C310" i="1"/>
  <c r="I309" i="1"/>
  <c r="D309" i="1"/>
  <c r="C309" i="1"/>
  <c r="I233" i="1"/>
  <c r="D233" i="1"/>
  <c r="C233" i="1"/>
  <c r="I308" i="1"/>
  <c r="D308" i="1"/>
  <c r="C308" i="1"/>
  <c r="I112" i="1"/>
  <c r="D112" i="1"/>
  <c r="C112" i="1"/>
  <c r="I111" i="1"/>
  <c r="D111" i="1"/>
  <c r="C111" i="1"/>
  <c r="I110" i="1"/>
  <c r="D110" i="1"/>
  <c r="C110" i="1"/>
  <c r="I307" i="1"/>
  <c r="D307" i="1"/>
  <c r="C307" i="1"/>
  <c r="I306" i="1"/>
  <c r="D306" i="1"/>
  <c r="C306" i="1"/>
  <c r="I109" i="1"/>
  <c r="D109" i="1"/>
  <c r="C109" i="1"/>
  <c r="I305" i="1"/>
  <c r="D305" i="1"/>
  <c r="C305" i="1"/>
  <c r="I304" i="1"/>
  <c r="D304" i="1"/>
  <c r="C304" i="1"/>
  <c r="I108" i="1"/>
  <c r="D108" i="1"/>
  <c r="C108" i="1"/>
  <c r="I195" i="1"/>
  <c r="D195" i="1"/>
  <c r="C195" i="1"/>
  <c r="I107" i="1"/>
  <c r="D107" i="1"/>
  <c r="C107" i="1"/>
  <c r="I448" i="1"/>
  <c r="D448" i="1"/>
  <c r="C448" i="1"/>
  <c r="I447" i="1"/>
  <c r="D447" i="1"/>
  <c r="C447" i="1"/>
  <c r="I303" i="1"/>
  <c r="D303" i="1"/>
  <c r="C303" i="1"/>
  <c r="I302" i="1"/>
  <c r="D302" i="1"/>
  <c r="C302" i="1"/>
  <c r="I106" i="1"/>
  <c r="D106" i="1"/>
  <c r="C106" i="1"/>
  <c r="I446" i="1"/>
  <c r="D446" i="1"/>
  <c r="C446" i="1"/>
  <c r="I301" i="1"/>
  <c r="D301" i="1"/>
  <c r="C301" i="1"/>
  <c r="I105" i="1"/>
  <c r="D105" i="1"/>
  <c r="C105" i="1"/>
  <c r="I445" i="1"/>
  <c r="D445" i="1"/>
  <c r="C445" i="1"/>
  <c r="I104" i="1"/>
  <c r="D104" i="1"/>
  <c r="C104" i="1"/>
  <c r="I444" i="1"/>
  <c r="D444" i="1"/>
  <c r="C444" i="1"/>
  <c r="I270" i="1"/>
  <c r="D270" i="1"/>
  <c r="C270" i="1"/>
  <c r="I516" i="1"/>
  <c r="D516" i="1"/>
  <c r="C516" i="1"/>
  <c r="I553" i="1"/>
  <c r="D553" i="1"/>
  <c r="C553" i="1"/>
  <c r="I443" i="1"/>
  <c r="D443" i="1"/>
  <c r="C443" i="1"/>
  <c r="I262" i="1"/>
  <c r="D262" i="1"/>
  <c r="C262" i="1"/>
  <c r="I103" i="1"/>
  <c r="D103" i="1"/>
  <c r="C103" i="1"/>
  <c r="I515" i="1"/>
  <c r="D515" i="1"/>
  <c r="C515" i="1"/>
  <c r="I371" i="1"/>
  <c r="D371" i="1"/>
  <c r="C371" i="1"/>
  <c r="I102" i="1"/>
  <c r="D102" i="1"/>
  <c r="C102" i="1"/>
  <c r="I101" i="1"/>
  <c r="D101" i="1"/>
  <c r="C101" i="1"/>
  <c r="I442" i="1"/>
  <c r="D442" i="1"/>
  <c r="C442" i="1"/>
  <c r="I261" i="1"/>
  <c r="D261" i="1"/>
  <c r="C261" i="1"/>
  <c r="I370" i="1"/>
  <c r="D370" i="1"/>
  <c r="C370" i="1"/>
  <c r="I369" i="1"/>
  <c r="D369" i="1"/>
  <c r="C369" i="1"/>
  <c r="I441" i="1"/>
  <c r="D441" i="1"/>
  <c r="C441" i="1"/>
  <c r="I440" i="1"/>
  <c r="D440" i="1"/>
  <c r="C440" i="1"/>
  <c r="I439" i="1"/>
  <c r="D439" i="1"/>
  <c r="C439" i="1"/>
  <c r="I438" i="1"/>
  <c r="D438" i="1"/>
  <c r="C438" i="1"/>
  <c r="I368" i="1"/>
  <c r="D368" i="1"/>
  <c r="C368" i="1"/>
  <c r="I269" i="1"/>
  <c r="D269" i="1"/>
  <c r="C269" i="1"/>
  <c r="I514" i="1"/>
  <c r="D514" i="1"/>
  <c r="C514" i="1"/>
  <c r="I513" i="1"/>
  <c r="D513" i="1"/>
  <c r="C513" i="1"/>
  <c r="I232" i="1"/>
  <c r="D232" i="1"/>
  <c r="C232" i="1"/>
  <c r="I100" i="1"/>
  <c r="D100" i="1"/>
  <c r="C100" i="1"/>
  <c r="I437" i="1"/>
  <c r="D437" i="1"/>
  <c r="C437" i="1"/>
  <c r="I524" i="1"/>
  <c r="D524" i="1"/>
  <c r="C524" i="1"/>
  <c r="I542" i="1"/>
  <c r="D542" i="1"/>
  <c r="C542" i="1"/>
  <c r="I99" i="1"/>
  <c r="D99" i="1"/>
  <c r="C99" i="1"/>
  <c r="I541" i="1"/>
  <c r="D541" i="1"/>
  <c r="C541" i="1"/>
  <c r="I98" i="1"/>
  <c r="D98" i="1"/>
  <c r="C98" i="1"/>
  <c r="I367" i="1"/>
  <c r="D367" i="1"/>
  <c r="C367" i="1"/>
  <c r="I194" i="1"/>
  <c r="D194" i="1"/>
  <c r="C194" i="1"/>
  <c r="I512" i="1"/>
  <c r="D512" i="1"/>
  <c r="C512" i="1"/>
  <c r="I260" i="1"/>
  <c r="D260" i="1"/>
  <c r="C260" i="1"/>
  <c r="I382" i="1"/>
  <c r="D382" i="1"/>
  <c r="C382" i="1"/>
  <c r="I381" i="1"/>
  <c r="D381" i="1"/>
  <c r="C381" i="1"/>
  <c r="I300" i="1"/>
  <c r="D300" i="1"/>
  <c r="C300" i="1"/>
  <c r="I193" i="1"/>
  <c r="D193" i="1"/>
  <c r="C193" i="1"/>
  <c r="I97" i="1"/>
  <c r="D97" i="1"/>
  <c r="C97" i="1"/>
  <c r="I511" i="1"/>
  <c r="D511" i="1"/>
  <c r="C511" i="1"/>
  <c r="I366" i="1"/>
  <c r="D366" i="1"/>
  <c r="C366" i="1"/>
  <c r="I96" i="1"/>
  <c r="D96" i="1"/>
  <c r="C96" i="1"/>
  <c r="I436" i="1"/>
  <c r="D436" i="1"/>
  <c r="C436" i="1"/>
  <c r="I510" i="1"/>
  <c r="D510" i="1"/>
  <c r="C510" i="1"/>
  <c r="I509" i="1"/>
  <c r="D509" i="1"/>
  <c r="C509" i="1"/>
  <c r="I508" i="1"/>
  <c r="D508" i="1"/>
  <c r="C508" i="1"/>
  <c r="I507" i="1"/>
  <c r="D507" i="1"/>
  <c r="C507" i="1"/>
  <c r="I365" i="1"/>
  <c r="D365" i="1"/>
  <c r="C365" i="1"/>
  <c r="I95" i="1"/>
  <c r="D95" i="1"/>
  <c r="C95" i="1"/>
  <c r="I540" i="1"/>
  <c r="D540" i="1"/>
  <c r="C540" i="1"/>
  <c r="I364" i="1"/>
  <c r="D364" i="1"/>
  <c r="C364" i="1"/>
  <c r="I192" i="1"/>
  <c r="D192" i="1"/>
  <c r="C192" i="1"/>
  <c r="I191" i="1"/>
  <c r="D191" i="1"/>
  <c r="C191" i="1"/>
  <c r="I190" i="1"/>
  <c r="D190" i="1"/>
  <c r="C190" i="1"/>
  <c r="I189" i="1"/>
  <c r="D189" i="1"/>
  <c r="C189" i="1"/>
  <c r="I188" i="1"/>
  <c r="D188" i="1"/>
  <c r="C188" i="1"/>
  <c r="I539" i="1"/>
  <c r="D539" i="1"/>
  <c r="C539" i="1"/>
  <c r="I299" i="1"/>
  <c r="D299" i="1"/>
  <c r="C299" i="1"/>
  <c r="I298" i="1"/>
  <c r="D298" i="1"/>
  <c r="C298" i="1"/>
  <c r="I94" i="1"/>
  <c r="D94" i="1"/>
  <c r="C94" i="1"/>
  <c r="I93" i="1"/>
  <c r="D93" i="1"/>
  <c r="C93" i="1"/>
  <c r="I506" i="1"/>
  <c r="D506" i="1"/>
  <c r="C506" i="1"/>
  <c r="I231" i="1"/>
  <c r="D231" i="1"/>
  <c r="C231" i="1"/>
  <c r="I92" i="1"/>
  <c r="D92" i="1"/>
  <c r="C92" i="1"/>
  <c r="I505" i="1"/>
  <c r="D505" i="1"/>
  <c r="C505" i="1"/>
  <c r="I504" i="1"/>
  <c r="D504" i="1"/>
  <c r="C504" i="1"/>
  <c r="I503" i="1"/>
  <c r="D503" i="1"/>
  <c r="C503" i="1"/>
  <c r="I435" i="1"/>
  <c r="D435" i="1"/>
  <c r="C435" i="1"/>
  <c r="I552" i="1"/>
  <c r="D552" i="1"/>
  <c r="C552" i="1"/>
  <c r="I91" i="1"/>
  <c r="D91" i="1"/>
  <c r="C91" i="1"/>
  <c r="I434" i="1"/>
  <c r="D434" i="1"/>
  <c r="C434" i="1"/>
  <c r="I433" i="1"/>
  <c r="D433" i="1"/>
  <c r="C433" i="1"/>
  <c r="I432" i="1"/>
  <c r="D432" i="1"/>
  <c r="C432" i="1"/>
  <c r="I90" i="1"/>
  <c r="D90" i="1"/>
  <c r="C90" i="1"/>
  <c r="I538" i="1"/>
  <c r="D538" i="1"/>
  <c r="C538" i="1"/>
  <c r="I89" i="1"/>
  <c r="D89" i="1"/>
  <c r="C89" i="1"/>
  <c r="I502" i="1"/>
  <c r="D502" i="1"/>
  <c r="C502" i="1"/>
  <c r="I501" i="1"/>
  <c r="D501" i="1"/>
  <c r="C501" i="1"/>
  <c r="I500" i="1"/>
  <c r="D500" i="1"/>
  <c r="C500" i="1"/>
  <c r="I499" i="1"/>
  <c r="D499" i="1"/>
  <c r="C499" i="1"/>
  <c r="I498" i="1"/>
  <c r="D498" i="1"/>
  <c r="C498" i="1"/>
  <c r="I497" i="1"/>
  <c r="D497" i="1"/>
  <c r="C497" i="1"/>
  <c r="I496" i="1"/>
  <c r="D496" i="1"/>
  <c r="C496" i="1"/>
  <c r="I495" i="1"/>
  <c r="D495" i="1"/>
  <c r="C495" i="1"/>
  <c r="I494" i="1"/>
  <c r="D494" i="1"/>
  <c r="C494" i="1"/>
  <c r="I493" i="1"/>
  <c r="D493" i="1"/>
  <c r="C493" i="1"/>
  <c r="I492" i="1"/>
  <c r="D492" i="1"/>
  <c r="C492" i="1"/>
  <c r="I431" i="1"/>
  <c r="D431" i="1"/>
  <c r="C431" i="1"/>
  <c r="I430" i="1"/>
  <c r="D430" i="1"/>
  <c r="C430" i="1"/>
  <c r="I429" i="1"/>
  <c r="D429" i="1"/>
  <c r="C429" i="1"/>
  <c r="I537" i="1"/>
  <c r="D537" i="1"/>
  <c r="C537" i="1"/>
  <c r="I536" i="1"/>
  <c r="D536" i="1"/>
  <c r="C536" i="1"/>
  <c r="I428" i="1"/>
  <c r="D428" i="1"/>
  <c r="C428" i="1"/>
  <c r="I427" i="1"/>
  <c r="D427" i="1"/>
  <c r="C427" i="1"/>
  <c r="I363" i="1"/>
  <c r="D363" i="1"/>
  <c r="C363" i="1"/>
  <c r="I362" i="1"/>
  <c r="D362" i="1"/>
  <c r="C362" i="1"/>
  <c r="I297" i="1"/>
  <c r="D297" i="1"/>
  <c r="C297" i="1"/>
  <c r="I88" i="1"/>
  <c r="D88" i="1"/>
  <c r="C88" i="1"/>
  <c r="I426" i="1"/>
  <c r="D426" i="1"/>
  <c r="C426" i="1"/>
  <c r="I425" i="1"/>
  <c r="D425" i="1"/>
  <c r="C425" i="1"/>
  <c r="I424" i="1"/>
  <c r="D424" i="1"/>
  <c r="C424" i="1"/>
  <c r="I423" i="1"/>
  <c r="D423" i="1"/>
  <c r="C423" i="1"/>
  <c r="I535" i="1"/>
  <c r="D535" i="1"/>
  <c r="C535" i="1"/>
  <c r="I296" i="1"/>
  <c r="D296" i="1"/>
  <c r="C296" i="1"/>
  <c r="I87" i="1"/>
  <c r="D87" i="1"/>
  <c r="C87" i="1"/>
  <c r="I422" i="1"/>
  <c r="D422" i="1"/>
  <c r="C422" i="1"/>
  <c r="I421" i="1"/>
  <c r="D421" i="1"/>
  <c r="C421" i="1"/>
  <c r="I361" i="1"/>
  <c r="D361" i="1"/>
  <c r="C361" i="1"/>
  <c r="I295" i="1"/>
  <c r="D295" i="1"/>
  <c r="C295" i="1"/>
  <c r="I86" i="1"/>
  <c r="D86" i="1"/>
  <c r="C86" i="1"/>
  <c r="I85" i="1"/>
  <c r="D85" i="1"/>
  <c r="C85" i="1"/>
  <c r="I84" i="1"/>
  <c r="D84" i="1"/>
  <c r="C84" i="1"/>
  <c r="I360" i="1"/>
  <c r="D360" i="1"/>
  <c r="C360" i="1"/>
  <c r="I491" i="1"/>
  <c r="D491" i="1"/>
  <c r="C491" i="1"/>
  <c r="I420" i="1"/>
  <c r="D420" i="1"/>
  <c r="C420" i="1"/>
  <c r="I359" i="1"/>
  <c r="D359" i="1"/>
  <c r="C359" i="1"/>
  <c r="I259" i="1"/>
  <c r="D259" i="1"/>
  <c r="C259" i="1"/>
  <c r="I230" i="1"/>
  <c r="D230" i="1"/>
  <c r="C230" i="1"/>
  <c r="I83" i="1"/>
  <c r="D83" i="1"/>
  <c r="C83" i="1"/>
  <c r="I358" i="1"/>
  <c r="D358" i="1"/>
  <c r="C358" i="1"/>
  <c r="I82" i="1"/>
  <c r="D82" i="1"/>
  <c r="C82" i="1"/>
  <c r="I551" i="1"/>
  <c r="D551" i="1"/>
  <c r="C551" i="1"/>
  <c r="I357" i="1"/>
  <c r="D357" i="1"/>
  <c r="C357" i="1"/>
  <c r="I258" i="1"/>
  <c r="D258" i="1"/>
  <c r="C258" i="1"/>
  <c r="I534" i="1"/>
  <c r="D534" i="1"/>
  <c r="C534" i="1"/>
  <c r="I81" i="1"/>
  <c r="D81" i="1"/>
  <c r="C81" i="1"/>
  <c r="I187" i="1"/>
  <c r="D187" i="1"/>
  <c r="C187" i="1"/>
  <c r="I80" i="1"/>
  <c r="D80" i="1"/>
  <c r="C80" i="1"/>
  <c r="I186" i="1"/>
  <c r="D186" i="1"/>
  <c r="C186" i="1"/>
  <c r="I356" i="1"/>
  <c r="D356" i="1"/>
  <c r="C356" i="1"/>
  <c r="I419" i="1"/>
  <c r="D419" i="1"/>
  <c r="C419" i="1"/>
  <c r="I257" i="1"/>
  <c r="D257" i="1"/>
  <c r="C257" i="1"/>
  <c r="I533" i="1"/>
  <c r="D533" i="1"/>
  <c r="C533" i="1"/>
  <c r="I79" i="1"/>
  <c r="D79" i="1"/>
  <c r="C79" i="1"/>
  <c r="I418" i="1"/>
  <c r="D418" i="1"/>
  <c r="C418" i="1"/>
  <c r="I417" i="1"/>
  <c r="D417" i="1"/>
  <c r="C417" i="1"/>
  <c r="I416" i="1"/>
  <c r="D416" i="1"/>
  <c r="C416" i="1"/>
  <c r="I415" i="1"/>
  <c r="D415" i="1"/>
  <c r="C415" i="1"/>
  <c r="I256" i="1"/>
  <c r="D256" i="1"/>
  <c r="C256" i="1"/>
  <c r="I78" i="1"/>
  <c r="D78" i="1"/>
  <c r="C78" i="1"/>
  <c r="I523" i="1"/>
  <c r="D523" i="1"/>
  <c r="C523" i="1"/>
  <c r="I294" i="1"/>
  <c r="D294" i="1"/>
  <c r="C294" i="1"/>
  <c r="I414" i="1"/>
  <c r="D414" i="1"/>
  <c r="C414" i="1"/>
  <c r="I255" i="1"/>
  <c r="D255" i="1"/>
  <c r="C255" i="1"/>
  <c r="I254" i="1"/>
  <c r="D254" i="1"/>
  <c r="C254" i="1"/>
  <c r="I550" i="1"/>
  <c r="D550" i="1"/>
  <c r="C550" i="1"/>
  <c r="I185" i="1"/>
  <c r="D185" i="1"/>
  <c r="C185" i="1"/>
  <c r="I184" i="1"/>
  <c r="D184" i="1"/>
  <c r="C184" i="1"/>
  <c r="I77" i="1"/>
  <c r="D77" i="1"/>
  <c r="C77" i="1"/>
  <c r="I413" i="1"/>
  <c r="D413" i="1"/>
  <c r="C413" i="1"/>
  <c r="I412" i="1"/>
  <c r="D412" i="1"/>
  <c r="C412" i="1"/>
  <c r="I355" i="1"/>
  <c r="D355" i="1"/>
  <c r="C355" i="1"/>
  <c r="I354" i="1"/>
  <c r="D354" i="1"/>
  <c r="C354" i="1"/>
  <c r="I353" i="1"/>
  <c r="D353" i="1"/>
  <c r="C353" i="1"/>
  <c r="I293" i="1"/>
  <c r="D293" i="1"/>
  <c r="C293" i="1"/>
  <c r="I292" i="1"/>
  <c r="D292" i="1"/>
  <c r="C292" i="1"/>
  <c r="I76" i="1"/>
  <c r="D76" i="1"/>
  <c r="C76" i="1"/>
  <c r="I183" i="1"/>
  <c r="D183" i="1"/>
  <c r="C183" i="1"/>
  <c r="I75" i="1"/>
  <c r="D75" i="1"/>
  <c r="C75" i="1"/>
  <c r="I182" i="1"/>
  <c r="D182" i="1"/>
  <c r="C182" i="1"/>
  <c r="I74" i="1"/>
  <c r="D74" i="1"/>
  <c r="C74" i="1"/>
  <c r="I352" i="1"/>
  <c r="D352" i="1"/>
  <c r="C352" i="1"/>
  <c r="I253" i="1"/>
  <c r="D253" i="1"/>
  <c r="C253" i="1"/>
  <c r="I291" i="1"/>
  <c r="D291" i="1"/>
  <c r="C291" i="1"/>
  <c r="I290" i="1"/>
  <c r="D290" i="1"/>
  <c r="C290" i="1"/>
  <c r="I351" i="1"/>
  <c r="D351" i="1"/>
  <c r="C351" i="1"/>
  <c r="I252" i="1"/>
  <c r="D252" i="1"/>
  <c r="C252" i="1"/>
  <c r="I549" i="1"/>
  <c r="D549" i="1"/>
  <c r="C549" i="1"/>
  <c r="I350" i="1"/>
  <c r="D350" i="1"/>
  <c r="C350" i="1"/>
  <c r="I289" i="1"/>
  <c r="D289" i="1"/>
  <c r="C289" i="1"/>
  <c r="I288" i="1"/>
  <c r="D288" i="1"/>
  <c r="C288" i="1"/>
  <c r="I251" i="1"/>
  <c r="D251" i="1"/>
  <c r="C251" i="1"/>
  <c r="I73" i="1"/>
  <c r="D73" i="1"/>
  <c r="C73" i="1"/>
  <c r="I72" i="1"/>
  <c r="D72" i="1"/>
  <c r="C72" i="1"/>
  <c r="I411" i="1"/>
  <c r="D411" i="1"/>
  <c r="C411" i="1"/>
  <c r="I349" i="1"/>
  <c r="D349" i="1"/>
  <c r="C349" i="1"/>
  <c r="I250" i="1"/>
  <c r="D250" i="1"/>
  <c r="C250" i="1"/>
  <c r="I71" i="1"/>
  <c r="D71" i="1"/>
  <c r="C71" i="1"/>
  <c r="I410" i="1"/>
  <c r="D410" i="1"/>
  <c r="C410" i="1"/>
  <c r="I409" i="1"/>
  <c r="D409" i="1"/>
  <c r="C409" i="1"/>
  <c r="I408" i="1"/>
  <c r="D408" i="1"/>
  <c r="C408" i="1"/>
  <c r="I548" i="1"/>
  <c r="D548" i="1"/>
  <c r="C548" i="1"/>
  <c r="I547" i="1"/>
  <c r="D547" i="1"/>
  <c r="C547" i="1"/>
  <c r="I532" i="1"/>
  <c r="D532" i="1"/>
  <c r="C532" i="1"/>
  <c r="I531" i="1"/>
  <c r="D531" i="1"/>
  <c r="C531" i="1"/>
  <c r="I530" i="1"/>
  <c r="D530" i="1"/>
  <c r="C530" i="1"/>
  <c r="I529" i="1"/>
  <c r="D529" i="1"/>
  <c r="C529" i="1"/>
  <c r="I528" i="1"/>
  <c r="D528" i="1"/>
  <c r="C528" i="1"/>
  <c r="I527" i="1"/>
  <c r="D527" i="1"/>
  <c r="C527" i="1"/>
  <c r="I522" i="1"/>
  <c r="D522" i="1"/>
  <c r="C522" i="1"/>
  <c r="I521" i="1"/>
  <c r="D521" i="1"/>
  <c r="C521" i="1"/>
  <c r="I520" i="1"/>
  <c r="D520" i="1"/>
  <c r="C520" i="1"/>
  <c r="I490" i="1"/>
  <c r="D490" i="1"/>
  <c r="C490" i="1"/>
  <c r="I489" i="1"/>
  <c r="D489" i="1"/>
  <c r="C489" i="1"/>
  <c r="I488" i="1"/>
  <c r="D488" i="1"/>
  <c r="C488" i="1"/>
  <c r="I487" i="1"/>
  <c r="D487" i="1"/>
  <c r="C487" i="1"/>
  <c r="I486" i="1"/>
  <c r="D486" i="1"/>
  <c r="C486" i="1"/>
  <c r="I485" i="1"/>
  <c r="D485" i="1"/>
  <c r="C485" i="1"/>
  <c r="I484" i="1"/>
  <c r="D484" i="1"/>
  <c r="C484" i="1"/>
  <c r="I483" i="1"/>
  <c r="D483" i="1"/>
  <c r="C483" i="1"/>
  <c r="I482" i="1"/>
  <c r="D482" i="1"/>
  <c r="C482" i="1"/>
  <c r="I481" i="1"/>
  <c r="D481" i="1"/>
  <c r="C481" i="1"/>
  <c r="I480" i="1"/>
  <c r="D480" i="1"/>
  <c r="C480" i="1"/>
  <c r="I479" i="1"/>
  <c r="D479" i="1"/>
  <c r="C479" i="1"/>
  <c r="I478" i="1"/>
  <c r="D478" i="1"/>
  <c r="C478" i="1"/>
  <c r="I477" i="1"/>
  <c r="D477" i="1"/>
  <c r="C477" i="1"/>
  <c r="I407" i="1"/>
  <c r="D407" i="1"/>
  <c r="C407" i="1"/>
  <c r="I406" i="1"/>
  <c r="D406" i="1"/>
  <c r="C406" i="1"/>
  <c r="I405" i="1"/>
  <c r="D405" i="1"/>
  <c r="C405" i="1"/>
  <c r="I404" i="1"/>
  <c r="D404" i="1"/>
  <c r="C404" i="1"/>
  <c r="I403" i="1"/>
  <c r="D403" i="1"/>
  <c r="C403" i="1"/>
  <c r="I402" i="1"/>
  <c r="D402" i="1"/>
  <c r="C402" i="1"/>
  <c r="I401" i="1"/>
  <c r="D401" i="1"/>
  <c r="C401" i="1"/>
  <c r="I400" i="1"/>
  <c r="D400" i="1"/>
  <c r="C400" i="1"/>
  <c r="I399" i="1"/>
  <c r="D399" i="1"/>
  <c r="C399" i="1"/>
  <c r="I398" i="1"/>
  <c r="D398" i="1"/>
  <c r="C398" i="1"/>
  <c r="I397" i="1"/>
  <c r="D397" i="1"/>
  <c r="C397" i="1"/>
  <c r="I396" i="1"/>
  <c r="D396" i="1"/>
  <c r="C396" i="1"/>
  <c r="I395" i="1"/>
  <c r="D395" i="1"/>
  <c r="C395" i="1"/>
  <c r="I394" i="1"/>
  <c r="D394" i="1"/>
  <c r="C394" i="1"/>
  <c r="I393" i="1"/>
  <c r="D393" i="1"/>
  <c r="C393" i="1"/>
  <c r="I392" i="1"/>
  <c r="D392" i="1"/>
  <c r="C392" i="1"/>
  <c r="I391" i="1"/>
  <c r="D391" i="1"/>
  <c r="C391" i="1"/>
  <c r="I390" i="1"/>
  <c r="D390" i="1"/>
  <c r="C390" i="1"/>
  <c r="I389" i="1"/>
  <c r="D389" i="1"/>
  <c r="C389" i="1"/>
  <c r="I388" i="1"/>
  <c r="D388" i="1"/>
  <c r="C388" i="1"/>
  <c r="I387" i="1"/>
  <c r="D387" i="1"/>
  <c r="C387" i="1"/>
  <c r="I386" i="1"/>
  <c r="D386" i="1"/>
  <c r="C386" i="1"/>
  <c r="I380" i="1"/>
  <c r="D380" i="1"/>
  <c r="C380" i="1"/>
  <c r="I379" i="1"/>
  <c r="D379" i="1"/>
  <c r="C379" i="1"/>
  <c r="I378" i="1"/>
  <c r="D378" i="1"/>
  <c r="C378" i="1"/>
  <c r="I377" i="1"/>
  <c r="D377" i="1"/>
  <c r="C377" i="1"/>
  <c r="I376" i="1"/>
  <c r="D376" i="1"/>
  <c r="C376" i="1"/>
  <c r="I375" i="1"/>
  <c r="D375" i="1"/>
  <c r="C375" i="1"/>
  <c r="I348" i="1"/>
  <c r="D348" i="1"/>
  <c r="C348" i="1"/>
  <c r="I347" i="1"/>
  <c r="D347" i="1"/>
  <c r="C347" i="1"/>
  <c r="I346" i="1"/>
  <c r="D346" i="1"/>
  <c r="C346" i="1"/>
  <c r="I345" i="1"/>
  <c r="D345" i="1"/>
  <c r="C345" i="1"/>
  <c r="I344" i="1"/>
  <c r="D344" i="1"/>
  <c r="C344" i="1"/>
  <c r="I343" i="1"/>
  <c r="D343" i="1"/>
  <c r="C343" i="1"/>
  <c r="I342" i="1"/>
  <c r="D342" i="1"/>
  <c r="C342" i="1"/>
  <c r="I341" i="1"/>
  <c r="D341" i="1"/>
  <c r="C341" i="1"/>
  <c r="I340" i="1"/>
  <c r="D340" i="1"/>
  <c r="C340" i="1"/>
  <c r="I339" i="1"/>
  <c r="D339" i="1"/>
  <c r="C339" i="1"/>
  <c r="I338" i="1"/>
  <c r="D338" i="1"/>
  <c r="C338" i="1"/>
  <c r="I337" i="1"/>
  <c r="D337" i="1"/>
  <c r="C337" i="1"/>
  <c r="I336" i="1"/>
  <c r="D336" i="1"/>
  <c r="C336" i="1"/>
  <c r="I335" i="1"/>
  <c r="D335" i="1"/>
  <c r="C335" i="1"/>
  <c r="I334" i="1"/>
  <c r="D334" i="1"/>
  <c r="C334" i="1"/>
  <c r="I333" i="1"/>
  <c r="D333" i="1"/>
  <c r="C333" i="1"/>
  <c r="I332" i="1"/>
  <c r="D332" i="1"/>
  <c r="C332" i="1"/>
  <c r="I331" i="1"/>
  <c r="D331" i="1"/>
  <c r="C331" i="1"/>
  <c r="I330" i="1"/>
  <c r="D330" i="1"/>
  <c r="C330" i="1"/>
  <c r="I329" i="1"/>
  <c r="D329" i="1"/>
  <c r="C329" i="1"/>
  <c r="I328" i="1"/>
  <c r="D328" i="1"/>
  <c r="C328" i="1"/>
  <c r="I327" i="1"/>
  <c r="D327" i="1"/>
  <c r="C327" i="1"/>
  <c r="I326" i="1"/>
  <c r="D326" i="1"/>
  <c r="C326" i="1"/>
  <c r="I325" i="1"/>
  <c r="D325" i="1"/>
  <c r="C325" i="1"/>
  <c r="I324" i="1"/>
  <c r="D324" i="1"/>
  <c r="C324" i="1"/>
  <c r="I323" i="1"/>
  <c r="D323" i="1"/>
  <c r="C323" i="1"/>
  <c r="I322" i="1"/>
  <c r="D322" i="1"/>
  <c r="C322" i="1"/>
  <c r="I321" i="1"/>
  <c r="D321" i="1"/>
  <c r="C321" i="1"/>
  <c r="I319" i="1"/>
  <c r="D319" i="1"/>
  <c r="C319" i="1"/>
  <c r="I287" i="1"/>
  <c r="D287" i="1"/>
  <c r="C287" i="1"/>
  <c r="I286" i="1"/>
  <c r="D286" i="1"/>
  <c r="C286" i="1"/>
  <c r="I285" i="1"/>
  <c r="D285" i="1"/>
  <c r="C285" i="1"/>
  <c r="I284" i="1"/>
  <c r="D284" i="1"/>
  <c r="C284" i="1"/>
  <c r="I283" i="1"/>
  <c r="D283" i="1"/>
  <c r="C283" i="1"/>
  <c r="I282" i="1"/>
  <c r="D282" i="1"/>
  <c r="C282" i="1"/>
  <c r="I281" i="1"/>
  <c r="D281" i="1"/>
  <c r="C281" i="1"/>
  <c r="I280" i="1"/>
  <c r="D280" i="1"/>
  <c r="C280" i="1"/>
  <c r="I279" i="1"/>
  <c r="D279" i="1"/>
  <c r="C279" i="1"/>
  <c r="I278" i="1"/>
  <c r="D278" i="1"/>
  <c r="C278" i="1"/>
  <c r="I277" i="1"/>
  <c r="D277" i="1"/>
  <c r="C277" i="1"/>
  <c r="I276" i="1"/>
  <c r="D276" i="1"/>
  <c r="C276" i="1"/>
  <c r="I275" i="1"/>
  <c r="D275" i="1"/>
  <c r="C275" i="1"/>
  <c r="I274" i="1"/>
  <c r="D274" i="1"/>
  <c r="C274" i="1"/>
  <c r="I268" i="1"/>
  <c r="D268" i="1"/>
  <c r="C268" i="1"/>
  <c r="I267" i="1"/>
  <c r="D267" i="1"/>
  <c r="C267" i="1"/>
  <c r="I266" i="1"/>
  <c r="D266" i="1"/>
  <c r="C266" i="1"/>
  <c r="I249" i="1"/>
  <c r="D249" i="1"/>
  <c r="C249" i="1"/>
  <c r="I248" i="1"/>
  <c r="D248" i="1"/>
  <c r="C248" i="1"/>
  <c r="I247" i="1"/>
  <c r="D247" i="1"/>
  <c r="C247" i="1"/>
  <c r="I246" i="1"/>
  <c r="D246" i="1"/>
  <c r="C246" i="1"/>
  <c r="I245" i="1"/>
  <c r="D245" i="1"/>
  <c r="C245" i="1"/>
  <c r="I244" i="1"/>
  <c r="D244" i="1"/>
  <c r="C244" i="1"/>
  <c r="I243" i="1"/>
  <c r="D243" i="1"/>
  <c r="C243" i="1"/>
  <c r="I242" i="1"/>
  <c r="D242" i="1"/>
  <c r="C242" i="1"/>
  <c r="I241" i="1"/>
  <c r="D241" i="1"/>
  <c r="C241" i="1"/>
  <c r="I240" i="1"/>
  <c r="D240" i="1"/>
  <c r="C240" i="1"/>
  <c r="I238" i="1"/>
  <c r="D238" i="1"/>
  <c r="C238" i="1"/>
  <c r="I237" i="1"/>
  <c r="D237" i="1"/>
  <c r="C237" i="1"/>
  <c r="I229" i="1"/>
  <c r="D229" i="1"/>
  <c r="C229" i="1"/>
  <c r="I228" i="1"/>
  <c r="D228" i="1"/>
  <c r="C228" i="1"/>
  <c r="I227" i="1"/>
  <c r="D227" i="1"/>
  <c r="C227" i="1"/>
  <c r="I226" i="1"/>
  <c r="D226" i="1"/>
  <c r="C226" i="1"/>
  <c r="I225" i="1"/>
  <c r="D225" i="1"/>
  <c r="C225" i="1"/>
  <c r="I224" i="1"/>
  <c r="D224" i="1"/>
  <c r="C224" i="1"/>
  <c r="I223" i="1"/>
  <c r="D223" i="1"/>
  <c r="C223" i="1"/>
  <c r="I222" i="1"/>
  <c r="D222" i="1"/>
  <c r="C222" i="1"/>
  <c r="I221" i="1"/>
  <c r="D221" i="1"/>
  <c r="C221" i="1"/>
  <c r="I220" i="1"/>
  <c r="D220" i="1"/>
  <c r="C220" i="1"/>
  <c r="I219" i="1"/>
  <c r="D219" i="1"/>
  <c r="C219" i="1"/>
  <c r="I218" i="1"/>
  <c r="D218" i="1"/>
  <c r="C218" i="1"/>
  <c r="I217" i="1"/>
  <c r="D217" i="1"/>
  <c r="C217" i="1"/>
  <c r="I216" i="1"/>
  <c r="D216" i="1"/>
  <c r="C216" i="1"/>
  <c r="I215" i="1"/>
  <c r="D215" i="1"/>
  <c r="C215" i="1"/>
  <c r="I181" i="1"/>
  <c r="D181" i="1"/>
  <c r="C181" i="1"/>
  <c r="I180" i="1"/>
  <c r="D180" i="1"/>
  <c r="C180" i="1"/>
  <c r="I179" i="1"/>
  <c r="D179" i="1"/>
  <c r="C179" i="1"/>
  <c r="I178" i="1"/>
  <c r="D178" i="1"/>
  <c r="C178" i="1"/>
  <c r="I177" i="1"/>
  <c r="D177" i="1"/>
  <c r="C177" i="1"/>
  <c r="I176" i="1"/>
  <c r="D176" i="1"/>
  <c r="C176" i="1"/>
  <c r="I175" i="1"/>
  <c r="D175" i="1"/>
  <c r="C175" i="1"/>
  <c r="I174" i="1"/>
  <c r="D174" i="1"/>
  <c r="C174" i="1"/>
  <c r="I173" i="1"/>
  <c r="D173" i="1"/>
  <c r="C173" i="1"/>
  <c r="I172" i="1"/>
  <c r="D172" i="1"/>
  <c r="C172" i="1"/>
  <c r="I171" i="1"/>
  <c r="D171" i="1"/>
  <c r="C171" i="1"/>
  <c r="I170" i="1"/>
  <c r="D170" i="1"/>
  <c r="C170" i="1"/>
  <c r="I169" i="1"/>
  <c r="D169" i="1"/>
  <c r="C169" i="1"/>
  <c r="I168" i="1"/>
  <c r="D168" i="1"/>
  <c r="C168" i="1"/>
  <c r="I167" i="1"/>
  <c r="D167" i="1"/>
  <c r="C167" i="1"/>
  <c r="I166" i="1"/>
  <c r="D166" i="1"/>
  <c r="C166" i="1"/>
  <c r="I165" i="1"/>
  <c r="D165" i="1"/>
  <c r="C165" i="1"/>
  <c r="I164" i="1"/>
  <c r="D164" i="1"/>
  <c r="C164" i="1"/>
  <c r="I163" i="1"/>
  <c r="D163" i="1"/>
  <c r="C163" i="1"/>
  <c r="I162" i="1"/>
  <c r="D162" i="1"/>
  <c r="C162" i="1"/>
  <c r="I161" i="1"/>
  <c r="D161" i="1"/>
  <c r="C161" i="1"/>
  <c r="I160" i="1"/>
  <c r="D160" i="1"/>
  <c r="C160" i="1"/>
  <c r="I159" i="1"/>
  <c r="D159" i="1"/>
  <c r="C159" i="1"/>
  <c r="I158" i="1"/>
  <c r="D158" i="1"/>
  <c r="C158" i="1"/>
  <c r="I157" i="1"/>
  <c r="D157" i="1"/>
  <c r="C157" i="1"/>
  <c r="I156" i="1"/>
  <c r="D156" i="1"/>
  <c r="C156" i="1"/>
  <c r="I155" i="1"/>
  <c r="D155" i="1"/>
  <c r="C155" i="1"/>
  <c r="I154" i="1"/>
  <c r="D154" i="1"/>
  <c r="C154" i="1"/>
  <c r="I153" i="1"/>
  <c r="D153" i="1"/>
  <c r="C153" i="1"/>
  <c r="I152" i="1"/>
  <c r="D152" i="1"/>
  <c r="C152" i="1"/>
  <c r="I151" i="1"/>
  <c r="D151" i="1"/>
  <c r="C151" i="1"/>
  <c r="I150" i="1"/>
  <c r="D150" i="1"/>
  <c r="C150" i="1"/>
  <c r="I149" i="1"/>
  <c r="D149" i="1"/>
  <c r="C149" i="1"/>
  <c r="I148" i="1"/>
  <c r="D148" i="1"/>
  <c r="C148" i="1"/>
  <c r="I147" i="1"/>
  <c r="D147" i="1"/>
  <c r="C147" i="1"/>
  <c r="I146" i="1"/>
  <c r="D146" i="1"/>
  <c r="C146" i="1"/>
  <c r="I145" i="1"/>
  <c r="D145" i="1"/>
  <c r="C145" i="1"/>
  <c r="I144" i="1"/>
  <c r="D144" i="1"/>
  <c r="C144" i="1"/>
  <c r="I143" i="1"/>
  <c r="D143" i="1"/>
  <c r="C143" i="1"/>
  <c r="I142" i="1"/>
  <c r="D142" i="1"/>
  <c r="C142" i="1"/>
  <c r="I141" i="1"/>
  <c r="D141" i="1"/>
  <c r="C141" i="1"/>
  <c r="I140" i="1"/>
  <c r="D140" i="1"/>
  <c r="C140" i="1"/>
  <c r="I139" i="1"/>
  <c r="D139" i="1"/>
  <c r="C139" i="1"/>
  <c r="I138" i="1"/>
  <c r="D138" i="1"/>
  <c r="C138" i="1"/>
  <c r="I137" i="1"/>
  <c r="D137" i="1"/>
  <c r="C137" i="1"/>
  <c r="I136" i="1"/>
  <c r="D136" i="1"/>
  <c r="C136" i="1"/>
  <c r="I135" i="1"/>
  <c r="D135" i="1"/>
  <c r="C135" i="1"/>
  <c r="I134" i="1"/>
  <c r="D134" i="1"/>
  <c r="C134" i="1"/>
  <c r="I133" i="1"/>
  <c r="D133" i="1"/>
  <c r="C133" i="1"/>
  <c r="I132" i="1"/>
  <c r="D132" i="1"/>
  <c r="C132" i="1"/>
  <c r="I131" i="1"/>
  <c r="D131" i="1"/>
  <c r="C131" i="1"/>
  <c r="I130" i="1"/>
  <c r="D130" i="1"/>
  <c r="C130" i="1"/>
  <c r="I129" i="1"/>
  <c r="D129" i="1"/>
  <c r="C129" i="1"/>
  <c r="I128" i="1"/>
  <c r="D128" i="1"/>
  <c r="C128" i="1"/>
  <c r="I127" i="1"/>
  <c r="D127" i="1"/>
  <c r="C127" i="1"/>
  <c r="I126" i="1"/>
  <c r="D126" i="1"/>
  <c r="C126" i="1"/>
  <c r="I125" i="1"/>
  <c r="D125" i="1"/>
  <c r="C125" i="1"/>
  <c r="I124" i="1"/>
  <c r="D124" i="1"/>
  <c r="C124" i="1"/>
  <c r="I123" i="1"/>
  <c r="D123" i="1"/>
  <c r="C123" i="1"/>
  <c r="I70" i="1"/>
  <c r="D70" i="1"/>
  <c r="C70" i="1"/>
  <c r="I69" i="1"/>
  <c r="D69" i="1"/>
  <c r="C69" i="1"/>
  <c r="I68" i="1"/>
  <c r="D68" i="1"/>
  <c r="C68" i="1"/>
  <c r="I67" i="1"/>
  <c r="D67" i="1"/>
  <c r="C67" i="1"/>
  <c r="I66" i="1"/>
  <c r="D66" i="1"/>
  <c r="C66" i="1"/>
  <c r="I65" i="1"/>
  <c r="D65" i="1"/>
  <c r="C65" i="1"/>
  <c r="I64" i="1"/>
  <c r="D64" i="1"/>
  <c r="C64" i="1"/>
  <c r="I63" i="1"/>
  <c r="D63" i="1"/>
  <c r="C63" i="1"/>
  <c r="I62" i="1"/>
  <c r="D62" i="1"/>
  <c r="C62" i="1"/>
  <c r="I61" i="1"/>
  <c r="D61" i="1"/>
  <c r="C61" i="1"/>
  <c r="I60" i="1"/>
  <c r="D60" i="1"/>
  <c r="C60" i="1"/>
  <c r="I59" i="1"/>
  <c r="D59" i="1"/>
  <c r="C59" i="1"/>
  <c r="I58" i="1"/>
  <c r="D58" i="1"/>
  <c r="C58" i="1"/>
  <c r="I57" i="1"/>
  <c r="D57" i="1"/>
  <c r="C57" i="1"/>
  <c r="I56" i="1"/>
  <c r="D56" i="1"/>
  <c r="C56" i="1"/>
  <c r="I55" i="1"/>
  <c r="D55" i="1"/>
  <c r="C55" i="1"/>
  <c r="I54" i="1"/>
  <c r="D54" i="1"/>
  <c r="C54" i="1"/>
  <c r="I53" i="1"/>
  <c r="D53" i="1"/>
  <c r="C53" i="1"/>
  <c r="I52" i="1"/>
  <c r="D52" i="1"/>
  <c r="C52" i="1"/>
  <c r="I51" i="1"/>
  <c r="D51" i="1"/>
  <c r="C51" i="1"/>
  <c r="I50" i="1"/>
  <c r="D50" i="1"/>
  <c r="C50" i="1"/>
  <c r="I49" i="1"/>
  <c r="D49" i="1"/>
  <c r="C49" i="1"/>
  <c r="I48" i="1"/>
  <c r="D48" i="1"/>
  <c r="C48" i="1"/>
  <c r="I47" i="1"/>
  <c r="D47" i="1"/>
  <c r="C47" i="1"/>
  <c r="I46" i="1"/>
  <c r="D46" i="1"/>
  <c r="C46" i="1"/>
  <c r="I45" i="1"/>
  <c r="D45" i="1"/>
  <c r="C45" i="1"/>
  <c r="I44" i="1"/>
  <c r="D44" i="1"/>
  <c r="C44" i="1"/>
  <c r="I43" i="1"/>
  <c r="D43" i="1"/>
  <c r="C43" i="1"/>
  <c r="I42" i="1"/>
  <c r="D42" i="1"/>
  <c r="C42" i="1"/>
  <c r="I41" i="1"/>
  <c r="D41" i="1"/>
  <c r="C41" i="1"/>
  <c r="I40" i="1"/>
  <c r="D40" i="1"/>
  <c r="C40" i="1"/>
  <c r="I39" i="1"/>
  <c r="D39" i="1"/>
  <c r="C39" i="1"/>
  <c r="I38" i="1"/>
  <c r="D38" i="1"/>
  <c r="C38" i="1"/>
  <c r="I37" i="1"/>
  <c r="D37" i="1"/>
  <c r="C37" i="1"/>
  <c r="I36" i="1"/>
  <c r="D36" i="1"/>
  <c r="C36" i="1"/>
  <c r="I35" i="1"/>
  <c r="D35" i="1"/>
  <c r="C35" i="1"/>
  <c r="I34" i="1"/>
  <c r="D34" i="1"/>
  <c r="C34" i="1"/>
  <c r="I33" i="1"/>
  <c r="D33" i="1"/>
  <c r="C33" i="1"/>
  <c r="I32" i="1"/>
  <c r="D32" i="1"/>
  <c r="C32" i="1"/>
  <c r="I31" i="1"/>
  <c r="D31" i="1"/>
  <c r="C31" i="1"/>
  <c r="I30" i="1"/>
  <c r="D30" i="1"/>
  <c r="C30" i="1"/>
  <c r="I29" i="1"/>
  <c r="D29" i="1"/>
  <c r="C29" i="1"/>
  <c r="I28" i="1"/>
  <c r="D28" i="1"/>
  <c r="C28" i="1"/>
  <c r="I27" i="1"/>
  <c r="D27" i="1"/>
  <c r="C27" i="1"/>
  <c r="I26" i="1"/>
  <c r="D26" i="1"/>
  <c r="C26" i="1"/>
  <c r="I25" i="1"/>
  <c r="D25" i="1"/>
  <c r="C25" i="1"/>
  <c r="I24" i="1"/>
  <c r="D24" i="1"/>
  <c r="C24" i="1"/>
  <c r="I23" i="1"/>
  <c r="D23" i="1"/>
  <c r="C23" i="1"/>
  <c r="I22" i="1"/>
  <c r="D22" i="1"/>
  <c r="C22" i="1"/>
  <c r="I21" i="1"/>
  <c r="D21" i="1"/>
  <c r="C21" i="1"/>
  <c r="I20" i="1"/>
  <c r="D20" i="1"/>
  <c r="C20" i="1"/>
  <c r="I19" i="1"/>
  <c r="D19" i="1"/>
  <c r="C19" i="1"/>
  <c r="I18" i="1"/>
  <c r="D18" i="1"/>
  <c r="C18" i="1"/>
  <c r="I17" i="1"/>
  <c r="D17" i="1"/>
  <c r="C17" i="1"/>
  <c r="I16" i="1"/>
  <c r="D16" i="1"/>
  <c r="C16" i="1"/>
  <c r="I15" i="1"/>
  <c r="D15" i="1"/>
  <c r="C15" i="1"/>
  <c r="I14" i="1"/>
  <c r="D14" i="1"/>
  <c r="C14" i="1"/>
  <c r="I13" i="1"/>
  <c r="D13" i="1"/>
  <c r="C13" i="1"/>
  <c r="I12" i="1"/>
  <c r="D12" i="1"/>
  <c r="C12" i="1"/>
  <c r="I11" i="1"/>
  <c r="D11" i="1"/>
  <c r="C11" i="1"/>
  <c r="I10" i="1"/>
  <c r="D10" i="1"/>
  <c r="C10" i="1"/>
  <c r="I9" i="1"/>
  <c r="D9" i="1"/>
  <c r="C9" i="1"/>
  <c r="I8" i="1"/>
  <c r="D8" i="1"/>
  <c r="C8" i="1"/>
  <c r="I7" i="1"/>
  <c r="D7" i="1"/>
  <c r="C7" i="1"/>
  <c r="I6" i="1"/>
  <c r="D6" i="1"/>
  <c r="C6" i="1"/>
  <c r="I3" i="1"/>
  <c r="D3" i="1"/>
  <c r="C3" i="1"/>
  <c r="I5" i="1"/>
  <c r="D5" i="1"/>
  <c r="C5" i="1"/>
</calcChain>
</file>

<file path=xl/sharedStrings.xml><?xml version="1.0" encoding="utf-8"?>
<sst xmlns="http://schemas.openxmlformats.org/spreadsheetml/2006/main" count="3797" uniqueCount="1144">
  <si>
    <t>Asset ID</t>
  </si>
  <si>
    <t>Asset Description</t>
  </si>
  <si>
    <t>Acquisition Date</t>
  </si>
  <si>
    <t>Place in Service Date</t>
  </si>
  <si>
    <t>Acquisition Cost</t>
  </si>
  <si>
    <t>Depreciation Method</t>
  </si>
  <si>
    <t>Original Life Years</t>
  </si>
  <si>
    <t>Original Life Days</t>
  </si>
  <si>
    <t>Depreciated to Date</t>
  </si>
  <si>
    <t>Current Run Depreciation Amount</t>
  </si>
  <si>
    <t>YTD Depreciation Amount</t>
  </si>
  <si>
    <t>LTD Depreciation Amount</t>
  </si>
  <si>
    <t>Net Book Value</t>
  </si>
  <si>
    <t>Asset Class ID</t>
  </si>
  <si>
    <t>Location ID</t>
  </si>
  <si>
    <t>Asset Status</t>
  </si>
  <si>
    <t>Asset Cost Account Index</t>
  </si>
  <si>
    <t>No Depreciation</t>
  </si>
  <si>
    <t/>
  </si>
  <si>
    <t>Active</t>
  </si>
  <si>
    <t>Straight-Line Orig Life</t>
  </si>
  <si>
    <t>Straight-Line Rem Life</t>
  </si>
  <si>
    <t>0002833</t>
  </si>
  <si>
    <t>Cememnt/Logan Lift Station</t>
  </si>
  <si>
    <t>4-LIFT STATIONS</t>
  </si>
  <si>
    <t>4.00.35201</t>
  </si>
  <si>
    <t>Pin Oak Villa Phase 3</t>
  </si>
  <si>
    <t>Remit Plus Software</t>
  </si>
  <si>
    <t>20% of Project Safety Zone Signs</t>
  </si>
  <si>
    <t>47% Finish Mower #RDTH84R</t>
  </si>
  <si>
    <t>Landscaping</t>
  </si>
  <si>
    <t>33% Solar Assisted Arrowboard</t>
  </si>
  <si>
    <t>30% of Vac Truck Hydro Excavating</t>
  </si>
  <si>
    <t>50% of 6 Diamond Core Drill"</t>
  </si>
  <si>
    <t>50 % of 2 15,000 Watt Generators</t>
  </si>
  <si>
    <t>19% 2009 Vactor 2112 Combination Sewer</t>
  </si>
  <si>
    <t>001227</t>
  </si>
  <si>
    <t>Land</t>
  </si>
  <si>
    <t>4-LAND</t>
  </si>
  <si>
    <t>4.00.31000</t>
  </si>
  <si>
    <t>001228</t>
  </si>
  <si>
    <t>Sewer Plant &amp; Lift Stations</t>
  </si>
  <si>
    <t>4-BUILDING</t>
  </si>
  <si>
    <t>001229</t>
  </si>
  <si>
    <t>Sewer Plant Building</t>
  </si>
  <si>
    <t>001230</t>
  </si>
  <si>
    <t>Sewer Plant Additions &amp; Lift Stations</t>
  </si>
  <si>
    <t>001231</t>
  </si>
  <si>
    <t>Sewer Lift Stations &amp; Lines</t>
  </si>
  <si>
    <t>001232</t>
  </si>
  <si>
    <t>System Additions</t>
  </si>
  <si>
    <t>001233</t>
  </si>
  <si>
    <t>001234</t>
  </si>
  <si>
    <t>001235</t>
  </si>
  <si>
    <t>001237</t>
  </si>
  <si>
    <t>001238</t>
  </si>
  <si>
    <t>001239</t>
  </si>
  <si>
    <t>001240</t>
  </si>
  <si>
    <t>Sewer Plant Additions, Lines, &amp; Lift</t>
  </si>
  <si>
    <t>001241</t>
  </si>
  <si>
    <t>001242</t>
  </si>
  <si>
    <t>Replace Liners EQ Basin 1 &amp; 3</t>
  </si>
  <si>
    <t>4-MISC PLANT EQ</t>
  </si>
  <si>
    <t>001243</t>
  </si>
  <si>
    <t>Replace Lift Stations</t>
  </si>
  <si>
    <t>001244</t>
  </si>
  <si>
    <t>001245</t>
  </si>
  <si>
    <t>Sewer Construction</t>
  </si>
  <si>
    <t>001246</t>
  </si>
  <si>
    <t>001247</t>
  </si>
  <si>
    <t>001248</t>
  </si>
  <si>
    <t>001249</t>
  </si>
  <si>
    <t>001250</t>
  </si>
  <si>
    <t>Sewer Lift Station</t>
  </si>
  <si>
    <t>001251</t>
  </si>
  <si>
    <t>001252</t>
  </si>
  <si>
    <t>Logan Lift Station Replacement</t>
  </si>
  <si>
    <t>001253</t>
  </si>
  <si>
    <t>Sewer Plant Construction-Expansion</t>
  </si>
  <si>
    <t>001254</t>
  </si>
  <si>
    <t>Church &amp; Kindervater Lift Station</t>
  </si>
  <si>
    <t>001255</t>
  </si>
  <si>
    <t>Sewer Lift Stations</t>
  </si>
  <si>
    <t>001256</t>
  </si>
  <si>
    <t>Lift Station Control-Lincoln Trail</t>
  </si>
  <si>
    <t>001257</t>
  </si>
  <si>
    <t>Construction of Storage Barn</t>
  </si>
  <si>
    <t>001258</t>
  </si>
  <si>
    <t>Hwy. 313 Lift Station &amp; Force Main</t>
  </si>
  <si>
    <t>001259</t>
  </si>
  <si>
    <t>Greenview Lift Station-Progress</t>
  </si>
  <si>
    <t>001260</t>
  </si>
  <si>
    <t>Greenview Lift Station Replacement</t>
  </si>
  <si>
    <t>001261</t>
  </si>
  <si>
    <t>Paradise Lift Stations 1 &amp; 2</t>
  </si>
  <si>
    <t>001262</t>
  </si>
  <si>
    <t>Oak Dr. Lift Station Replacement</t>
  </si>
  <si>
    <t>001263</t>
  </si>
  <si>
    <t>Arlington Heights Lift Station Install</t>
  </si>
  <si>
    <t>001264</t>
  </si>
  <si>
    <t>Southern Heights Lift Station Install</t>
  </si>
  <si>
    <t>001265</t>
  </si>
  <si>
    <t>Replace Liners EO Basins 1&amp;2 Progress</t>
  </si>
  <si>
    <t>001266</t>
  </si>
  <si>
    <t>Plant Gate Chain Link 16'X7'</t>
  </si>
  <si>
    <t>4-PLANT GATE</t>
  </si>
  <si>
    <t>001267</t>
  </si>
  <si>
    <t>Equalization Basins #2 &amp; #3</t>
  </si>
  <si>
    <t>001268</t>
  </si>
  <si>
    <t>Replace Liners EQ Basins 1 &amp;2</t>
  </si>
  <si>
    <t>001269</t>
  </si>
  <si>
    <t>Floating Aeration Pump for Basins</t>
  </si>
  <si>
    <t>001270</t>
  </si>
  <si>
    <t>001271</t>
  </si>
  <si>
    <t>Butterfly Valve-EQ Basins #1 &amp; #2</t>
  </si>
  <si>
    <t>001272</t>
  </si>
  <si>
    <t>Access Road for Audubon Lift Station</t>
  </si>
  <si>
    <t>4-L/S ACCESS RD</t>
  </si>
  <si>
    <t>001273</t>
  </si>
  <si>
    <t>Lincoln Trail Odor Study</t>
  </si>
  <si>
    <t>001274</t>
  </si>
  <si>
    <t>HWY 313 Lift Station Project</t>
  </si>
  <si>
    <t>001277</t>
  </si>
  <si>
    <t>C Square Lift Station pump rebuild</t>
  </si>
  <si>
    <t>001278</t>
  </si>
  <si>
    <t>Arlingtonwoods Lift Station</t>
  </si>
  <si>
    <t>001279</t>
  </si>
  <si>
    <t>Clarifier #1 Pump Rebuild</t>
  </si>
  <si>
    <t>001280</t>
  </si>
  <si>
    <t>Crocus Lift Station</t>
  </si>
  <si>
    <t>001281</t>
  </si>
  <si>
    <t>Refurbished RAS Flygt Pump #1</t>
  </si>
  <si>
    <t>001282</t>
  </si>
  <si>
    <t>Greenview/Pearman/Wilma Lift Station</t>
  </si>
  <si>
    <t>001283</t>
  </si>
  <si>
    <t>3 Pressure Transfucer Sensors for N.</t>
  </si>
  <si>
    <t>001284</t>
  </si>
  <si>
    <t>Radcliff PTB</t>
  </si>
  <si>
    <t>001285</t>
  </si>
  <si>
    <t>John Hardin LS Stator Rewind/Rebuild</t>
  </si>
  <si>
    <t>4-L/S VALVES</t>
  </si>
  <si>
    <t>001287</t>
  </si>
  <si>
    <t>Watkins LS 2 ARI Valves"</t>
  </si>
  <si>
    <t>001288</t>
  </si>
  <si>
    <t>Highway 313 2 ARI Valve"</t>
  </si>
  <si>
    <t>001289</t>
  </si>
  <si>
    <t>Battle Training Rd 2 Valves"</t>
  </si>
  <si>
    <t>001290</t>
  </si>
  <si>
    <t>Skylark Lift Station Access Road</t>
  </si>
  <si>
    <t>4-L/S PUMPS</t>
  </si>
  <si>
    <t>001293</t>
  </si>
  <si>
    <t>Quiggins 4 non clog Lift Station Pump"</t>
  </si>
  <si>
    <t>001295</t>
  </si>
  <si>
    <t>Redmar Pump #1 Impeller</t>
  </si>
  <si>
    <t>001296</t>
  </si>
  <si>
    <t>313 LS Pump #1 Rebuild</t>
  </si>
  <si>
    <t>001297</t>
  </si>
  <si>
    <t>Radcliff WWTP Digester Valve- LS Valves</t>
  </si>
  <si>
    <t>001298</t>
  </si>
  <si>
    <t>Lincoln Trail Lift Station Pump 3</t>
  </si>
  <si>
    <t>001302</t>
  </si>
  <si>
    <t>LS Pump Rebuild Pump RWWTP-30081</t>
  </si>
  <si>
    <t>001303</t>
  </si>
  <si>
    <t>Sewer Line Ext./313 &amp; Wilson</t>
  </si>
  <si>
    <t>4-MAINS/ LINES</t>
  </si>
  <si>
    <t>4.00.35202</t>
  </si>
  <si>
    <t>001304</t>
  </si>
  <si>
    <t>Redmar Force Main-Progress</t>
  </si>
  <si>
    <t>001305</t>
  </si>
  <si>
    <t>Redmar Force Main Replacement</t>
  </si>
  <si>
    <t>001306</t>
  </si>
  <si>
    <t>Elm Road Force Main Replacement</t>
  </si>
  <si>
    <t>001307</t>
  </si>
  <si>
    <t>Knox Blvd. New Line</t>
  </si>
  <si>
    <t>001308</t>
  </si>
  <si>
    <t>Thomas Street New Line</t>
  </si>
  <si>
    <t>001309</t>
  </si>
  <si>
    <t>Novak Sewer Line Replacement</t>
  </si>
  <si>
    <t>001310</t>
  </si>
  <si>
    <t>Church St./Shelton Rd. Manhole</t>
  </si>
  <si>
    <t>4-MANHOLES</t>
  </si>
  <si>
    <t>001311</t>
  </si>
  <si>
    <t>S Woodland Dr./586 Sewer Line</t>
  </si>
  <si>
    <t>001312</t>
  </si>
  <si>
    <t>N. Wilson Rd 955 Manhole Replacement</t>
  </si>
  <si>
    <t>001313</t>
  </si>
  <si>
    <t>Carolyn St 706 Sewer Line Replacement</t>
  </si>
  <si>
    <t>001314</t>
  </si>
  <si>
    <t>Hitchew/Lily Cove LI 3&amp;4 Sewer Line</t>
  </si>
  <si>
    <t>001315</t>
  </si>
  <si>
    <t>Wilma Ave. 805 Manhole Replacement</t>
  </si>
  <si>
    <t>001316</t>
  </si>
  <si>
    <t>Pin Oak &amp; Poplar St. Manhole Replacement</t>
  </si>
  <si>
    <t>001317</t>
  </si>
  <si>
    <t>Eagle Pass Sewer Line Replacement</t>
  </si>
  <si>
    <t>001318</t>
  </si>
  <si>
    <t>Douglas Estates Sewer Line</t>
  </si>
  <si>
    <t>001319</t>
  </si>
  <si>
    <t>Replace Old Boone Trace F/M Line</t>
  </si>
  <si>
    <t>001320</t>
  </si>
  <si>
    <t>313/Cowley Est Sewer Line Extension</t>
  </si>
  <si>
    <t>001321</t>
  </si>
  <si>
    <t>Adena Trace</t>
  </si>
  <si>
    <t>001322</t>
  </si>
  <si>
    <t>Emerald Isle</t>
  </si>
  <si>
    <t>001323</t>
  </si>
  <si>
    <t>Clermont Sewer Line</t>
  </si>
  <si>
    <t>001324</t>
  </si>
  <si>
    <t>A Arnold Project</t>
  </si>
  <si>
    <t>001325</t>
  </si>
  <si>
    <t>313/Cowley Est. Sewer Line Extension</t>
  </si>
  <si>
    <t>001326</t>
  </si>
  <si>
    <t>Boone Trace F/M Line Replacement</t>
  </si>
  <si>
    <t>001327</t>
  </si>
  <si>
    <t>Brushy Fork Sewer Line</t>
  </si>
  <si>
    <t>001328</t>
  </si>
  <si>
    <t>Sewer Line Replacement - 3 houses on</t>
  </si>
  <si>
    <t>001329</t>
  </si>
  <si>
    <t>Sewer lines installed at Tam MHP</t>
  </si>
  <si>
    <t>001330</t>
  </si>
  <si>
    <t>Slip lining on S. Atcher St.</t>
  </si>
  <si>
    <t>001331</t>
  </si>
  <si>
    <t>001332</t>
  </si>
  <si>
    <t>Mouser 2,123' gravity sewer main 8</t>
  </si>
  <si>
    <t>001333</t>
  </si>
  <si>
    <t>08 HWY 313 Interceptor/A. Arnold Project</t>
  </si>
  <si>
    <t>001334</t>
  </si>
  <si>
    <t>Bridge Community Church</t>
  </si>
  <si>
    <t>001335</t>
  </si>
  <si>
    <t>Warwick Castle</t>
  </si>
  <si>
    <t>001336</t>
  </si>
  <si>
    <t>Woburn Place Section 1 520' 8 PVC"</t>
  </si>
  <si>
    <t>001337</t>
  </si>
  <si>
    <t>Lateral CIPP</t>
  </si>
  <si>
    <t>001338</t>
  </si>
  <si>
    <t>Wilson Rd Main Relocate 182 ft. 8 in PVC</t>
  </si>
  <si>
    <t>001339</t>
  </si>
  <si>
    <t>Hillcrest Sewer Main Repair 1,048 lf of</t>
  </si>
  <si>
    <t>001340</t>
  </si>
  <si>
    <t>Pearman/Wilma Ave 2,311 lf of gravity</t>
  </si>
  <si>
    <t>001341</t>
  </si>
  <si>
    <t>Sheltonwoods Phase 2 3942' of mains &amp; 12</t>
  </si>
  <si>
    <t>001342</t>
  </si>
  <si>
    <t>Arlingtonwoods 5864' of main &amp; 26</t>
  </si>
  <si>
    <t>001343</t>
  </si>
  <si>
    <t>Byerly LS Elim 164 ft Main &amp; 1 manhole</t>
  </si>
  <si>
    <t>001344</t>
  </si>
  <si>
    <t>Elm LS Elm 963 ft of main $ 5 manholes</t>
  </si>
  <si>
    <t>001345</t>
  </si>
  <si>
    <t>Woods @ Atcher 98' of 8 main &amp; 1</t>
  </si>
  <si>
    <t>001346</t>
  </si>
  <si>
    <t>Outdoor Properties 120 ft. of 8 main"</t>
  </si>
  <si>
    <t>001347</t>
  </si>
  <si>
    <t>Radcliff Lateral Lining CIPP</t>
  </si>
  <si>
    <t>001348</t>
  </si>
  <si>
    <t>Greenview/Pearman/Wilma Mains</t>
  </si>
  <si>
    <t>001349</t>
  </si>
  <si>
    <t>85 ft of 8 main on Logan St"</t>
  </si>
  <si>
    <t>001350</t>
  </si>
  <si>
    <t>350 LF of 8 DI Pipe for Fredmar Force</t>
  </si>
  <si>
    <t>001351</t>
  </si>
  <si>
    <t>1 Manhole for E2RC Relocation</t>
  </si>
  <si>
    <t>001352</t>
  </si>
  <si>
    <t>321 LF of 18 PVC for E2RC Relocation"</t>
  </si>
  <si>
    <t>001353</t>
  </si>
  <si>
    <t>Hwy 1500 Phase II Relocation 325LF of 6</t>
  </si>
  <si>
    <t>001354</t>
  </si>
  <si>
    <t>Hwy 1500 Phase II Relocation - 1 Manhole</t>
  </si>
  <si>
    <t>001355</t>
  </si>
  <si>
    <t>1,713 LF of 10 Main</t>
  </si>
  <si>
    <t>001356</t>
  </si>
  <si>
    <t>11 4 manholes for the N. Logsdon Pkwy</t>
  </si>
  <si>
    <t>001357</t>
  </si>
  <si>
    <t>N.Woodland, Audubon &amp; James Sewer</t>
  </si>
  <si>
    <t>001358</t>
  </si>
  <si>
    <t>N. Woodland, Audubon &amp; James Sewer</t>
  </si>
  <si>
    <t>001359</t>
  </si>
  <si>
    <t>2- 4' Manholes for Stovall Lift Station</t>
  </si>
  <si>
    <t>001360</t>
  </si>
  <si>
    <t>982 LF of 6 Main for Stovall Lift</t>
  </si>
  <si>
    <t>001361</t>
  </si>
  <si>
    <t>Radcliff WWTP Digester Valve - Manholes</t>
  </si>
  <si>
    <t>001362</t>
  </si>
  <si>
    <t>Improve lighting</t>
  </si>
  <si>
    <t>4-MISCPLANT IMP</t>
  </si>
  <si>
    <t>4.00.35211</t>
  </si>
  <si>
    <t>001363</t>
  </si>
  <si>
    <t>4-LANDSCAPING</t>
  </si>
  <si>
    <t>001364</t>
  </si>
  <si>
    <t>Install heater to improve HVAC</t>
  </si>
  <si>
    <t>4-HVAC</t>
  </si>
  <si>
    <t>001365</t>
  </si>
  <si>
    <t>Trojan PLC Equipment &amp; Davit Crane</t>
  </si>
  <si>
    <t>4-UV BLDG</t>
  </si>
  <si>
    <t>001366</t>
  </si>
  <si>
    <t>Waste Water Treatment Plant Improvements</t>
  </si>
  <si>
    <t>001367</t>
  </si>
  <si>
    <t>WWTP Painting Project Phase I</t>
  </si>
  <si>
    <t>001368</t>
  </si>
  <si>
    <t>Blacktop Lincoln Trail Lift Station</t>
  </si>
  <si>
    <t>4-PARKING LOT</t>
  </si>
  <si>
    <t>001369</t>
  </si>
  <si>
    <t>WWTP Painting Project Phase 1</t>
  </si>
  <si>
    <t>001370</t>
  </si>
  <si>
    <t>EQ Basin Chain Link Fence</t>
  </si>
  <si>
    <t>4-FENCING</t>
  </si>
  <si>
    <t>001371</t>
  </si>
  <si>
    <t>Radcliff WWTP Drainage Project</t>
  </si>
  <si>
    <t>001372</t>
  </si>
  <si>
    <t>Radcliff WWTP UV Building</t>
  </si>
  <si>
    <t>001373</t>
  </si>
  <si>
    <t>HVAC for Radcliff PTB</t>
  </si>
  <si>
    <t>001374</t>
  </si>
  <si>
    <t>Parking Lot for Radcliff PTB</t>
  </si>
  <si>
    <t>001375</t>
  </si>
  <si>
    <t>Radcliff WWTP Digester Valve - Parking</t>
  </si>
  <si>
    <t>001376</t>
  </si>
  <si>
    <t>Radcliff WWTP Painting Project Phase II</t>
  </si>
  <si>
    <t>001377</t>
  </si>
  <si>
    <t>Construction Crew Office Building</t>
  </si>
  <si>
    <t>4-CONSTRCREW BL</t>
  </si>
  <si>
    <t>4.00.35300</t>
  </si>
  <si>
    <t>001378</t>
  </si>
  <si>
    <t>Sludge Holding Tanks Building</t>
  </si>
  <si>
    <t>4-SLUDGE BLDG</t>
  </si>
  <si>
    <t>001379</t>
  </si>
  <si>
    <t>Yard repairs for cleanout installation</t>
  </si>
  <si>
    <t>4-YARD RPRS</t>
  </si>
  <si>
    <t>4.00.35400</t>
  </si>
  <si>
    <t>001380</t>
  </si>
  <si>
    <t>Paving for new connection for KNB at Elm</t>
  </si>
  <si>
    <t>001381</t>
  </si>
  <si>
    <t>22% River Rock/Landscaping at Service</t>
  </si>
  <si>
    <t>4-LANDSCAPE S/C</t>
  </si>
  <si>
    <t>001382</t>
  </si>
  <si>
    <t>47% Drive Thru Drawer Unit</t>
  </si>
  <si>
    <t>4-MISC BLDG IMP</t>
  </si>
  <si>
    <t>001383</t>
  </si>
  <si>
    <t>22% Sewer Line Replacement at Service</t>
  </si>
  <si>
    <t>001384</t>
  </si>
  <si>
    <t>Hand Rail for Loading Dock at Service</t>
  </si>
  <si>
    <t>4-PARK LOT S/C</t>
  </si>
  <si>
    <t>001386</t>
  </si>
  <si>
    <t>New Cleanout Installations</t>
  </si>
  <si>
    <t>001387</t>
  </si>
  <si>
    <t>7% of Curbing for Service Center Parking</t>
  </si>
  <si>
    <t>001388</t>
  </si>
  <si>
    <t>7% Service Center Parking Lot</t>
  </si>
  <si>
    <t>001389</t>
  </si>
  <si>
    <t>21% of 3 HVAC Units at Service Center</t>
  </si>
  <si>
    <t>001390</t>
  </si>
  <si>
    <t>Isco 4501 Pump Meter</t>
  </si>
  <si>
    <t>4-FLOW MEASURE</t>
  </si>
  <si>
    <t>4.00.35500</t>
  </si>
  <si>
    <t>001391</t>
  </si>
  <si>
    <t>001392</t>
  </si>
  <si>
    <t>860 H2S 0-200PPM Monitor</t>
  </si>
  <si>
    <t>001393</t>
  </si>
  <si>
    <t>Godwin Driprime 4 Pump"</t>
  </si>
  <si>
    <t>4-PUMPS</t>
  </si>
  <si>
    <t>4.00.36301</t>
  </si>
  <si>
    <t>001394</t>
  </si>
  <si>
    <t>Control panel for lift station</t>
  </si>
  <si>
    <t>4-L/S CONT PNLS</t>
  </si>
  <si>
    <t>001395</t>
  </si>
  <si>
    <t>Wetwell for Audubon lift station</t>
  </si>
  <si>
    <t>001396</t>
  </si>
  <si>
    <t>Pump &amp; Motor for Sludge at Plant</t>
  </si>
  <si>
    <t>001397</t>
  </si>
  <si>
    <t>Control Panel for C-Square lift station</t>
  </si>
  <si>
    <t>001398</t>
  </si>
  <si>
    <t>Greenview/Pearman/Wilma LS Pumps</t>
  </si>
  <si>
    <t>001399</t>
  </si>
  <si>
    <t>Greenview/Pearman/Wilma LS Control Panel</t>
  </si>
  <si>
    <t>001400</t>
  </si>
  <si>
    <t>Hwy 313 Pump 3 Replacement</t>
  </si>
  <si>
    <t>001401</t>
  </si>
  <si>
    <t>313 LIft Station Contactors for Control</t>
  </si>
  <si>
    <t>001402</t>
  </si>
  <si>
    <t>2-15 HP Pumps for Stovall Lift Station</t>
  </si>
  <si>
    <t>001403</t>
  </si>
  <si>
    <t>1 Lift Station Control Panel for Stovall</t>
  </si>
  <si>
    <t>001404</t>
  </si>
  <si>
    <t>EQ Pump Station Pump Replacement</t>
  </si>
  <si>
    <t>001405</t>
  </si>
  <si>
    <t>Disinfect Pump Station Pump</t>
  </si>
  <si>
    <t>001406</t>
  </si>
  <si>
    <t>Plant Pump Station Pump</t>
  </si>
  <si>
    <t>001407</t>
  </si>
  <si>
    <t>Portable 6 Godwin T Pump"</t>
  </si>
  <si>
    <t>4-PUMP DIESEL</t>
  </si>
  <si>
    <t>4.00.36302</t>
  </si>
  <si>
    <t>001408</t>
  </si>
  <si>
    <t>Model L Grit Classifier</t>
  </si>
  <si>
    <t>4-WORK EQUIP</t>
  </si>
  <si>
    <t>4.00.37300</t>
  </si>
  <si>
    <t>001409</t>
  </si>
  <si>
    <t>Ariat Spiral Dewat Press</t>
  </si>
  <si>
    <t>001410</t>
  </si>
  <si>
    <t>Portable Cam Inspection System</t>
  </si>
  <si>
    <t>001411</t>
  </si>
  <si>
    <t>185 Atlas Copco Air Compressor</t>
  </si>
  <si>
    <t>001413</t>
  </si>
  <si>
    <t>Work Equipment</t>
  </si>
  <si>
    <t>001414</t>
  </si>
  <si>
    <t>Safety Equipment</t>
  </si>
  <si>
    <t>001415</t>
  </si>
  <si>
    <t>Hose reel with clamp</t>
  </si>
  <si>
    <t>001416</t>
  </si>
  <si>
    <t>Blower &amp; Motor Replacement (newer model)</t>
  </si>
  <si>
    <t>001417</t>
  </si>
  <si>
    <t>Upgrade press-coated stub can idlers</t>
  </si>
  <si>
    <t>001419</t>
  </si>
  <si>
    <t>Electric Start 30 Gal Air Compressor &amp;</t>
  </si>
  <si>
    <t>001420</t>
  </si>
  <si>
    <t>Root Cutter w/ring, assembly 8-10""</t>
  </si>
  <si>
    <t>001421</t>
  </si>
  <si>
    <t>3T Portable Hoist</t>
  </si>
  <si>
    <t>001422</t>
  </si>
  <si>
    <t>52% 4 Camera System"</t>
  </si>
  <si>
    <t>001423</t>
  </si>
  <si>
    <t>Belt Filter Press Chute Modifications</t>
  </si>
  <si>
    <t>001424</t>
  </si>
  <si>
    <t>001426</t>
  </si>
  <si>
    <t>50% of 6 WW Pump Bypass Hose"</t>
  </si>
  <si>
    <t>001427</t>
  </si>
  <si>
    <t>25% Multiquip MTX60 4 Cycle Rammer</t>
  </si>
  <si>
    <t>001428</t>
  </si>
  <si>
    <t>25% Edco 18 Concrete &amp; Asphalt Walk</t>
  </si>
  <si>
    <t>001429</t>
  </si>
  <si>
    <t>10 ft Baffle for Oxidation Ditch #2</t>
  </si>
  <si>
    <t>001430</t>
  </si>
  <si>
    <t>8ft. Baffle for Oxidation Ditch #2</t>
  </si>
  <si>
    <t>001431</t>
  </si>
  <si>
    <t>Filter Belt Press Conveyor&amp; Belt</t>
  </si>
  <si>
    <t>001432</t>
  </si>
  <si>
    <t>Amp Probe Analyzer</t>
  </si>
  <si>
    <t>001433</t>
  </si>
  <si>
    <t>Ditch 1 &amp; 2 Oxygen Reduction Sensor</t>
  </si>
  <si>
    <t>001434</t>
  </si>
  <si>
    <t>001435</t>
  </si>
  <si>
    <t>Radcliff WWTP Sludge Belt Press</t>
  </si>
  <si>
    <t>001436</t>
  </si>
  <si>
    <t>Safety Equipment for Radcliff PTB</t>
  </si>
  <si>
    <t>001437</t>
  </si>
  <si>
    <t>Chain Cutter Head for Jetter</t>
  </si>
  <si>
    <t>001438</t>
  </si>
  <si>
    <t>New VFD for Oxidation Ditch #1</t>
  </si>
  <si>
    <t>001439</t>
  </si>
  <si>
    <t>Sewer Plant Bar Screen Replacement</t>
  </si>
  <si>
    <t>4-OTHR T&amp;D EQ</t>
  </si>
  <si>
    <t>4.00.37600</t>
  </si>
  <si>
    <t>001440</t>
  </si>
  <si>
    <t>IMIX-Flexifill-IMI</t>
  </si>
  <si>
    <t>001441</t>
  </si>
  <si>
    <t>Aerator installation</t>
  </si>
  <si>
    <t>001442</t>
  </si>
  <si>
    <t>Pressure Transmitter Model 1100</t>
  </si>
  <si>
    <t>001443</t>
  </si>
  <si>
    <t>Actuator Parts &amp; Installation</t>
  </si>
  <si>
    <t>001444</t>
  </si>
  <si>
    <t>Crane Gantry</t>
  </si>
  <si>
    <t>001445</t>
  </si>
  <si>
    <t>Workstation Desk-Manager</t>
  </si>
  <si>
    <t>4-FURNITURE</t>
  </si>
  <si>
    <t>4.00.39100</t>
  </si>
  <si>
    <t>4-COMPUTERS</t>
  </si>
  <si>
    <t>4-SOFTWARE</t>
  </si>
  <si>
    <t>001448</t>
  </si>
  <si>
    <t>1/3 Document Imaging System</t>
  </si>
  <si>
    <t>001449</t>
  </si>
  <si>
    <t>4-MISC EQUIP</t>
  </si>
  <si>
    <t>4-SERVER</t>
  </si>
  <si>
    <t>001456</t>
  </si>
  <si>
    <t>35% Brett's Furniture</t>
  </si>
  <si>
    <t>001458</t>
  </si>
  <si>
    <t>Insignia 47 LCD TV w/Blu Ray Player-47%"</t>
  </si>
  <si>
    <t>001459</t>
  </si>
  <si>
    <t>47% of Leightronics Mini Tnet Controller</t>
  </si>
  <si>
    <t>001460</t>
  </si>
  <si>
    <t>47% Dell Inspiron 1150 100Lcords</t>
  </si>
  <si>
    <t>001462</t>
  </si>
  <si>
    <t>26% SDI Geosync Enterprise for Utilities</t>
  </si>
  <si>
    <t>001463</t>
  </si>
  <si>
    <t>47% Remote I Web Harris Computers</t>
  </si>
  <si>
    <t>001464</t>
  </si>
  <si>
    <t>47% iCall IVR</t>
  </si>
  <si>
    <t>001468</t>
  </si>
  <si>
    <t>48% Dell laptop for Tim Osborne</t>
  </si>
  <si>
    <t>001470</t>
  </si>
  <si>
    <t>47% OF DELL WEB SERVER</t>
  </si>
  <si>
    <t>001471</t>
  </si>
  <si>
    <t>70% of Tipping Rain Bucket Gauge</t>
  </si>
  <si>
    <t>001473</t>
  </si>
  <si>
    <t>001477</t>
  </si>
  <si>
    <t>25% of Dell Precision T3600 - Project</t>
  </si>
  <si>
    <t>001479</t>
  </si>
  <si>
    <t>25% of Dell Latitude E6430 - Accounting/</t>
  </si>
  <si>
    <t>001481</t>
  </si>
  <si>
    <t>18% OF MICROSOFT DYNAMICS/GP SERVER</t>
  </si>
  <si>
    <t>001482</t>
  </si>
  <si>
    <t>18% of Microsoft Dynamics/GP Software</t>
  </si>
  <si>
    <t>001483</t>
  </si>
  <si>
    <t>19% of HP Z2100 Plotter</t>
  </si>
  <si>
    <t>001484</t>
  </si>
  <si>
    <t>47% of ICIS Utility Billing Software</t>
  </si>
  <si>
    <t>001485</t>
  </si>
  <si>
    <t>47% of Canon ImageRunner 1025</t>
  </si>
  <si>
    <t>001486</t>
  </si>
  <si>
    <t>27.9% of Canon ImageRunner C5240</t>
  </si>
  <si>
    <t>001487</t>
  </si>
  <si>
    <t>John Deere Gator Utility Vehicle</t>
  </si>
  <si>
    <t>4-UTILITY VEHIC</t>
  </si>
  <si>
    <t>4.00.39200</t>
  </si>
  <si>
    <t>4-TRAILERS</t>
  </si>
  <si>
    <t>4-VEHICLES</t>
  </si>
  <si>
    <t>001493</t>
  </si>
  <si>
    <t>Mini Cam with Koala Transportation</t>
  </si>
  <si>
    <t>001502</t>
  </si>
  <si>
    <t>Fork Lift Hopper Rubber Casters</t>
  </si>
  <si>
    <t>001503</t>
  </si>
  <si>
    <t>Trailer EX10 GAT E 2900 GVW Trailer</t>
  </si>
  <si>
    <t>001504</t>
  </si>
  <si>
    <t>6000 lb Pneumatic Forklift</t>
  </si>
  <si>
    <t>001505</t>
  </si>
  <si>
    <t>001506</t>
  </si>
  <si>
    <t>60% of Vac Truck Hydro Excavating</t>
  </si>
  <si>
    <t>001507</t>
  </si>
  <si>
    <t>2011 Ford F450</t>
  </si>
  <si>
    <t>001509</t>
  </si>
  <si>
    <t>2012 Chevy Silverado</t>
  </si>
  <si>
    <t>001510</t>
  </si>
  <si>
    <t>47% OF 2012 FORD F150 VIN</t>
  </si>
  <si>
    <t>001511</t>
  </si>
  <si>
    <t>LADDER PIPE RACK FOR TRUCKS</t>
  </si>
  <si>
    <t>001513</t>
  </si>
  <si>
    <t>Equipment Trailer for Bobcat</t>
  </si>
  <si>
    <t>001514</t>
  </si>
  <si>
    <t>3 8000 Watt &amp; 1 3000 Watt Truck Power</t>
  </si>
  <si>
    <t>001515</t>
  </si>
  <si>
    <t>16% of 2013 Ford Escape SEL</t>
  </si>
  <si>
    <t>001518</t>
  </si>
  <si>
    <t>Analytical Balance Level- Lab</t>
  </si>
  <si>
    <t>4-LAB EQUIP</t>
  </si>
  <si>
    <t>4.00.39301</t>
  </si>
  <si>
    <t>001519</t>
  </si>
  <si>
    <t>Isco Compact Sampler Refrigerator</t>
  </si>
  <si>
    <t>001521</t>
  </si>
  <si>
    <t>Influent &amp; Effluent Refridgerator</t>
  </si>
  <si>
    <t>4-POWER OPER EQ</t>
  </si>
  <si>
    <t>4.00.39302</t>
  </si>
  <si>
    <t>001525</t>
  </si>
  <si>
    <t>John Deere 5105 Tractor</t>
  </si>
  <si>
    <t>001527</t>
  </si>
  <si>
    <t>2006 Bobcat S220 Loader</t>
  </si>
  <si>
    <t>001528</t>
  </si>
  <si>
    <t>001529</t>
  </si>
  <si>
    <t>Generator for WWTP &amp; Installation &amp;</t>
  </si>
  <si>
    <t>001530</t>
  </si>
  <si>
    <t>001531</t>
  </si>
  <si>
    <t>58% of Generators - Emergency Power</t>
  </si>
  <si>
    <t>001533</t>
  </si>
  <si>
    <t>Receiver &amp; Module for Oxidation Ditch</t>
  </si>
  <si>
    <t>4-GIS RECEIVER</t>
  </si>
  <si>
    <t>4.00.39303</t>
  </si>
  <si>
    <t>001534</t>
  </si>
  <si>
    <t>Vertical SBX Phone System</t>
  </si>
  <si>
    <t>4-PHONE SYSTEM</t>
  </si>
  <si>
    <t>20% of Water &amp; WW Construction Standards</t>
  </si>
  <si>
    <t>001774</t>
  </si>
  <si>
    <t>001790</t>
  </si>
  <si>
    <t>46% of Latitude E6440 Laptop - C/S Mgr</t>
  </si>
  <si>
    <t>001795</t>
  </si>
  <si>
    <t>27.9% Latitude 14 5000 Laptop - Floater</t>
  </si>
  <si>
    <t>001798</t>
  </si>
  <si>
    <t>Watkins L/S Replacement Study</t>
  </si>
  <si>
    <t>001799</t>
  </si>
  <si>
    <t>Happy Valley Phase 3 Cleanout Installati</t>
  </si>
  <si>
    <t>001800</t>
  </si>
  <si>
    <t>Oxidation Ditch #2 VFD Start Up</t>
  </si>
  <si>
    <t>001813</t>
  </si>
  <si>
    <t>22% of Microsoft Dynamics GP Phase II</t>
  </si>
  <si>
    <t>001817</t>
  </si>
  <si>
    <t>2-7.5 HP Pumps at Marvin's Lift Station</t>
  </si>
  <si>
    <t>001818</t>
  </si>
  <si>
    <t>Lincoln Trail Basin Odor Control Study</t>
  </si>
  <si>
    <t>001819</t>
  </si>
  <si>
    <t>001820</t>
  </si>
  <si>
    <t>Sludge Pump 2 Rebuild</t>
  </si>
  <si>
    <t>001821</t>
  </si>
  <si>
    <t>WAS Pump #1</t>
  </si>
  <si>
    <t>001822</t>
  </si>
  <si>
    <t>VFD Oxidation Ditch #2</t>
  </si>
  <si>
    <t>001824</t>
  </si>
  <si>
    <t>47% of Itron Radio Read Handheld Unit</t>
  </si>
  <si>
    <t>4-MISC COMM EQ</t>
  </si>
  <si>
    <t>001833</t>
  </si>
  <si>
    <t>Happy Valley Phase 4 Cleanout Installati</t>
  </si>
  <si>
    <t>001834</t>
  </si>
  <si>
    <t>Quick Inspection Pole Camera</t>
  </si>
  <si>
    <t>81% Rebuilt Engine on Vac Truck</t>
  </si>
  <si>
    <t>19% Rebuilt Engine for Vac Truck</t>
  </si>
  <si>
    <t>001846</t>
  </si>
  <si>
    <t>Rad WWTP Drain LS Pump</t>
  </si>
  <si>
    <t>001847</t>
  </si>
  <si>
    <t>Radcliff WWTP WAS Pump Base &amp; Brackets</t>
  </si>
  <si>
    <t>001851</t>
  </si>
  <si>
    <t>20% of SC Roof &amp; 4 Garage Door Painting</t>
  </si>
  <si>
    <t>4-ROOF</t>
  </si>
  <si>
    <t>600ft Rodder Hose for Vactor Truck</t>
  </si>
  <si>
    <t>001864</t>
  </si>
  <si>
    <t>10ft Baffle Oxidation Ditch #3</t>
  </si>
  <si>
    <t>001871</t>
  </si>
  <si>
    <t>LS Bypass Pumping Improvements</t>
  </si>
  <si>
    <t>001872</t>
  </si>
  <si>
    <t>Drugstore LS Repl-9 Manholes</t>
  </si>
  <si>
    <t>001873</t>
  </si>
  <si>
    <t>DrugStore Lift Station Repl - Lift Stati</t>
  </si>
  <si>
    <t>001874</t>
  </si>
  <si>
    <t>Drugstore Lift Stat Repl 1776 LF of 8"</t>
  </si>
  <si>
    <t>001875</t>
  </si>
  <si>
    <t>Drugstore Lift Station Repl Access Rd</t>
  </si>
  <si>
    <t>001876</t>
  </si>
  <si>
    <t>Drugstore Lift Station Repl 2-10hp Pumps</t>
  </si>
  <si>
    <t>001877</t>
  </si>
  <si>
    <t>RAS Pump Repl II 3-40 HP Ebara Pumps</t>
  </si>
  <si>
    <t>001878</t>
  </si>
  <si>
    <t>SEE Snake Push Camera w/Locator</t>
  </si>
  <si>
    <t>001879</t>
  </si>
  <si>
    <t>Rebuild Trans on Aerator Oxt Ditch #2</t>
  </si>
  <si>
    <t>001880</t>
  </si>
  <si>
    <t>Gearbox &amp; Motor for Trans Oxi Ditch #2</t>
  </si>
  <si>
    <t>001882</t>
  </si>
  <si>
    <t>43% of Service Center Surveillance Syste</t>
  </si>
  <si>
    <t>001899</t>
  </si>
  <si>
    <t>27.5% Service Center Entry Card Reader S</t>
  </si>
  <si>
    <t>001903</t>
  </si>
  <si>
    <t>LS44 Pump Rebuild</t>
  </si>
  <si>
    <t>001904</t>
  </si>
  <si>
    <t>Lincoln Trail Sanitary Sewer 13 manholes</t>
  </si>
  <si>
    <t>001905</t>
  </si>
  <si>
    <t>Lincoln Trail Sanitary Sewer Mains</t>
  </si>
  <si>
    <t>001906</t>
  </si>
  <si>
    <t>Radcliff WWTP SCADA</t>
  </si>
  <si>
    <t>001924</t>
  </si>
  <si>
    <t>20% Conf Room Reno-Misc Bldg Improvement</t>
  </si>
  <si>
    <t>001934</t>
  </si>
  <si>
    <t>20% SC Conf Room Reno-Carpet</t>
  </si>
  <si>
    <t>001939</t>
  </si>
  <si>
    <t>20% SC Conf Room Reno-Furniture</t>
  </si>
  <si>
    <t>001946</t>
  </si>
  <si>
    <t>WAS Pump #2</t>
  </si>
  <si>
    <t>001947</t>
  </si>
  <si>
    <t>Thermo Sci Thermolyne Muffle Furnace</t>
  </si>
  <si>
    <t>001961</t>
  </si>
  <si>
    <t>Boone Trace Lift Station Security Fence</t>
  </si>
  <si>
    <t>001967</t>
  </si>
  <si>
    <t>20% SC HVAC 5ton Heat Pump 20kw Heat Pac</t>
  </si>
  <si>
    <t>001971</t>
  </si>
  <si>
    <t>35% 8 GB Optiplex 9020 Computer/GM</t>
  </si>
  <si>
    <t>001977</t>
  </si>
  <si>
    <t>35% 8 GB Optiplex 9020 Computer/Exe Asst</t>
  </si>
  <si>
    <t>001981</t>
  </si>
  <si>
    <t>47% 3 Dell Latitude E5550/Meter Readers</t>
  </si>
  <si>
    <t>001986</t>
  </si>
  <si>
    <t>18% SQL Server (ICIS/GP)</t>
  </si>
  <si>
    <t>001990</t>
  </si>
  <si>
    <t>HWY 313 LS Pump 2 Rebuild</t>
  </si>
  <si>
    <t>001996</t>
  </si>
  <si>
    <t>25 % Kubota Mini Excavator</t>
  </si>
  <si>
    <t>002003</t>
  </si>
  <si>
    <t>47% C/S Lobby Renovation-Carpet</t>
  </si>
  <si>
    <t>002005</t>
  </si>
  <si>
    <t>47% C/S Lobby Renovation-Furniture</t>
  </si>
  <si>
    <t>002020</t>
  </si>
  <si>
    <t>Ultimate Warrior Jet Tier 4</t>
  </si>
  <si>
    <t>002021</t>
  </si>
  <si>
    <t>Greenview &amp; Cement Basin Mains/Lines</t>
  </si>
  <si>
    <t>002022</t>
  </si>
  <si>
    <t>Greenview &amp; Cement LS Impr.-Lift Station</t>
  </si>
  <si>
    <t>002023</t>
  </si>
  <si>
    <t>N. Logsdon LS Project-Mains/Lines</t>
  </si>
  <si>
    <t>002024</t>
  </si>
  <si>
    <t>EQ Basin Pump #2 Replacement-LS Pumps</t>
  </si>
  <si>
    <t>002028</t>
  </si>
  <si>
    <t>25% Mini Excavator Bucket</t>
  </si>
  <si>
    <t>002031</t>
  </si>
  <si>
    <t>47% Service Center Parking Lot Sealing</t>
  </si>
  <si>
    <t>002033</t>
  </si>
  <si>
    <t>75% Thermal Imager</t>
  </si>
  <si>
    <t>002035</t>
  </si>
  <si>
    <t>47% Itron Radio Read Handheld Unit</t>
  </si>
  <si>
    <t>002049</t>
  </si>
  <si>
    <t>Indiana Trail L/S Electric Service</t>
  </si>
  <si>
    <t>002050</t>
  </si>
  <si>
    <t>Oxidation Ditch Gearbox Rebuild</t>
  </si>
  <si>
    <t>002059</t>
  </si>
  <si>
    <t>Redhawk Lift Station Pump</t>
  </si>
  <si>
    <t>002061</t>
  </si>
  <si>
    <t>4 Electric Heaters in Lower Shop</t>
  </si>
  <si>
    <t>002062</t>
  </si>
  <si>
    <t>47% of Service Center Cust Serv Entrance</t>
  </si>
  <si>
    <t>002064</t>
  </si>
  <si>
    <t>Oxidation Ditch #3 VFD Drive Unit</t>
  </si>
  <si>
    <t>002083</t>
  </si>
  <si>
    <t>32% Dell PowerEdge R730 Server</t>
  </si>
  <si>
    <t>002088</t>
  </si>
  <si>
    <t>20% 2014 Chevy Equinox</t>
  </si>
  <si>
    <t>002095</t>
  </si>
  <si>
    <t>5% Plasma Cutter</t>
  </si>
  <si>
    <t>002097</t>
  </si>
  <si>
    <t>Kindergarten L/S 4" 7.5HP 230V Pump</t>
  </si>
  <si>
    <t>002098</t>
  </si>
  <si>
    <t>RWWTP W# Water Conversion to Potable</t>
  </si>
  <si>
    <t>002099</t>
  </si>
  <si>
    <t>Brown St 4" 10HP L/S Pump</t>
  </si>
  <si>
    <t>002100</t>
  </si>
  <si>
    <t>3" Honda Trash Pump</t>
  </si>
  <si>
    <t>002102</t>
  </si>
  <si>
    <t>Push Camera Reel</t>
  </si>
  <si>
    <t>002114</t>
  </si>
  <si>
    <t>32% Labor for Server Installation</t>
  </si>
  <si>
    <t>002117</t>
  </si>
  <si>
    <t>24% Office 2013 Home &amp; Business</t>
  </si>
  <si>
    <t>002120</t>
  </si>
  <si>
    <t>Sherwood Lift Station Pump</t>
  </si>
  <si>
    <t>002121</t>
  </si>
  <si>
    <t>Barnes 5 HP Filtrate Pump</t>
  </si>
  <si>
    <t>002122</t>
  </si>
  <si>
    <t>Honda 3 Phase 5000 Watt Generator</t>
  </si>
  <si>
    <t>002135</t>
  </si>
  <si>
    <t>29% Ricoh MP3054 Copier</t>
  </si>
  <si>
    <t>002140</t>
  </si>
  <si>
    <t>20% Capital Projects Request App</t>
  </si>
  <si>
    <t>002145</t>
  </si>
  <si>
    <t>29% Hitachi Smart Board &amp; Projector</t>
  </si>
  <si>
    <t>002148</t>
  </si>
  <si>
    <t>49% Check Scanner</t>
  </si>
  <si>
    <t>002149</t>
  </si>
  <si>
    <t>4" 20HP Pump for North Logsdon Lift Stat</t>
  </si>
  <si>
    <t>002150</t>
  </si>
  <si>
    <t>240GPD 80 PSI C771-25HV Polymer Pump</t>
  </si>
  <si>
    <t>002151</t>
  </si>
  <si>
    <t>Radcliff Startup Misc Tools</t>
  </si>
  <si>
    <t>4-TOOLS</t>
  </si>
  <si>
    <t>002152</t>
  </si>
  <si>
    <t>Radcliff Startup Safety Supplies</t>
  </si>
  <si>
    <t>002153</t>
  </si>
  <si>
    <t>Radcliff Startup Network Equipment</t>
  </si>
  <si>
    <t>002154</t>
  </si>
  <si>
    <t>Radcliff Startup Computer Supplies</t>
  </si>
  <si>
    <t>002155</t>
  </si>
  <si>
    <t>72" Mower Taul Equipment</t>
  </si>
  <si>
    <t>002156</t>
  </si>
  <si>
    <t>Kawaski Pro Turn 160</t>
  </si>
  <si>
    <t>002157</t>
  </si>
  <si>
    <t>Lab Software License</t>
  </si>
  <si>
    <t>002158</t>
  </si>
  <si>
    <t>Remote Desktop Open License RSOPS</t>
  </si>
  <si>
    <t>002159</t>
  </si>
  <si>
    <t>6 Dell Latitude 3540 Laptops</t>
  </si>
  <si>
    <t>002165</t>
  </si>
  <si>
    <t>81% 2009 Vactor 2112 Combinantion Sewer</t>
  </si>
  <si>
    <t>002166</t>
  </si>
  <si>
    <t>81% of 10-24" Dredger for Vactor Truck</t>
  </si>
  <si>
    <t>002167</t>
  </si>
  <si>
    <t>002168</t>
  </si>
  <si>
    <t>002169</t>
  </si>
  <si>
    <t>002170</t>
  </si>
  <si>
    <t>Root Cutter Nozzle -  Use with Vac Truck</t>
  </si>
  <si>
    <t>002171</t>
  </si>
  <si>
    <t>002172</t>
  </si>
  <si>
    <t>19% pf 10-24" Dredger for Vactor Truck</t>
  </si>
  <si>
    <t>002173</t>
  </si>
  <si>
    <t>002174</t>
  </si>
  <si>
    <t>5% Vac Truck Hyrdro Excavating</t>
  </si>
  <si>
    <t>002177</t>
  </si>
  <si>
    <t>25% 18' Duvall Trailer</t>
  </si>
  <si>
    <t>002183</t>
  </si>
  <si>
    <t>Rebuild 313 LS Flygt Pump</t>
  </si>
  <si>
    <t>002186</t>
  </si>
  <si>
    <t>Cat 42F2ST Backhoe - Ser No. HWC00645</t>
  </si>
  <si>
    <t>002199</t>
  </si>
  <si>
    <t>Quiggins/Seminole LS Evaluation</t>
  </si>
  <si>
    <t>002206</t>
  </si>
  <si>
    <t>24% of 2 Microsoft Office Pro License</t>
  </si>
  <si>
    <t>002211</t>
  </si>
  <si>
    <t>29% Dell Networking 10GB Fiber Switches</t>
  </si>
  <si>
    <t>002216</t>
  </si>
  <si>
    <t>20% Dell Powerbook Engineering Manager</t>
  </si>
  <si>
    <t>002223</t>
  </si>
  <si>
    <t>Boone Trace Lift Station Improvements</t>
  </si>
  <si>
    <t>002229</t>
  </si>
  <si>
    <t>49% Trimble GEO Handheld GPS Unit</t>
  </si>
  <si>
    <t>002233</t>
  </si>
  <si>
    <t>29% Dell Network 10GB Fiber Switches</t>
  </si>
  <si>
    <t>002238</t>
  </si>
  <si>
    <t>2016 F-150 4WD SuperCrew Truck-Superviso</t>
  </si>
  <si>
    <t>002239</t>
  </si>
  <si>
    <t>2016 Chevy Silverado 2500 Field Service</t>
  </si>
  <si>
    <t>002240</t>
  </si>
  <si>
    <t>2016 Chevy Silverado 3500-Maintenance</t>
  </si>
  <si>
    <t>002250</t>
  </si>
  <si>
    <t>RWWTP 2 Final Clarifier Drains</t>
  </si>
  <si>
    <t>002251</t>
  </si>
  <si>
    <t>RWWTP Rip Rap Hillside</t>
  </si>
  <si>
    <t>002252</t>
  </si>
  <si>
    <t>Vac Truck Hose</t>
  </si>
  <si>
    <t>002306</t>
  </si>
  <si>
    <t>Boone Trace L/S Rehab</t>
  </si>
  <si>
    <t>002307</t>
  </si>
  <si>
    <t>Boone Trace L/S Access Road</t>
  </si>
  <si>
    <t>002308</t>
  </si>
  <si>
    <t>Boone Trace L/S Pumps</t>
  </si>
  <si>
    <t>002309</t>
  </si>
  <si>
    <t>Boone Trace L/S Control Panel</t>
  </si>
  <si>
    <t>002310</t>
  </si>
  <si>
    <t>Boone Trace Generator</t>
  </si>
  <si>
    <t>002311</t>
  </si>
  <si>
    <t>John Hardin Force Main 1,284lf Main</t>
  </si>
  <si>
    <t>002312</t>
  </si>
  <si>
    <t>7 Manholes for John Hardin Force Main Re</t>
  </si>
  <si>
    <t>002313</t>
  </si>
  <si>
    <t>763 LF of 15" &amp; 433 LF of 8" Main Quiggi</t>
  </si>
  <si>
    <t>002314</t>
  </si>
  <si>
    <t>8 Manholes Quiggins Area Sewer Phase I &amp;</t>
  </si>
  <si>
    <t>002334</t>
  </si>
  <si>
    <t>2016 CIPP Installation</t>
  </si>
  <si>
    <t>002335</t>
  </si>
  <si>
    <t>Warthog Jetter Nozzle</t>
  </si>
  <si>
    <t>002347</t>
  </si>
  <si>
    <t>29.6% Pro Turn 152 Kawaksaki Mower</t>
  </si>
  <si>
    <t>002359</t>
  </si>
  <si>
    <t>6" Submersible Pump 313 LIft Station</t>
  </si>
  <si>
    <t>002360</t>
  </si>
  <si>
    <t>Utility Line Locator</t>
  </si>
  <si>
    <t>002361</t>
  </si>
  <si>
    <t>Kubota RTV</t>
  </si>
  <si>
    <t>002374</t>
  </si>
  <si>
    <t>49% 2017 Ford F150 1FTMFXHKD47998</t>
  </si>
  <si>
    <t>002382</t>
  </si>
  <si>
    <t>8.5x14' Encolsed V-Nose Cargo Trailer</t>
  </si>
  <si>
    <t>002401</t>
  </si>
  <si>
    <t>49% 2017 Ford F150 4wd Reg Cab</t>
  </si>
  <si>
    <t>002417</t>
  </si>
  <si>
    <t>32% HR Specialist Office Furniture</t>
  </si>
  <si>
    <t>002438</t>
  </si>
  <si>
    <t>RWWTP Clarifier Algae Sweep</t>
  </si>
  <si>
    <t>002439</t>
  </si>
  <si>
    <t>Solids Monitoring Probe</t>
  </si>
  <si>
    <t>002468</t>
  </si>
  <si>
    <t>98% 2017 Chevy Silverado Rad MCS</t>
  </si>
  <si>
    <t>002471</t>
  </si>
  <si>
    <t>Conversion of Lift Station Electric Serv</t>
  </si>
  <si>
    <t>002472</t>
  </si>
  <si>
    <t>Quggins Force Main 2,483 LF 10" PVC</t>
  </si>
  <si>
    <t>002473</t>
  </si>
  <si>
    <t>Rad WWTP RAS/WAS 3-40HP Pumps</t>
  </si>
  <si>
    <t>002474</t>
  </si>
  <si>
    <t>Rad WWTP UV Disinfection System</t>
  </si>
  <si>
    <t>002475</t>
  </si>
  <si>
    <t>Mechanical Bar Screen</t>
  </si>
  <si>
    <t>002478</t>
  </si>
  <si>
    <t>29.6% Service Center Parking Lot Lights</t>
  </si>
  <si>
    <t>002500</t>
  </si>
  <si>
    <t>2017 Dodge Ram 5500 Reg Cab 4x4 Crane Tr</t>
  </si>
  <si>
    <t>002510</t>
  </si>
  <si>
    <t>2017 CIPP Installation</t>
  </si>
  <si>
    <t>002516</t>
  </si>
  <si>
    <t>RWWTP Locating Transmitter</t>
  </si>
  <si>
    <t>002523</t>
  </si>
  <si>
    <t>Greenview L/S Pump #2</t>
  </si>
  <si>
    <t>002531</t>
  </si>
  <si>
    <t>25% Pnewmatic Hydraulic Hammer for KUBOT</t>
  </si>
  <si>
    <t>002538</t>
  </si>
  <si>
    <t>Rad WWTP Clarifier Launder Coating</t>
  </si>
  <si>
    <t>002549</t>
  </si>
  <si>
    <t>Rad WWTP Generator Expansion</t>
  </si>
  <si>
    <t>002550</t>
  </si>
  <si>
    <t>Rad WWTP Lab Microscope</t>
  </si>
  <si>
    <t>002567</t>
  </si>
  <si>
    <t>25% 2018 Desktop Computer Refresh 8 Desk</t>
  </si>
  <si>
    <t>002569</t>
  </si>
  <si>
    <t>Arlington Lift Station Pump 40HP 460V 3p</t>
  </si>
  <si>
    <t>002570</t>
  </si>
  <si>
    <t>Rad WWTP Gravel Road Paving</t>
  </si>
  <si>
    <t>002571</t>
  </si>
  <si>
    <t>Bed Liner for 2017 Dodge Ram Crane Truck</t>
  </si>
  <si>
    <t>002583</t>
  </si>
  <si>
    <t>50% 20019 Ford F450 w/Service Body</t>
  </si>
  <si>
    <t>002597</t>
  </si>
  <si>
    <t>RWWTP EQ Flow Meter</t>
  </si>
  <si>
    <t>002620</t>
  </si>
  <si>
    <t>Hach HQ4D pH &amp; DO Field Meter</t>
  </si>
  <si>
    <t>002622</t>
  </si>
  <si>
    <t>49% Martin Yale High Speed Letter Opener</t>
  </si>
  <si>
    <t>002632</t>
  </si>
  <si>
    <t>43.25% Office Panels for Engineer &amp; GIS</t>
  </si>
  <si>
    <t>002636</t>
  </si>
  <si>
    <t>13% Kronos Payroll System</t>
  </si>
  <si>
    <t>002641</t>
  </si>
  <si>
    <t>47% Canon IR1730IF</t>
  </si>
  <si>
    <t>002643</t>
  </si>
  <si>
    <t>Headworks Gas Detection System</t>
  </si>
  <si>
    <t>002656</t>
  </si>
  <si>
    <t>Sludge Conveyor Belt Drum Rollers</t>
  </si>
  <si>
    <t>002664</t>
  </si>
  <si>
    <t>27% AC Unit Server Room at Service Cente</t>
  </si>
  <si>
    <t>002672</t>
  </si>
  <si>
    <t>RS Logix PLC Software</t>
  </si>
  <si>
    <t>002673</t>
  </si>
  <si>
    <t>2 Wendover L/S Pumps 7.5 HP</t>
  </si>
  <si>
    <t>002674</t>
  </si>
  <si>
    <t>RWWTP Clarifier 1 Gearbox</t>
  </si>
  <si>
    <t>002684</t>
  </si>
  <si>
    <t>Belt Press Filter Belt</t>
  </si>
  <si>
    <t>002685</t>
  </si>
  <si>
    <t>2019 Chevy Silverado 5500 4x4 Dump Truck</t>
  </si>
  <si>
    <t>002686</t>
  </si>
  <si>
    <t>Beacon Hills LS  4" Sub. 7HP Pump</t>
  </si>
  <si>
    <t>002696</t>
  </si>
  <si>
    <t>26% Service Center Access Controls Syste</t>
  </si>
  <si>
    <t>002701</t>
  </si>
  <si>
    <t>25.2% 3 Laptops (Accountant, Acct Specia</t>
  </si>
  <si>
    <t>002704</t>
  </si>
  <si>
    <t>47% Itron FC300 Handheld</t>
  </si>
  <si>
    <t>002717</t>
  </si>
  <si>
    <t>48% 2019 Ram 1500 4x4</t>
  </si>
  <si>
    <t>002723</t>
  </si>
  <si>
    <t>Influent Flow Meter</t>
  </si>
  <si>
    <t>22% Microsoft GP Acct Software Upgrade</t>
  </si>
  <si>
    <t>002739</t>
  </si>
  <si>
    <t>002741</t>
  </si>
  <si>
    <t>Spring St Myers HF Grinder PUmp</t>
  </si>
  <si>
    <t>002758</t>
  </si>
  <si>
    <t>29% HC3 Cluster at Service Center</t>
  </si>
  <si>
    <t>002773</t>
  </si>
  <si>
    <t>Lift Station Rehab Pumps</t>
  </si>
  <si>
    <t>002774</t>
  </si>
  <si>
    <t>Lift Station Rehab Control Panels</t>
  </si>
  <si>
    <t>002783</t>
  </si>
  <si>
    <t>29% 2019 Annual Desktop Replacement</t>
  </si>
  <si>
    <t>002785</t>
  </si>
  <si>
    <t>Quiggins Lift Station Rehab</t>
  </si>
  <si>
    <t>002786</t>
  </si>
  <si>
    <t>Quiggins Lift Station Electric Pumps</t>
  </si>
  <si>
    <t>002787</t>
  </si>
  <si>
    <t>Quiggins Lift Station Control Panels</t>
  </si>
  <si>
    <t>21% 10 Conference Room Chairs</t>
  </si>
  <si>
    <t>002822</t>
  </si>
  <si>
    <t>002824</t>
  </si>
  <si>
    <t>Meraki Firewall</t>
  </si>
  <si>
    <t>002825</t>
  </si>
  <si>
    <t>Audubon Lift Station Pump Rebuild</t>
  </si>
  <si>
    <t>002826</t>
  </si>
  <si>
    <t>Greenview Force Main 1,714LF 8" C-900 &amp;</t>
  </si>
  <si>
    <t>002827</t>
  </si>
  <si>
    <t>Masters Lift Station Valves</t>
  </si>
  <si>
    <t>002828</t>
  </si>
  <si>
    <t>Masters Lift Station 2 6HP Pumps</t>
  </si>
  <si>
    <t>002829</t>
  </si>
  <si>
    <t>Masters Lift Station Control Panel</t>
  </si>
  <si>
    <t>002830</t>
  </si>
  <si>
    <t>Hensley Lift Station Valves</t>
  </si>
  <si>
    <t>002831</t>
  </si>
  <si>
    <t>Hensley Lift Station 2 16.8 HP Pumps</t>
  </si>
  <si>
    <t>002832</t>
  </si>
  <si>
    <t>Hensley Lift Station Control Panels</t>
  </si>
  <si>
    <t>002834</t>
  </si>
  <si>
    <t>Cement/Logan Lift Station 2 33.5 HP Pump</t>
  </si>
  <si>
    <t>002835</t>
  </si>
  <si>
    <t>Cement/Logan Lift Staiton Access Road</t>
  </si>
  <si>
    <t>002836</t>
  </si>
  <si>
    <t>Cement/Logan Lift Station Building</t>
  </si>
  <si>
    <t>002837</t>
  </si>
  <si>
    <t>Cement/Logan Lift Station Control Panels</t>
  </si>
  <si>
    <t>002838</t>
  </si>
  <si>
    <t>RWWTP RAS/WAS</t>
  </si>
  <si>
    <t>002839</t>
  </si>
  <si>
    <t>RWWTP RAS/WAS Control Panel</t>
  </si>
  <si>
    <t>002840</t>
  </si>
  <si>
    <t>Lincoln Trail Lift Station Rehab 3 115HP</t>
  </si>
  <si>
    <t>002841</t>
  </si>
  <si>
    <t>Lincoln Trail LS Rehab Control Panel</t>
  </si>
  <si>
    <t>002842</t>
  </si>
  <si>
    <t>Lincoln Trail LS Generator</t>
  </si>
  <si>
    <t>002843</t>
  </si>
  <si>
    <t>Boone Trace Trunk Line</t>
  </si>
  <si>
    <t>002844</t>
  </si>
  <si>
    <t>Boone Trace Trunk Line 22 Manholes</t>
  </si>
  <si>
    <t>002848</t>
  </si>
  <si>
    <t>Redmar Lift Station Study</t>
  </si>
  <si>
    <t>002849</t>
  </si>
  <si>
    <t>Seminole Lift Station</t>
  </si>
  <si>
    <t>002850</t>
  </si>
  <si>
    <t>Seminole Lift Station 2-125HP Pumps</t>
  </si>
  <si>
    <t>002851</t>
  </si>
  <si>
    <t>Seminole Lift Station Control Panel</t>
  </si>
  <si>
    <t>002852</t>
  </si>
  <si>
    <t>Turner Basin 770LF 8", 15LF 12" &amp; 240LF</t>
  </si>
  <si>
    <t>002853</t>
  </si>
  <si>
    <t>Tuner Basin 7 Manholes</t>
  </si>
  <si>
    <t>002854</t>
  </si>
  <si>
    <t>VAC Dump Station</t>
  </si>
  <si>
    <t>002858</t>
  </si>
  <si>
    <t>Challenger Sewer Improvements 315 LF 8"</t>
  </si>
  <si>
    <t>002859</t>
  </si>
  <si>
    <t>Challenger Sewer Improvements 2 Manholes</t>
  </si>
  <si>
    <t>002877</t>
  </si>
  <si>
    <t>SC Cust Service Glass Enclosure</t>
  </si>
  <si>
    <t>002898</t>
  </si>
  <si>
    <t>28% 2012 Chevy Silverado</t>
  </si>
  <si>
    <t>002923</t>
  </si>
  <si>
    <t>47% Dell Precision 7470 Meter Reader Com</t>
  </si>
  <si>
    <t>002935</t>
  </si>
  <si>
    <t>13% Carlson 2021 AutoCad Software</t>
  </si>
  <si>
    <t>002940</t>
  </si>
  <si>
    <t>REDMAR L/S REROUTE</t>
  </si>
  <si>
    <t>002941</t>
  </si>
  <si>
    <t>REDMAR L/S REROUTE MAINS</t>
  </si>
  <si>
    <t>002942</t>
  </si>
  <si>
    <t>REDMAR L/S REROUTE MANHOLES</t>
  </si>
  <si>
    <t>002943</t>
  </si>
  <si>
    <t>REDMAR L/S REROUTE FLOW METER</t>
  </si>
  <si>
    <t>002944</t>
  </si>
  <si>
    <t>REDMAR L/S REROUTE L/S CONTROL PANEL</t>
  </si>
  <si>
    <t>002960</t>
  </si>
  <si>
    <t>Digester D.O. &amp; Level Sensors</t>
  </si>
  <si>
    <t>002970</t>
  </si>
  <si>
    <t>47% 6 HON Tash Stools - Customer Service</t>
  </si>
  <si>
    <t>002971</t>
  </si>
  <si>
    <t>Boone Trace Transfer Switch Control Boar</t>
  </si>
  <si>
    <t>20% GIS Update Geosync Go</t>
  </si>
  <si>
    <t>002978</t>
  </si>
  <si>
    <t>002991</t>
  </si>
  <si>
    <t>24% 2019 Microsoft Exchange Server</t>
  </si>
  <si>
    <t>003002</t>
  </si>
  <si>
    <t>24% 4TH NODE HC3 SERVER CLUSTER</t>
  </si>
  <si>
    <t>003011</t>
  </si>
  <si>
    <t>OXIDATION DITCH 3 PLATFORM</t>
  </si>
  <si>
    <t>003012</t>
  </si>
  <si>
    <t>REPURPOSE ROTORK ACTUATOR</t>
  </si>
  <si>
    <t>003013</t>
  </si>
  <si>
    <t>SPECTRO DR3900 TO READ AMMONIA LEVL RFID</t>
  </si>
  <si>
    <t>003022</t>
  </si>
  <si>
    <t>RWW Server Upgrade</t>
  </si>
  <si>
    <t>003033</t>
  </si>
  <si>
    <t>24% GP 2018 Software Upgrade</t>
  </si>
  <si>
    <t>003038</t>
  </si>
  <si>
    <t>36% 2021 Annual Desktop Refresh</t>
  </si>
  <si>
    <t>003049</t>
  </si>
  <si>
    <t>GREENVIEW FM @ LOGSDON PKWY CROSSING</t>
  </si>
  <si>
    <t>003050</t>
  </si>
  <si>
    <t>SEMINOLE FM 12" PIPE X 5055'</t>
  </si>
  <si>
    <t>003051</t>
  </si>
  <si>
    <t>3 SEMINOLE 4' MANHOLES</t>
  </si>
  <si>
    <t>003052</t>
  </si>
  <si>
    <t>SEMINOLE SPLITTER BOX AT RWWTP</t>
  </si>
  <si>
    <t>24% SERVER CLUSTER BACKUP OFFSITE</t>
  </si>
  <si>
    <t>003070</t>
  </si>
  <si>
    <t>SCADA RADIOS &amp; NETWORK EQUIPMENT</t>
  </si>
  <si>
    <t>4-SCADA</t>
  </si>
  <si>
    <t>003071</t>
  </si>
  <si>
    <t>33 SCADA TOWERS</t>
  </si>
  <si>
    <t>003072</t>
  </si>
  <si>
    <t>6 SCADA CONTROL PANELS</t>
  </si>
  <si>
    <t>003077</t>
  </si>
  <si>
    <t>34% OF 2 HP 17.3" MCS LAPTOPS</t>
  </si>
  <si>
    <t>003082</t>
  </si>
  <si>
    <t>43% Camlock for Customer Service Drawers</t>
  </si>
  <si>
    <t>003086</t>
  </si>
  <si>
    <t>Rebuild LTrail LS Pump 2</t>
  </si>
  <si>
    <t>003094</t>
  </si>
  <si>
    <t>24% 2022 TERMINAL SERVER</t>
  </si>
  <si>
    <t>003096</t>
  </si>
  <si>
    <t>GREENVIEW L/S PUMP 1</t>
  </si>
  <si>
    <t>003097</t>
  </si>
  <si>
    <t>LINCOLN TRAIL LS PUMP 1 REBUILD</t>
  </si>
  <si>
    <t>003098</t>
  </si>
  <si>
    <t>BELT PRESS CLOTH</t>
  </si>
  <si>
    <t>003107</t>
  </si>
  <si>
    <t>27% Tyler Technologies UB Software</t>
  </si>
  <si>
    <t>003111</t>
  </si>
  <si>
    <t>58% Controller Repl on Em Generator</t>
  </si>
  <si>
    <t>003113</t>
  </si>
  <si>
    <t>Digester Blower Breaker and Wire Upgrade</t>
  </si>
  <si>
    <t>003118</t>
  </si>
  <si>
    <t>21% Accounting Spec. HP ProBook450 G8</t>
  </si>
  <si>
    <t>003124</t>
  </si>
  <si>
    <t>24% HR Specialist HP ProBook 450 G8</t>
  </si>
  <si>
    <t>003136</t>
  </si>
  <si>
    <t>20% Operations Manager HP Laptop 17.3"</t>
  </si>
  <si>
    <t>45% GIS Specialist Dell Precision 5820</t>
  </si>
  <si>
    <t>003141</t>
  </si>
  <si>
    <t>003144</t>
  </si>
  <si>
    <t>47% CSR Teller 01 Optiplex 7090 Ultra</t>
  </si>
  <si>
    <t>003146</t>
  </si>
  <si>
    <t>47% CSR Teller 02 Optiplex 7090 Ultra</t>
  </si>
  <si>
    <t>003148</t>
  </si>
  <si>
    <t>47% CSR Teller 03 Optiplex 7090 Ultra</t>
  </si>
  <si>
    <t>003150</t>
  </si>
  <si>
    <t>47% CSR Credit Desk Optiplex 7090 Ultra</t>
  </si>
  <si>
    <t>003152</t>
  </si>
  <si>
    <t>47% CSR Drive Thru Optiplex 7090 Ultra</t>
  </si>
  <si>
    <t>003154</t>
  </si>
  <si>
    <t>47% Billing Specialist Optiplex 7090 Ult</t>
  </si>
  <si>
    <t>003158</t>
  </si>
  <si>
    <t>Boone Trace L/S Homa Pump 10" flange</t>
  </si>
  <si>
    <t>003170</t>
  </si>
  <si>
    <t>24% WEBSITE REDESIGN</t>
  </si>
  <si>
    <t>003173</t>
  </si>
  <si>
    <t>QUIGGINS L/S PROGRAMMING/ELECTRICAL UPGR</t>
  </si>
  <si>
    <t>003193</t>
  </si>
  <si>
    <t>14% ID BADGE PRINTER</t>
  </si>
  <si>
    <t>003194</t>
  </si>
  <si>
    <t>14% ID BADGE PRINTING SOFTWARE</t>
  </si>
  <si>
    <t>003198</t>
  </si>
  <si>
    <t>BOONE TRACE LS ELECTRICAL IMPROVEMENTS</t>
  </si>
  <si>
    <t>003199</t>
  </si>
  <si>
    <t>BROOKE TRACE LS ELECTRICAL IMPROVEMENTS</t>
  </si>
  <si>
    <t>003208</t>
  </si>
  <si>
    <t>21% 2022 FORD EXPEDITION - GM</t>
  </si>
  <si>
    <t>003227</t>
  </si>
  <si>
    <t>CROWLEY SUBDIVISION - SECTION 4</t>
  </si>
  <si>
    <t>003228</t>
  </si>
  <si>
    <t>CROWLEY SUBDIVISION SECTION 4</t>
  </si>
  <si>
    <t>003229</t>
  </si>
  <si>
    <t>THE GROVE AT COWLEY CROSSING</t>
  </si>
  <si>
    <t>003230</t>
  </si>
  <si>
    <t>THE GROVE AT CROWLEY CROSSING</t>
  </si>
  <si>
    <t>003231</t>
  </si>
  <si>
    <t>PAWLEY ESTATES SANITARY SEWER</t>
  </si>
  <si>
    <t>003232</t>
  </si>
  <si>
    <t>003602</t>
  </si>
  <si>
    <t>006588</t>
  </si>
  <si>
    <t>Watkins L/S 2HP Grinder Pump</t>
  </si>
  <si>
    <t>006589</t>
  </si>
  <si>
    <t>Rad LS Elim 93LF 12" SDR 35 pipe, 101LF</t>
  </si>
  <si>
    <t>006590</t>
  </si>
  <si>
    <t>UV System Tank Covers Rad WWTP</t>
  </si>
  <si>
    <t>006592</t>
  </si>
  <si>
    <t>49% Itron Mobile Laptop</t>
  </si>
  <si>
    <t>006603</t>
  </si>
  <si>
    <t>25% Board Member Tech 1 Laptop &amp; 4 ipads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</si>
</sst>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9"/>
      <name val="Segoe UI"/>
    </font>
    <font>
      <b/>
      <sz val="9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4" fontId="0" fillId="0" borderId="0" xfId="0" applyNumberFormat="1">
      <alignment vertical="center"/>
    </xf>
    <xf numFmtId="1" fontId="0" fillId="0" borderId="0" xfId="0" applyNumberFormat="1">
      <alignment vertical="center"/>
    </xf>
    <xf numFmtId="164" fontId="0" fillId="0" borderId="0" xfId="0" applyNumberFormat="1">
      <alignment vertical="center"/>
    </xf>
    <xf numFmtId="164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9"/>
  <sheetViews>
    <sheetView tabSelected="1" view="pageLayout" zoomScaleNormal="80" workbookViewId="0">
      <selection activeCell="E590" sqref="E590"/>
    </sheetView>
  </sheetViews>
  <sheetFormatPr defaultRowHeight="12" x14ac:dyDescent="0.2"/>
  <cols>
    <col min="1" max="1" width="13.6640625" customWidth="1"/>
    <col min="2" max="2" width="53.1640625" bestFit="1" customWidth="1"/>
    <col min="3" max="3" width="17.1640625" style="1" customWidth="1"/>
    <col min="4" max="4" width="22" style="1" customWidth="1"/>
    <col min="5" max="5" width="20.6640625" style="3" bestFit="1" customWidth="1"/>
    <col min="6" max="6" width="20.33203125" customWidth="1"/>
    <col min="7" max="7" width="16.5" style="2" customWidth="1"/>
    <col min="8" max="8" width="19.6640625" style="2" hidden="1" customWidth="1"/>
    <col min="9" max="9" width="15.6640625" style="1" customWidth="1"/>
    <col min="10" max="10" width="16.83203125" style="3" bestFit="1" customWidth="1"/>
    <col min="11" max="11" width="18.33203125" style="3" bestFit="1" customWidth="1"/>
    <col min="12" max="12" width="20.1640625" style="3" bestFit="1" customWidth="1"/>
    <col min="13" max="13" width="19.83203125" style="3" bestFit="1" customWidth="1"/>
    <col min="14" max="14" width="23.1640625" bestFit="1" customWidth="1"/>
    <col min="15" max="15" width="12.33203125" hidden="1" customWidth="1"/>
    <col min="16" max="16" width="13.5" hidden="1" customWidth="1"/>
    <col min="17" max="17" width="25.1640625" bestFit="1" customWidth="1"/>
  </cols>
  <sheetData>
    <row r="1" spans="1:17" s="5" customFormat="1" ht="39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ht="17.45" customHeight="1" x14ac:dyDescent="0.2"/>
    <row r="3" spans="1:17" ht="17.45" customHeight="1" x14ac:dyDescent="0.2">
      <c r="A3" t="s">
        <v>36</v>
      </c>
      <c r="B3" t="s">
        <v>37</v>
      </c>
      <c r="C3" s="1">
        <f>DATE(1962,1,1)</f>
        <v>22647</v>
      </c>
      <c r="D3" s="1">
        <f>DATE(1962,1,1)</f>
        <v>22647</v>
      </c>
      <c r="E3" s="3">
        <v>9544</v>
      </c>
      <c r="F3" t="s">
        <v>17</v>
      </c>
      <c r="G3" s="2">
        <v>0</v>
      </c>
      <c r="H3" s="2">
        <v>0</v>
      </c>
      <c r="I3" s="1">
        <f>DATE(1962,1,1)</f>
        <v>22647</v>
      </c>
      <c r="J3" s="3">
        <v>0</v>
      </c>
      <c r="K3" s="3">
        <v>0</v>
      </c>
      <c r="L3" s="3">
        <v>0</v>
      </c>
      <c r="M3" s="3">
        <v>9544</v>
      </c>
      <c r="N3" t="s">
        <v>38</v>
      </c>
      <c r="O3" t="s">
        <v>18</v>
      </c>
      <c r="P3" t="s">
        <v>19</v>
      </c>
      <c r="Q3" t="s">
        <v>39</v>
      </c>
    </row>
    <row r="4" spans="1:17" ht="17.45" customHeight="1" x14ac:dyDescent="0.2">
      <c r="E4" s="4">
        <f>SUM(E3)</f>
        <v>9544</v>
      </c>
      <c r="J4" s="4">
        <f t="shared" ref="J4:M4" si="0">SUM(J3)</f>
        <v>0</v>
      </c>
      <c r="K4" s="4">
        <f t="shared" si="0"/>
        <v>0</v>
      </c>
      <c r="L4" s="4">
        <f t="shared" si="0"/>
        <v>0</v>
      </c>
      <c r="M4" s="4">
        <f t="shared" si="0"/>
        <v>9544</v>
      </c>
    </row>
    <row r="5" spans="1:17" ht="17.45" customHeight="1" x14ac:dyDescent="0.2">
      <c r="A5" t="s">
        <v>22</v>
      </c>
      <c r="B5" t="s">
        <v>23</v>
      </c>
      <c r="C5" s="1">
        <f>DATE(2020,2,29)</f>
        <v>43890</v>
      </c>
      <c r="D5" s="1">
        <f>DATE(2020,2,29)</f>
        <v>43890</v>
      </c>
      <c r="E5" s="3">
        <v>198258.82</v>
      </c>
      <c r="F5" t="s">
        <v>20</v>
      </c>
      <c r="G5" s="2">
        <v>50</v>
      </c>
      <c r="H5" s="2">
        <v>0</v>
      </c>
      <c r="I5" s="1">
        <f>DATE(2022,12,31)</f>
        <v>44926</v>
      </c>
      <c r="J5" s="3">
        <v>330.45</v>
      </c>
      <c r="K5" s="3">
        <v>3965.18</v>
      </c>
      <c r="L5" s="3">
        <v>11234.67</v>
      </c>
      <c r="M5" s="3">
        <v>187024.15</v>
      </c>
      <c r="N5" t="s">
        <v>24</v>
      </c>
      <c r="O5" t="s">
        <v>18</v>
      </c>
      <c r="P5" t="s">
        <v>19</v>
      </c>
      <c r="Q5" t="s">
        <v>25</v>
      </c>
    </row>
    <row r="6" spans="1:17" ht="17.45" customHeight="1" x14ac:dyDescent="0.2">
      <c r="A6" t="s">
        <v>40</v>
      </c>
      <c r="B6" t="s">
        <v>41</v>
      </c>
      <c r="C6" s="1">
        <f>DATE(1960,1,1)</f>
        <v>21916</v>
      </c>
      <c r="D6" s="1">
        <f>DATE(1960,1,1)</f>
        <v>21916</v>
      </c>
      <c r="E6" s="3">
        <v>1939928.22</v>
      </c>
      <c r="F6" t="s">
        <v>21</v>
      </c>
      <c r="G6" s="2">
        <v>57</v>
      </c>
      <c r="H6" s="2">
        <v>0</v>
      </c>
      <c r="I6" s="1">
        <f>DATE(2016,12,31)</f>
        <v>42735</v>
      </c>
      <c r="J6" s="3">
        <v>0</v>
      </c>
      <c r="K6" s="3">
        <v>0</v>
      </c>
      <c r="L6" s="3">
        <v>1939928.22</v>
      </c>
      <c r="M6" s="3">
        <v>0</v>
      </c>
      <c r="N6" t="s">
        <v>42</v>
      </c>
      <c r="O6" t="s">
        <v>18</v>
      </c>
      <c r="P6" t="s">
        <v>19</v>
      </c>
      <c r="Q6" t="s">
        <v>25</v>
      </c>
    </row>
    <row r="7" spans="1:17" ht="17.45" customHeight="1" x14ac:dyDescent="0.2">
      <c r="A7" t="s">
        <v>43</v>
      </c>
      <c r="B7" t="s">
        <v>44</v>
      </c>
      <c r="C7" s="1">
        <f>DATE(1969,1,1)</f>
        <v>25204</v>
      </c>
      <c r="D7" s="1">
        <f>DATE(1969,1,1)</f>
        <v>25204</v>
      </c>
      <c r="E7" s="3">
        <v>6850.15</v>
      </c>
      <c r="F7" t="s">
        <v>20</v>
      </c>
      <c r="G7" s="2">
        <v>40</v>
      </c>
      <c r="H7" s="2">
        <v>0</v>
      </c>
      <c r="I7" s="1">
        <f>DATE(2014,6,30)</f>
        <v>41820</v>
      </c>
      <c r="J7" s="3">
        <v>0</v>
      </c>
      <c r="K7" s="3">
        <v>0</v>
      </c>
      <c r="L7" s="3">
        <v>6850.15</v>
      </c>
      <c r="M7" s="3">
        <v>0</v>
      </c>
      <c r="N7" t="s">
        <v>42</v>
      </c>
      <c r="O7" t="s">
        <v>18</v>
      </c>
      <c r="P7" t="s">
        <v>19</v>
      </c>
      <c r="Q7" t="s">
        <v>25</v>
      </c>
    </row>
    <row r="8" spans="1:17" ht="17.45" customHeight="1" x14ac:dyDescent="0.2">
      <c r="A8" t="s">
        <v>45</v>
      </c>
      <c r="B8" t="s">
        <v>46</v>
      </c>
      <c r="C8" s="1">
        <f>DATE(1970,1,1)</f>
        <v>25569</v>
      </c>
      <c r="D8" s="1">
        <f>DATE(1970,1,1)</f>
        <v>25569</v>
      </c>
      <c r="E8" s="3">
        <v>1357827.48</v>
      </c>
      <c r="F8" t="s">
        <v>21</v>
      </c>
      <c r="G8" s="2">
        <v>57</v>
      </c>
      <c r="H8" s="2">
        <v>0</v>
      </c>
      <c r="I8" s="1">
        <f>DATE(2022,12,31)</f>
        <v>44926</v>
      </c>
      <c r="J8" s="3">
        <v>2306.98</v>
      </c>
      <c r="K8" s="3">
        <v>27683.32</v>
      </c>
      <c r="L8" s="3">
        <v>1247018.3400000001</v>
      </c>
      <c r="M8" s="3">
        <v>110809.14</v>
      </c>
      <c r="N8" t="s">
        <v>24</v>
      </c>
      <c r="O8" t="s">
        <v>18</v>
      </c>
      <c r="P8" t="s">
        <v>19</v>
      </c>
      <c r="Q8" t="s">
        <v>25</v>
      </c>
    </row>
    <row r="9" spans="1:17" ht="17.45" customHeight="1" x14ac:dyDescent="0.2">
      <c r="A9" t="s">
        <v>47</v>
      </c>
      <c r="B9" t="s">
        <v>48</v>
      </c>
      <c r="C9" s="1">
        <f>DATE(1975,1,1)</f>
        <v>27395</v>
      </c>
      <c r="D9" s="1">
        <f>DATE(1975,1,1)</f>
        <v>27395</v>
      </c>
      <c r="E9" s="3">
        <v>1562405.88</v>
      </c>
      <c r="F9" t="s">
        <v>20</v>
      </c>
      <c r="G9" s="2">
        <v>50</v>
      </c>
      <c r="H9" s="2">
        <v>0</v>
      </c>
      <c r="I9" s="1">
        <f>DATE(2022,12,31)</f>
        <v>44926</v>
      </c>
      <c r="J9" s="3">
        <v>2604.0100000000002</v>
      </c>
      <c r="K9" s="3">
        <v>31248.12</v>
      </c>
      <c r="L9" s="3">
        <v>1484284.88</v>
      </c>
      <c r="M9" s="3">
        <v>78121</v>
      </c>
      <c r="N9" t="s">
        <v>24</v>
      </c>
      <c r="O9" t="s">
        <v>18</v>
      </c>
      <c r="P9" t="s">
        <v>19</v>
      </c>
      <c r="Q9" t="s">
        <v>25</v>
      </c>
    </row>
    <row r="10" spans="1:17" ht="17.45" customHeight="1" x14ac:dyDescent="0.2">
      <c r="A10" t="s">
        <v>49</v>
      </c>
      <c r="B10" t="s">
        <v>50</v>
      </c>
      <c r="C10" s="1">
        <f>DATE(1980,1,1)</f>
        <v>29221</v>
      </c>
      <c r="D10" s="1">
        <f>DATE(1980,1,1)</f>
        <v>29221</v>
      </c>
      <c r="E10" s="3">
        <v>391839.53</v>
      </c>
      <c r="F10" t="s">
        <v>21</v>
      </c>
      <c r="G10" s="2">
        <v>45</v>
      </c>
      <c r="H10" s="2">
        <v>0</v>
      </c>
      <c r="I10" s="1">
        <f>DATE(2022,12,31)</f>
        <v>44926</v>
      </c>
      <c r="J10" s="3">
        <v>864.49</v>
      </c>
      <c r="K10" s="3">
        <v>10373.44</v>
      </c>
      <c r="L10" s="3">
        <v>371064.24</v>
      </c>
      <c r="M10" s="3">
        <v>20775.29</v>
      </c>
      <c r="N10" t="s">
        <v>24</v>
      </c>
      <c r="O10" t="s">
        <v>18</v>
      </c>
      <c r="P10" t="s">
        <v>19</v>
      </c>
      <c r="Q10" t="s">
        <v>25</v>
      </c>
    </row>
    <row r="11" spans="1:17" ht="17.45" customHeight="1" x14ac:dyDescent="0.2">
      <c r="A11" t="s">
        <v>51</v>
      </c>
      <c r="B11" t="s">
        <v>50</v>
      </c>
      <c r="C11" s="1">
        <f>DATE(1981,1,1)</f>
        <v>29587</v>
      </c>
      <c r="D11" s="1">
        <f>DATE(1981,1,1)</f>
        <v>29587</v>
      </c>
      <c r="E11" s="3">
        <v>109474.36</v>
      </c>
      <c r="F11" t="s">
        <v>20</v>
      </c>
      <c r="G11" s="2">
        <v>35</v>
      </c>
      <c r="H11" s="2">
        <v>0</v>
      </c>
      <c r="I11" s="1">
        <f>DATE(2015,12,31)</f>
        <v>42369</v>
      </c>
      <c r="J11" s="3">
        <v>0</v>
      </c>
      <c r="K11" s="3">
        <v>0</v>
      </c>
      <c r="L11" s="3">
        <v>109474.36</v>
      </c>
      <c r="M11" s="3">
        <v>0</v>
      </c>
      <c r="N11" t="s">
        <v>24</v>
      </c>
      <c r="O11" t="s">
        <v>18</v>
      </c>
      <c r="P11" t="s">
        <v>19</v>
      </c>
      <c r="Q11" t="s">
        <v>25</v>
      </c>
    </row>
    <row r="12" spans="1:17" ht="17.45" customHeight="1" x14ac:dyDescent="0.2">
      <c r="A12" t="s">
        <v>52</v>
      </c>
      <c r="B12" t="s">
        <v>50</v>
      </c>
      <c r="C12" s="1">
        <f>DATE(1982,1,1)</f>
        <v>29952</v>
      </c>
      <c r="D12" s="1">
        <f>DATE(1982,1,1)</f>
        <v>29952</v>
      </c>
      <c r="E12" s="3">
        <v>253731.17</v>
      </c>
      <c r="F12" t="s">
        <v>20</v>
      </c>
      <c r="G12" s="2">
        <v>35</v>
      </c>
      <c r="H12" s="2">
        <v>0</v>
      </c>
      <c r="I12" s="1">
        <f>DATE(2016,12,31)</f>
        <v>42735</v>
      </c>
      <c r="J12" s="3">
        <v>0</v>
      </c>
      <c r="K12" s="3">
        <v>0</v>
      </c>
      <c r="L12" s="3">
        <v>253731.17</v>
      </c>
      <c r="M12" s="3">
        <v>0</v>
      </c>
      <c r="N12" t="s">
        <v>24</v>
      </c>
      <c r="O12" t="s">
        <v>18</v>
      </c>
      <c r="P12" t="s">
        <v>19</v>
      </c>
      <c r="Q12" t="s">
        <v>25</v>
      </c>
    </row>
    <row r="13" spans="1:17" ht="17.45" customHeight="1" x14ac:dyDescent="0.2">
      <c r="A13" t="s">
        <v>53</v>
      </c>
      <c r="B13" t="s">
        <v>50</v>
      </c>
      <c r="C13" s="1">
        <f>DATE(1983,1,1)</f>
        <v>30317</v>
      </c>
      <c r="D13" s="1">
        <f>DATE(1983,1,1)</f>
        <v>30317</v>
      </c>
      <c r="E13" s="3">
        <v>273419.21000000002</v>
      </c>
      <c r="F13" t="s">
        <v>20</v>
      </c>
      <c r="G13" s="2">
        <v>35</v>
      </c>
      <c r="H13" s="2">
        <v>0</v>
      </c>
      <c r="I13" s="1">
        <f>DATE(2017,12,31)</f>
        <v>43100</v>
      </c>
      <c r="J13" s="3">
        <v>0</v>
      </c>
      <c r="K13" s="3">
        <v>0</v>
      </c>
      <c r="L13" s="3">
        <v>273419.21000000002</v>
      </c>
      <c r="M13" s="3">
        <v>0</v>
      </c>
      <c r="N13" t="s">
        <v>24</v>
      </c>
      <c r="O13" t="s">
        <v>18</v>
      </c>
      <c r="P13" t="s">
        <v>19</v>
      </c>
      <c r="Q13" t="s">
        <v>25</v>
      </c>
    </row>
    <row r="14" spans="1:17" ht="17.45" customHeight="1" x14ac:dyDescent="0.2">
      <c r="A14" t="s">
        <v>54</v>
      </c>
      <c r="B14" t="s">
        <v>50</v>
      </c>
      <c r="C14" s="1">
        <f>DATE(1985,1,1)</f>
        <v>31048</v>
      </c>
      <c r="D14" s="1">
        <f>DATE(1985,1,1)</f>
        <v>31048</v>
      </c>
      <c r="E14" s="3">
        <v>249465.24</v>
      </c>
      <c r="F14" t="s">
        <v>21</v>
      </c>
      <c r="G14" s="2">
        <v>42</v>
      </c>
      <c r="H14" s="2">
        <v>0</v>
      </c>
      <c r="I14" s="1">
        <f t="shared" ref="I14:I33" si="1">DATE(2022,12,31)</f>
        <v>44926</v>
      </c>
      <c r="J14" s="3">
        <v>639.73</v>
      </c>
      <c r="K14" s="3">
        <v>7677.2</v>
      </c>
      <c r="L14" s="3">
        <v>218735.39</v>
      </c>
      <c r="M14" s="3">
        <v>30729.85</v>
      </c>
      <c r="N14" t="s">
        <v>24</v>
      </c>
      <c r="O14" t="s">
        <v>18</v>
      </c>
      <c r="P14" t="s">
        <v>19</v>
      </c>
      <c r="Q14" t="s">
        <v>25</v>
      </c>
    </row>
    <row r="15" spans="1:17" ht="17.45" customHeight="1" x14ac:dyDescent="0.2">
      <c r="A15" t="s">
        <v>55</v>
      </c>
      <c r="B15" t="s">
        <v>50</v>
      </c>
      <c r="C15" s="1">
        <f>DATE(1986,3,1)</f>
        <v>31472</v>
      </c>
      <c r="D15" s="1">
        <f>DATE(1986,3,1)</f>
        <v>31472</v>
      </c>
      <c r="E15" s="3">
        <v>170411.15</v>
      </c>
      <c r="F15" t="s">
        <v>21</v>
      </c>
      <c r="G15" s="2">
        <v>42</v>
      </c>
      <c r="H15" s="2">
        <v>0</v>
      </c>
      <c r="I15" s="1">
        <f t="shared" si="1"/>
        <v>44926</v>
      </c>
      <c r="J15" s="3">
        <v>426.83</v>
      </c>
      <c r="K15" s="3">
        <v>5121.96</v>
      </c>
      <c r="L15" s="3">
        <v>143959.39000000001</v>
      </c>
      <c r="M15" s="3">
        <v>26451.759999999998</v>
      </c>
      <c r="N15" t="s">
        <v>24</v>
      </c>
      <c r="O15" t="s">
        <v>18</v>
      </c>
      <c r="P15" t="s">
        <v>19</v>
      </c>
      <c r="Q15" t="s">
        <v>25</v>
      </c>
    </row>
    <row r="16" spans="1:17" ht="17.45" customHeight="1" x14ac:dyDescent="0.2">
      <c r="A16" t="s">
        <v>56</v>
      </c>
      <c r="B16" t="s">
        <v>50</v>
      </c>
      <c r="C16" s="1">
        <f>DATE(1987,1,1)</f>
        <v>31778</v>
      </c>
      <c r="D16" s="1">
        <f>DATE(1987,1,1)</f>
        <v>31778</v>
      </c>
      <c r="E16" s="3">
        <v>47983.49</v>
      </c>
      <c r="F16" t="s">
        <v>21</v>
      </c>
      <c r="G16" s="2">
        <v>42</v>
      </c>
      <c r="H16" s="2">
        <v>0</v>
      </c>
      <c r="I16" s="1">
        <f t="shared" si="1"/>
        <v>44926</v>
      </c>
      <c r="J16" s="3">
        <v>115.49</v>
      </c>
      <c r="K16" s="3">
        <v>1386.32</v>
      </c>
      <c r="L16" s="3">
        <v>39658</v>
      </c>
      <c r="M16" s="3">
        <v>8325.49</v>
      </c>
      <c r="N16" t="s">
        <v>24</v>
      </c>
      <c r="O16" t="s">
        <v>18</v>
      </c>
      <c r="P16" t="s">
        <v>19</v>
      </c>
      <c r="Q16" t="s">
        <v>25</v>
      </c>
    </row>
    <row r="17" spans="1:17" ht="17.45" customHeight="1" x14ac:dyDescent="0.2">
      <c r="A17" t="s">
        <v>57</v>
      </c>
      <c r="B17" t="s">
        <v>58</v>
      </c>
      <c r="C17" s="1">
        <f>DATE(1988,3,1)</f>
        <v>32203</v>
      </c>
      <c r="D17" s="1">
        <f>DATE(1988,1,1)</f>
        <v>32143</v>
      </c>
      <c r="E17" s="3">
        <v>9481869.2200000007</v>
      </c>
      <c r="F17" t="s">
        <v>20</v>
      </c>
      <c r="G17" s="2">
        <v>50</v>
      </c>
      <c r="H17" s="2">
        <v>0</v>
      </c>
      <c r="I17" s="1">
        <f t="shared" si="1"/>
        <v>44926</v>
      </c>
      <c r="J17" s="3">
        <v>15803.06</v>
      </c>
      <c r="K17" s="3">
        <v>189637.38</v>
      </c>
      <c r="L17" s="3">
        <v>6538028.6699999999</v>
      </c>
      <c r="M17" s="3">
        <v>2943840.55</v>
      </c>
      <c r="N17" t="s">
        <v>24</v>
      </c>
      <c r="O17" t="s">
        <v>18</v>
      </c>
      <c r="P17" t="s">
        <v>19</v>
      </c>
      <c r="Q17" t="s">
        <v>25</v>
      </c>
    </row>
    <row r="18" spans="1:17" ht="17.45" customHeight="1" x14ac:dyDescent="0.2">
      <c r="A18" t="s">
        <v>59</v>
      </c>
      <c r="B18" t="s">
        <v>50</v>
      </c>
      <c r="C18" s="1">
        <f>DATE(1989,1,1)</f>
        <v>32509</v>
      </c>
      <c r="D18" s="1">
        <f>DATE(1989,1,1)</f>
        <v>32509</v>
      </c>
      <c r="E18" s="3">
        <v>114007.19</v>
      </c>
      <c r="F18" t="s">
        <v>20</v>
      </c>
      <c r="G18" s="2">
        <v>35</v>
      </c>
      <c r="H18" s="2">
        <v>0</v>
      </c>
      <c r="I18" s="1">
        <f t="shared" si="1"/>
        <v>44926</v>
      </c>
      <c r="J18" s="3">
        <v>271.39999999999998</v>
      </c>
      <c r="K18" s="3">
        <v>3257.35</v>
      </c>
      <c r="L18" s="3">
        <v>89573.37</v>
      </c>
      <c r="M18" s="3">
        <v>24433.82</v>
      </c>
      <c r="N18" t="s">
        <v>24</v>
      </c>
      <c r="O18" t="s">
        <v>18</v>
      </c>
      <c r="P18" t="s">
        <v>19</v>
      </c>
      <c r="Q18" t="s">
        <v>25</v>
      </c>
    </row>
    <row r="19" spans="1:17" ht="17.45" customHeight="1" x14ac:dyDescent="0.2">
      <c r="A19" t="s">
        <v>60</v>
      </c>
      <c r="B19" t="s">
        <v>61</v>
      </c>
      <c r="C19" s="1">
        <f t="shared" ref="C19:D21" si="2">DATE(1990,1,1)</f>
        <v>32874</v>
      </c>
      <c r="D19" s="1">
        <f t="shared" si="2"/>
        <v>32874</v>
      </c>
      <c r="E19" s="3">
        <v>79400</v>
      </c>
      <c r="F19" t="s">
        <v>20</v>
      </c>
      <c r="G19" s="2">
        <v>50</v>
      </c>
      <c r="H19" s="2">
        <v>0</v>
      </c>
      <c r="I19" s="1">
        <f t="shared" si="1"/>
        <v>44926</v>
      </c>
      <c r="J19" s="3">
        <v>132.37</v>
      </c>
      <c r="K19" s="3">
        <v>1588</v>
      </c>
      <c r="L19" s="3">
        <v>51611</v>
      </c>
      <c r="M19" s="3">
        <v>27789</v>
      </c>
      <c r="N19" t="s">
        <v>62</v>
      </c>
      <c r="O19" t="s">
        <v>18</v>
      </c>
      <c r="P19" t="s">
        <v>19</v>
      </c>
      <c r="Q19" t="s">
        <v>25</v>
      </c>
    </row>
    <row r="20" spans="1:17" ht="17.45" customHeight="1" x14ac:dyDescent="0.2">
      <c r="A20" t="s">
        <v>63</v>
      </c>
      <c r="B20" t="s">
        <v>64</v>
      </c>
      <c r="C20" s="1">
        <f t="shared" si="2"/>
        <v>32874</v>
      </c>
      <c r="D20" s="1">
        <f t="shared" si="2"/>
        <v>32874</v>
      </c>
      <c r="E20" s="3">
        <v>31576.57</v>
      </c>
      <c r="F20" t="s">
        <v>20</v>
      </c>
      <c r="G20" s="2">
        <v>35</v>
      </c>
      <c r="H20" s="2">
        <v>0</v>
      </c>
      <c r="I20" s="1">
        <f t="shared" si="1"/>
        <v>44926</v>
      </c>
      <c r="J20" s="3">
        <v>75.209999999999994</v>
      </c>
      <c r="K20" s="3">
        <v>902.19</v>
      </c>
      <c r="L20" s="3">
        <v>24491.23</v>
      </c>
      <c r="M20" s="3">
        <v>7085.34</v>
      </c>
      <c r="N20" t="s">
        <v>24</v>
      </c>
      <c r="O20" t="s">
        <v>18</v>
      </c>
      <c r="P20" t="s">
        <v>19</v>
      </c>
      <c r="Q20" t="s">
        <v>25</v>
      </c>
    </row>
    <row r="21" spans="1:17" ht="17.45" customHeight="1" x14ac:dyDescent="0.2">
      <c r="A21" t="s">
        <v>65</v>
      </c>
      <c r="B21" t="s">
        <v>50</v>
      </c>
      <c r="C21" s="1">
        <f t="shared" si="2"/>
        <v>32874</v>
      </c>
      <c r="D21" s="1">
        <f t="shared" si="2"/>
        <v>32874</v>
      </c>
      <c r="E21" s="3">
        <v>9892.49</v>
      </c>
      <c r="F21" t="s">
        <v>20</v>
      </c>
      <c r="G21" s="2">
        <v>35</v>
      </c>
      <c r="H21" s="2">
        <v>0</v>
      </c>
      <c r="I21" s="1">
        <f t="shared" si="1"/>
        <v>44926</v>
      </c>
      <c r="J21" s="3">
        <v>23.59</v>
      </c>
      <c r="K21" s="3">
        <v>282.64</v>
      </c>
      <c r="L21" s="3">
        <v>7675.22</v>
      </c>
      <c r="M21" s="3">
        <v>2217.27</v>
      </c>
      <c r="N21" t="s">
        <v>24</v>
      </c>
      <c r="O21" t="s">
        <v>18</v>
      </c>
      <c r="P21" t="s">
        <v>19</v>
      </c>
      <c r="Q21" t="s">
        <v>25</v>
      </c>
    </row>
    <row r="22" spans="1:17" ht="17.45" customHeight="1" x14ac:dyDescent="0.2">
      <c r="A22" t="s">
        <v>66</v>
      </c>
      <c r="B22" t="s">
        <v>67</v>
      </c>
      <c r="C22" s="1">
        <f>DATE(1991,1,1)</f>
        <v>33239</v>
      </c>
      <c r="D22" s="1">
        <f>DATE(1991,1,1)</f>
        <v>33239</v>
      </c>
      <c r="E22" s="3">
        <v>380147.39</v>
      </c>
      <c r="F22" t="s">
        <v>20</v>
      </c>
      <c r="G22" s="2">
        <v>35</v>
      </c>
      <c r="H22" s="2">
        <v>0</v>
      </c>
      <c r="I22" s="1">
        <f t="shared" si="1"/>
        <v>44926</v>
      </c>
      <c r="J22" s="3">
        <v>905.14</v>
      </c>
      <c r="K22" s="3">
        <v>10861.35</v>
      </c>
      <c r="L22" s="3">
        <v>287279.65999999997</v>
      </c>
      <c r="M22" s="3">
        <v>92867.73</v>
      </c>
      <c r="N22" t="s">
        <v>24</v>
      </c>
      <c r="O22" t="s">
        <v>18</v>
      </c>
      <c r="P22" t="s">
        <v>19</v>
      </c>
      <c r="Q22" t="s">
        <v>25</v>
      </c>
    </row>
    <row r="23" spans="1:17" ht="17.45" customHeight="1" x14ac:dyDescent="0.2">
      <c r="A23" t="s">
        <v>68</v>
      </c>
      <c r="B23" t="s">
        <v>50</v>
      </c>
      <c r="C23" s="1">
        <f>DATE(1991,1,1)</f>
        <v>33239</v>
      </c>
      <c r="D23" s="1">
        <f>DATE(1991,1,1)</f>
        <v>33239</v>
      </c>
      <c r="E23" s="3">
        <v>16211.58</v>
      </c>
      <c r="F23" t="s">
        <v>20</v>
      </c>
      <c r="G23" s="2">
        <v>35</v>
      </c>
      <c r="H23" s="2">
        <v>0</v>
      </c>
      <c r="I23" s="1">
        <f t="shared" si="1"/>
        <v>44926</v>
      </c>
      <c r="J23" s="3">
        <v>38.590000000000003</v>
      </c>
      <c r="K23" s="3">
        <v>463.19</v>
      </c>
      <c r="L23" s="3">
        <v>12717.79</v>
      </c>
      <c r="M23" s="3">
        <v>3493.79</v>
      </c>
      <c r="N23" t="s">
        <v>24</v>
      </c>
      <c r="O23" t="s">
        <v>18</v>
      </c>
      <c r="P23" t="s">
        <v>19</v>
      </c>
      <c r="Q23" t="s">
        <v>25</v>
      </c>
    </row>
    <row r="24" spans="1:17" ht="17.45" customHeight="1" x14ac:dyDescent="0.2">
      <c r="A24" t="s">
        <v>69</v>
      </c>
      <c r="B24" t="s">
        <v>50</v>
      </c>
      <c r="C24" s="1">
        <f>DATE(1992,1,1)</f>
        <v>33604</v>
      </c>
      <c r="D24" s="1">
        <f>DATE(1992,1,1)</f>
        <v>33604</v>
      </c>
      <c r="E24" s="3">
        <v>722523.07</v>
      </c>
      <c r="F24" t="s">
        <v>20</v>
      </c>
      <c r="G24" s="2">
        <v>35</v>
      </c>
      <c r="H24" s="2">
        <v>0</v>
      </c>
      <c r="I24" s="1">
        <f t="shared" si="1"/>
        <v>44926</v>
      </c>
      <c r="J24" s="3">
        <v>1720.33</v>
      </c>
      <c r="K24" s="3">
        <v>20643.52</v>
      </c>
      <c r="L24" s="3">
        <v>588772.27</v>
      </c>
      <c r="M24" s="3">
        <v>133750.79999999999</v>
      </c>
      <c r="N24" t="s">
        <v>24</v>
      </c>
      <c r="O24" t="s">
        <v>18</v>
      </c>
      <c r="P24" t="s">
        <v>19</v>
      </c>
      <c r="Q24" t="s">
        <v>25</v>
      </c>
    </row>
    <row r="25" spans="1:17" ht="17.45" customHeight="1" x14ac:dyDescent="0.2">
      <c r="A25" t="s">
        <v>70</v>
      </c>
      <c r="B25" t="s">
        <v>67</v>
      </c>
      <c r="C25" s="1">
        <f>DATE(1993,1,1)</f>
        <v>33970</v>
      </c>
      <c r="D25" s="1">
        <f>DATE(1993,1,1)</f>
        <v>33970</v>
      </c>
      <c r="E25" s="3">
        <v>379833.87</v>
      </c>
      <c r="F25" t="s">
        <v>20</v>
      </c>
      <c r="G25" s="2">
        <v>35</v>
      </c>
      <c r="H25" s="2">
        <v>0</v>
      </c>
      <c r="I25" s="1">
        <f t="shared" si="1"/>
        <v>44926</v>
      </c>
      <c r="J25" s="3">
        <v>904.33</v>
      </c>
      <c r="K25" s="3">
        <v>10852.4</v>
      </c>
      <c r="L25" s="3">
        <v>300026.05</v>
      </c>
      <c r="M25" s="3">
        <v>79807.820000000007</v>
      </c>
      <c r="N25" t="s">
        <v>24</v>
      </c>
      <c r="O25" t="s">
        <v>18</v>
      </c>
      <c r="P25" t="s">
        <v>19</v>
      </c>
      <c r="Q25" t="s">
        <v>25</v>
      </c>
    </row>
    <row r="26" spans="1:17" ht="17.45" customHeight="1" x14ac:dyDescent="0.2">
      <c r="A26" t="s">
        <v>71</v>
      </c>
      <c r="B26" t="s">
        <v>67</v>
      </c>
      <c r="C26" s="1">
        <f>DATE(1994,1,1)</f>
        <v>34335</v>
      </c>
      <c r="D26" s="1">
        <f>DATE(1994,1,1)</f>
        <v>34335</v>
      </c>
      <c r="E26" s="3">
        <v>155732.73000000001</v>
      </c>
      <c r="F26" t="s">
        <v>20</v>
      </c>
      <c r="G26" s="2">
        <v>35</v>
      </c>
      <c r="H26" s="2">
        <v>0</v>
      </c>
      <c r="I26" s="1">
        <f t="shared" si="1"/>
        <v>44926</v>
      </c>
      <c r="J26" s="3">
        <v>370.82</v>
      </c>
      <c r="K26" s="3">
        <v>4449.51</v>
      </c>
      <c r="L26" s="3">
        <v>106786.91</v>
      </c>
      <c r="M26" s="3">
        <v>48945.82</v>
      </c>
      <c r="N26" t="s">
        <v>24</v>
      </c>
      <c r="O26" t="s">
        <v>18</v>
      </c>
      <c r="P26" t="s">
        <v>19</v>
      </c>
      <c r="Q26" t="s">
        <v>25</v>
      </c>
    </row>
    <row r="27" spans="1:17" ht="17.45" customHeight="1" x14ac:dyDescent="0.2">
      <c r="A27" t="s">
        <v>72</v>
      </c>
      <c r="B27" t="s">
        <v>73</v>
      </c>
      <c r="C27" s="1">
        <f>DATE(1995,1,1)</f>
        <v>34700</v>
      </c>
      <c r="D27" s="1">
        <f>DATE(1995,1,1)</f>
        <v>34700</v>
      </c>
      <c r="E27" s="3">
        <v>20543</v>
      </c>
      <c r="F27" t="s">
        <v>20</v>
      </c>
      <c r="G27" s="2">
        <v>35</v>
      </c>
      <c r="H27" s="2">
        <v>0</v>
      </c>
      <c r="I27" s="1">
        <f t="shared" si="1"/>
        <v>44926</v>
      </c>
      <c r="J27" s="3">
        <v>48.93</v>
      </c>
      <c r="K27" s="3">
        <v>586.94000000000005</v>
      </c>
      <c r="L27" s="3">
        <v>19154.84</v>
      </c>
      <c r="M27" s="3">
        <v>1388.16</v>
      </c>
      <c r="N27" t="s">
        <v>24</v>
      </c>
      <c r="O27" t="s">
        <v>18</v>
      </c>
      <c r="P27" t="s">
        <v>19</v>
      </c>
      <c r="Q27" t="s">
        <v>25</v>
      </c>
    </row>
    <row r="28" spans="1:17" ht="17.45" customHeight="1" x14ac:dyDescent="0.2">
      <c r="A28" t="s">
        <v>74</v>
      </c>
      <c r="B28" t="s">
        <v>48</v>
      </c>
      <c r="C28" s="1">
        <f>DATE(1998,1,1)</f>
        <v>35796</v>
      </c>
      <c r="D28" s="1">
        <f>DATE(1998,1,1)</f>
        <v>35796</v>
      </c>
      <c r="E28" s="3">
        <v>294439.5</v>
      </c>
      <c r="F28" t="s">
        <v>20</v>
      </c>
      <c r="G28" s="2">
        <v>35</v>
      </c>
      <c r="H28" s="2">
        <v>0</v>
      </c>
      <c r="I28" s="1">
        <f t="shared" si="1"/>
        <v>44926</v>
      </c>
      <c r="J28" s="3">
        <v>701.01</v>
      </c>
      <c r="K28" s="3">
        <v>8412.56</v>
      </c>
      <c r="L28" s="3">
        <v>181290.61</v>
      </c>
      <c r="M28" s="3">
        <v>113148.89</v>
      </c>
      <c r="N28" t="s">
        <v>24</v>
      </c>
      <c r="O28" t="s">
        <v>18</v>
      </c>
      <c r="P28" t="s">
        <v>19</v>
      </c>
      <c r="Q28" t="s">
        <v>25</v>
      </c>
    </row>
    <row r="29" spans="1:17" ht="17.45" customHeight="1" x14ac:dyDescent="0.2">
      <c r="A29" t="s">
        <v>75</v>
      </c>
      <c r="B29" t="s">
        <v>76</v>
      </c>
      <c r="C29" s="1">
        <f t="shared" ref="C29:D33" si="3">DATE(1999,1,1)</f>
        <v>36161</v>
      </c>
      <c r="D29" s="1">
        <f t="shared" si="3"/>
        <v>36161</v>
      </c>
      <c r="E29" s="3">
        <v>12564</v>
      </c>
      <c r="F29" t="s">
        <v>20</v>
      </c>
      <c r="G29" s="2">
        <v>35</v>
      </c>
      <c r="H29" s="2">
        <v>0</v>
      </c>
      <c r="I29" s="1">
        <f t="shared" si="1"/>
        <v>44926</v>
      </c>
      <c r="J29" s="3">
        <v>29.96</v>
      </c>
      <c r="K29" s="3">
        <v>358.97</v>
      </c>
      <c r="L29" s="3">
        <v>7484.53</v>
      </c>
      <c r="M29" s="3">
        <v>5079.47</v>
      </c>
      <c r="N29" t="s">
        <v>24</v>
      </c>
      <c r="O29" t="s">
        <v>18</v>
      </c>
      <c r="P29" t="s">
        <v>19</v>
      </c>
      <c r="Q29" t="s">
        <v>25</v>
      </c>
    </row>
    <row r="30" spans="1:17" ht="17.45" customHeight="1" x14ac:dyDescent="0.2">
      <c r="A30" t="s">
        <v>77</v>
      </c>
      <c r="B30" t="s">
        <v>78</v>
      </c>
      <c r="C30" s="1">
        <f t="shared" si="3"/>
        <v>36161</v>
      </c>
      <c r="D30" s="1">
        <f t="shared" si="3"/>
        <v>36161</v>
      </c>
      <c r="E30" s="3">
        <v>4807404.99</v>
      </c>
      <c r="F30" t="s">
        <v>20</v>
      </c>
      <c r="G30" s="2">
        <v>50</v>
      </c>
      <c r="H30" s="2">
        <v>0</v>
      </c>
      <c r="I30" s="1">
        <f t="shared" si="1"/>
        <v>44926</v>
      </c>
      <c r="J30" s="3">
        <v>8012.36</v>
      </c>
      <c r="K30" s="3">
        <v>96148.1</v>
      </c>
      <c r="L30" s="3">
        <v>2259480.35</v>
      </c>
      <c r="M30" s="3">
        <v>2547924.64</v>
      </c>
      <c r="N30" t="s">
        <v>42</v>
      </c>
      <c r="O30" t="s">
        <v>18</v>
      </c>
      <c r="P30" t="s">
        <v>19</v>
      </c>
      <c r="Q30" t="s">
        <v>25</v>
      </c>
    </row>
    <row r="31" spans="1:17" ht="17.45" customHeight="1" x14ac:dyDescent="0.2">
      <c r="A31" t="s">
        <v>79</v>
      </c>
      <c r="B31" t="s">
        <v>80</v>
      </c>
      <c r="C31" s="1">
        <f t="shared" si="3"/>
        <v>36161</v>
      </c>
      <c r="D31" s="1">
        <f t="shared" si="3"/>
        <v>36161</v>
      </c>
      <c r="E31" s="3">
        <v>204709.35</v>
      </c>
      <c r="F31" t="s">
        <v>20</v>
      </c>
      <c r="G31" s="2">
        <v>35</v>
      </c>
      <c r="H31" s="2">
        <v>0</v>
      </c>
      <c r="I31" s="1">
        <f t="shared" si="1"/>
        <v>44926</v>
      </c>
      <c r="J31" s="3">
        <v>487.44</v>
      </c>
      <c r="K31" s="3">
        <v>5848.84</v>
      </c>
      <c r="L31" s="3">
        <v>121948.26</v>
      </c>
      <c r="M31" s="3">
        <v>82761.09</v>
      </c>
      <c r="N31" t="s">
        <v>24</v>
      </c>
      <c r="O31" t="s">
        <v>18</v>
      </c>
      <c r="P31" t="s">
        <v>19</v>
      </c>
      <c r="Q31" t="s">
        <v>25</v>
      </c>
    </row>
    <row r="32" spans="1:17" ht="17.45" customHeight="1" x14ac:dyDescent="0.2">
      <c r="A32" t="s">
        <v>81</v>
      </c>
      <c r="B32" t="s">
        <v>82</v>
      </c>
      <c r="C32" s="1">
        <f t="shared" si="3"/>
        <v>36161</v>
      </c>
      <c r="D32" s="1">
        <f t="shared" si="3"/>
        <v>36161</v>
      </c>
      <c r="E32" s="3">
        <v>84582.61</v>
      </c>
      <c r="F32" t="s">
        <v>20</v>
      </c>
      <c r="G32" s="2">
        <v>35</v>
      </c>
      <c r="H32" s="2">
        <v>0</v>
      </c>
      <c r="I32" s="1">
        <f t="shared" si="1"/>
        <v>44926</v>
      </c>
      <c r="J32" s="3">
        <v>201.36</v>
      </c>
      <c r="K32" s="3">
        <v>2416.65</v>
      </c>
      <c r="L32" s="3">
        <v>50387.14</v>
      </c>
      <c r="M32" s="3">
        <v>34195.47</v>
      </c>
      <c r="N32" t="s">
        <v>24</v>
      </c>
      <c r="O32" t="s">
        <v>18</v>
      </c>
      <c r="P32" t="s">
        <v>19</v>
      </c>
      <c r="Q32" t="s">
        <v>25</v>
      </c>
    </row>
    <row r="33" spans="1:17" ht="17.45" customHeight="1" x14ac:dyDescent="0.2">
      <c r="A33" t="s">
        <v>83</v>
      </c>
      <c r="B33" t="s">
        <v>84</v>
      </c>
      <c r="C33" s="1">
        <f t="shared" si="3"/>
        <v>36161</v>
      </c>
      <c r="D33" s="1">
        <f t="shared" si="3"/>
        <v>36161</v>
      </c>
      <c r="E33" s="3">
        <v>81896</v>
      </c>
      <c r="F33" t="s">
        <v>20</v>
      </c>
      <c r="G33" s="2">
        <v>35</v>
      </c>
      <c r="H33" s="2">
        <v>0</v>
      </c>
      <c r="I33" s="1">
        <f t="shared" si="1"/>
        <v>44926</v>
      </c>
      <c r="J33" s="3">
        <v>195</v>
      </c>
      <c r="K33" s="3">
        <v>2339.89</v>
      </c>
      <c r="L33" s="3">
        <v>48786.67</v>
      </c>
      <c r="M33" s="3">
        <v>33109.33</v>
      </c>
      <c r="N33" t="s">
        <v>24</v>
      </c>
      <c r="O33" t="s">
        <v>18</v>
      </c>
      <c r="P33" t="s">
        <v>19</v>
      </c>
      <c r="Q33" t="s">
        <v>25</v>
      </c>
    </row>
    <row r="34" spans="1:17" ht="17.45" customHeight="1" x14ac:dyDescent="0.2">
      <c r="A34" t="s">
        <v>85</v>
      </c>
      <c r="B34" t="s">
        <v>86</v>
      </c>
      <c r="C34" s="1">
        <f>DATE(2000,1,1)</f>
        <v>36526</v>
      </c>
      <c r="D34" s="1">
        <f>DATE(2000,1,1)</f>
        <v>36526</v>
      </c>
      <c r="E34" s="3">
        <v>29857</v>
      </c>
      <c r="F34" t="s">
        <v>20</v>
      </c>
      <c r="G34" s="2">
        <v>35</v>
      </c>
      <c r="H34" s="2">
        <v>0</v>
      </c>
      <c r="I34" s="1">
        <f>DATE(2014,6,30)</f>
        <v>41820</v>
      </c>
      <c r="J34" s="3">
        <v>0</v>
      </c>
      <c r="K34" s="3">
        <v>0</v>
      </c>
      <c r="L34" s="3">
        <v>29857</v>
      </c>
      <c r="M34" s="3">
        <v>0</v>
      </c>
      <c r="N34" t="s">
        <v>42</v>
      </c>
      <c r="O34" t="s">
        <v>18</v>
      </c>
      <c r="P34" t="s">
        <v>19</v>
      </c>
      <c r="Q34" t="s">
        <v>25</v>
      </c>
    </row>
    <row r="35" spans="1:17" ht="17.45" customHeight="1" x14ac:dyDescent="0.2">
      <c r="A35" t="s">
        <v>87</v>
      </c>
      <c r="B35" t="s">
        <v>88</v>
      </c>
      <c r="C35" s="1">
        <f>DATE(2000,1,1)</f>
        <v>36526</v>
      </c>
      <c r="D35" s="1">
        <f>DATE(2000,1,1)</f>
        <v>36526</v>
      </c>
      <c r="E35" s="3">
        <v>965604.08</v>
      </c>
      <c r="F35" t="s">
        <v>20</v>
      </c>
      <c r="G35" s="2">
        <v>35</v>
      </c>
      <c r="H35" s="2">
        <v>0</v>
      </c>
      <c r="I35" s="1">
        <f t="shared" ref="I35:I41" si="4">DATE(2022,12,31)</f>
        <v>44926</v>
      </c>
      <c r="J35" s="3">
        <v>2299.0300000000002</v>
      </c>
      <c r="K35" s="3">
        <v>27588.69</v>
      </c>
      <c r="L35" s="3">
        <v>555912.12</v>
      </c>
      <c r="M35" s="3">
        <v>409691.96</v>
      </c>
      <c r="N35" t="s">
        <v>24</v>
      </c>
      <c r="O35" t="s">
        <v>18</v>
      </c>
      <c r="P35" t="s">
        <v>19</v>
      </c>
      <c r="Q35" t="s">
        <v>25</v>
      </c>
    </row>
    <row r="36" spans="1:17" ht="17.45" customHeight="1" x14ac:dyDescent="0.2">
      <c r="A36" t="s">
        <v>89</v>
      </c>
      <c r="B36" t="s">
        <v>90</v>
      </c>
      <c r="C36" s="1">
        <f>DATE(2001,1,1)</f>
        <v>36892</v>
      </c>
      <c r="D36" s="1">
        <f>DATE(2001,1,1)</f>
        <v>36892</v>
      </c>
      <c r="E36" s="3">
        <v>67762.59</v>
      </c>
      <c r="F36" t="s">
        <v>20</v>
      </c>
      <c r="G36" s="2">
        <v>35</v>
      </c>
      <c r="H36" s="2">
        <v>0</v>
      </c>
      <c r="I36" s="1">
        <f t="shared" si="4"/>
        <v>44926</v>
      </c>
      <c r="J36" s="3">
        <v>161.33000000000001</v>
      </c>
      <c r="K36" s="3">
        <v>1936.07</v>
      </c>
      <c r="L36" s="3">
        <v>37656.589999999997</v>
      </c>
      <c r="M36" s="3">
        <v>30106</v>
      </c>
      <c r="N36" t="s">
        <v>24</v>
      </c>
      <c r="O36" t="s">
        <v>18</v>
      </c>
      <c r="P36" t="s">
        <v>19</v>
      </c>
      <c r="Q36" t="s">
        <v>25</v>
      </c>
    </row>
    <row r="37" spans="1:17" ht="17.45" customHeight="1" x14ac:dyDescent="0.2">
      <c r="A37" t="s">
        <v>91</v>
      </c>
      <c r="B37" t="s">
        <v>92</v>
      </c>
      <c r="C37" s="1">
        <f>DATE(2002,1,1)</f>
        <v>37257</v>
      </c>
      <c r="D37" s="1">
        <f>DATE(2002,1,1)</f>
        <v>37257</v>
      </c>
      <c r="E37" s="3">
        <v>4746.6099999999997</v>
      </c>
      <c r="F37" t="s">
        <v>20</v>
      </c>
      <c r="G37" s="2">
        <v>35</v>
      </c>
      <c r="H37" s="2">
        <v>0</v>
      </c>
      <c r="I37" s="1">
        <f t="shared" si="4"/>
        <v>44926</v>
      </c>
      <c r="J37" s="3">
        <v>11.32</v>
      </c>
      <c r="K37" s="3">
        <v>135.62</v>
      </c>
      <c r="L37" s="3">
        <v>2542.86</v>
      </c>
      <c r="M37" s="3">
        <v>2203.75</v>
      </c>
      <c r="N37" t="s">
        <v>24</v>
      </c>
      <c r="O37" t="s">
        <v>18</v>
      </c>
      <c r="P37" t="s">
        <v>19</v>
      </c>
      <c r="Q37" t="s">
        <v>25</v>
      </c>
    </row>
    <row r="38" spans="1:17" ht="17.45" customHeight="1" x14ac:dyDescent="0.2">
      <c r="A38" t="s">
        <v>93</v>
      </c>
      <c r="B38" t="s">
        <v>94</v>
      </c>
      <c r="C38" s="1">
        <f>DATE(2002,1,1)</f>
        <v>37257</v>
      </c>
      <c r="D38" s="1">
        <f>DATE(2002,1,1)</f>
        <v>37257</v>
      </c>
      <c r="E38" s="3">
        <v>300045.84999999998</v>
      </c>
      <c r="F38" t="s">
        <v>20</v>
      </c>
      <c r="G38" s="2">
        <v>35</v>
      </c>
      <c r="H38" s="2">
        <v>0</v>
      </c>
      <c r="I38" s="1">
        <f t="shared" si="4"/>
        <v>44926</v>
      </c>
      <c r="J38" s="3">
        <v>714.45</v>
      </c>
      <c r="K38" s="3">
        <v>8572.74</v>
      </c>
      <c r="L38" s="3">
        <v>163547.34</v>
      </c>
      <c r="M38" s="3">
        <v>136498.51</v>
      </c>
      <c r="N38" t="s">
        <v>24</v>
      </c>
      <c r="O38" t="s">
        <v>18</v>
      </c>
      <c r="P38" t="s">
        <v>19</v>
      </c>
      <c r="Q38" t="s">
        <v>25</v>
      </c>
    </row>
    <row r="39" spans="1:17" ht="17.45" customHeight="1" x14ac:dyDescent="0.2">
      <c r="A39" t="s">
        <v>95</v>
      </c>
      <c r="B39" t="s">
        <v>96</v>
      </c>
      <c r="C39" s="1">
        <f>DATE(2004,1,1)</f>
        <v>37987</v>
      </c>
      <c r="D39" s="1">
        <f>DATE(2004,1,1)</f>
        <v>37987</v>
      </c>
      <c r="E39" s="3">
        <v>368489.86</v>
      </c>
      <c r="F39" t="s">
        <v>20</v>
      </c>
      <c r="G39" s="2">
        <v>35</v>
      </c>
      <c r="H39" s="2">
        <v>0</v>
      </c>
      <c r="I39" s="1">
        <f t="shared" si="4"/>
        <v>44926</v>
      </c>
      <c r="J39" s="3">
        <v>877.32</v>
      </c>
      <c r="K39" s="3">
        <v>10528.28</v>
      </c>
      <c r="L39" s="3">
        <v>225042</v>
      </c>
      <c r="M39" s="3">
        <v>143447.85999999999</v>
      </c>
      <c r="N39" t="s">
        <v>24</v>
      </c>
      <c r="O39" t="s">
        <v>18</v>
      </c>
      <c r="P39" t="s">
        <v>19</v>
      </c>
      <c r="Q39" t="s">
        <v>25</v>
      </c>
    </row>
    <row r="40" spans="1:17" ht="17.45" customHeight="1" x14ac:dyDescent="0.2">
      <c r="A40" t="s">
        <v>97</v>
      </c>
      <c r="B40" t="s">
        <v>98</v>
      </c>
      <c r="C40" s="1">
        <f t="shared" ref="C40:D42" si="5">DATE(2006,1,1)</f>
        <v>38718</v>
      </c>
      <c r="D40" s="1">
        <f t="shared" si="5"/>
        <v>38718</v>
      </c>
      <c r="E40" s="3">
        <v>46303</v>
      </c>
      <c r="F40" t="s">
        <v>20</v>
      </c>
      <c r="G40" s="2">
        <v>35</v>
      </c>
      <c r="H40" s="2">
        <v>0</v>
      </c>
      <c r="I40" s="1">
        <f t="shared" si="4"/>
        <v>44926</v>
      </c>
      <c r="J40" s="3">
        <v>110.19</v>
      </c>
      <c r="K40" s="3">
        <v>1322.94</v>
      </c>
      <c r="L40" s="3">
        <v>23647.56</v>
      </c>
      <c r="M40" s="3">
        <v>22655.439999999999</v>
      </c>
      <c r="N40" t="s">
        <v>24</v>
      </c>
      <c r="O40" t="s">
        <v>18</v>
      </c>
      <c r="P40" t="s">
        <v>19</v>
      </c>
      <c r="Q40" t="s">
        <v>25</v>
      </c>
    </row>
    <row r="41" spans="1:17" ht="17.45" customHeight="1" x14ac:dyDescent="0.2">
      <c r="A41" t="s">
        <v>99</v>
      </c>
      <c r="B41" t="s">
        <v>100</v>
      </c>
      <c r="C41" s="1">
        <f t="shared" si="5"/>
        <v>38718</v>
      </c>
      <c r="D41" s="1">
        <f t="shared" si="5"/>
        <v>38718</v>
      </c>
      <c r="E41" s="3">
        <v>50745</v>
      </c>
      <c r="F41" t="s">
        <v>20</v>
      </c>
      <c r="G41" s="2">
        <v>35</v>
      </c>
      <c r="H41" s="2">
        <v>0</v>
      </c>
      <c r="I41" s="1">
        <f t="shared" si="4"/>
        <v>44926</v>
      </c>
      <c r="J41" s="3">
        <v>120.84</v>
      </c>
      <c r="K41" s="3">
        <v>1449.86</v>
      </c>
      <c r="L41" s="3">
        <v>25916.240000000002</v>
      </c>
      <c r="M41" s="3">
        <v>24828.76</v>
      </c>
      <c r="N41" t="s">
        <v>24</v>
      </c>
      <c r="O41" t="s">
        <v>18</v>
      </c>
      <c r="P41" t="s">
        <v>19</v>
      </c>
      <c r="Q41" t="s">
        <v>25</v>
      </c>
    </row>
    <row r="42" spans="1:17" ht="17.45" customHeight="1" x14ac:dyDescent="0.2">
      <c r="A42" t="s">
        <v>101</v>
      </c>
      <c r="B42" t="s">
        <v>102</v>
      </c>
      <c r="C42" s="1">
        <f t="shared" si="5"/>
        <v>38718</v>
      </c>
      <c r="D42" s="1">
        <f t="shared" si="5"/>
        <v>38718</v>
      </c>
      <c r="E42" s="3">
        <v>246932.67</v>
      </c>
      <c r="F42" t="s">
        <v>20</v>
      </c>
      <c r="G42" s="2">
        <v>10</v>
      </c>
      <c r="H42" s="2">
        <v>0</v>
      </c>
      <c r="I42" s="1">
        <f>DATE(2015,12,31)</f>
        <v>42369</v>
      </c>
      <c r="J42" s="3">
        <v>0</v>
      </c>
      <c r="K42" s="3">
        <v>0</v>
      </c>
      <c r="L42" s="3">
        <v>246932.67</v>
      </c>
      <c r="M42" s="3">
        <v>0</v>
      </c>
      <c r="N42" t="s">
        <v>62</v>
      </c>
      <c r="O42" t="s">
        <v>18</v>
      </c>
      <c r="P42" t="s">
        <v>19</v>
      </c>
      <c r="Q42" t="s">
        <v>25</v>
      </c>
    </row>
    <row r="43" spans="1:17" ht="17.45" customHeight="1" x14ac:dyDescent="0.2">
      <c r="A43" t="s">
        <v>103</v>
      </c>
      <c r="B43" t="s">
        <v>104</v>
      </c>
      <c r="C43" s="1">
        <f>DATE(1999,1,1)</f>
        <v>36161</v>
      </c>
      <c r="D43" s="1">
        <f>DATE(1999,1,1)</f>
        <v>36161</v>
      </c>
      <c r="E43" s="3">
        <v>7795</v>
      </c>
      <c r="F43" t="s">
        <v>20</v>
      </c>
      <c r="G43" s="2">
        <v>20</v>
      </c>
      <c r="H43" s="2">
        <v>0</v>
      </c>
      <c r="I43" s="1">
        <f>DATE(2018,12,31)</f>
        <v>43465</v>
      </c>
      <c r="J43" s="3">
        <v>0</v>
      </c>
      <c r="K43" s="3">
        <v>0</v>
      </c>
      <c r="L43" s="3">
        <v>7795</v>
      </c>
      <c r="M43" s="3">
        <v>0</v>
      </c>
      <c r="N43" t="s">
        <v>105</v>
      </c>
      <c r="O43" t="s">
        <v>18</v>
      </c>
      <c r="P43" t="s">
        <v>19</v>
      </c>
      <c r="Q43" t="s">
        <v>25</v>
      </c>
    </row>
    <row r="44" spans="1:17" ht="17.45" customHeight="1" x14ac:dyDescent="0.2">
      <c r="A44" t="s">
        <v>106</v>
      </c>
      <c r="B44" t="s">
        <v>107</v>
      </c>
      <c r="C44" s="1">
        <f>DATE(2008,7,15)</f>
        <v>39644</v>
      </c>
      <c r="D44" s="1">
        <f>DATE(2008,7,15)</f>
        <v>39644</v>
      </c>
      <c r="E44" s="3">
        <v>11186.48</v>
      </c>
      <c r="F44" t="s">
        <v>20</v>
      </c>
      <c r="G44" s="2">
        <v>10</v>
      </c>
      <c r="H44" s="2">
        <v>0</v>
      </c>
      <c r="I44" s="1">
        <f>DATE(2018,6,30)</f>
        <v>43281</v>
      </c>
      <c r="J44" s="3">
        <v>0</v>
      </c>
      <c r="K44" s="3">
        <v>0</v>
      </c>
      <c r="L44" s="3">
        <v>11186.48</v>
      </c>
      <c r="M44" s="3">
        <v>0</v>
      </c>
      <c r="N44" t="s">
        <v>62</v>
      </c>
      <c r="O44" t="s">
        <v>18</v>
      </c>
      <c r="P44" t="s">
        <v>19</v>
      </c>
      <c r="Q44" t="s">
        <v>25</v>
      </c>
    </row>
    <row r="45" spans="1:17" ht="17.45" customHeight="1" x14ac:dyDescent="0.2">
      <c r="A45" t="s">
        <v>108</v>
      </c>
      <c r="B45" t="s">
        <v>109</v>
      </c>
      <c r="C45" s="1">
        <f t="shared" ref="C45:D47" si="6">DATE(2008,1,1)</f>
        <v>39448</v>
      </c>
      <c r="D45" s="1">
        <f t="shared" si="6"/>
        <v>39448</v>
      </c>
      <c r="E45" s="3">
        <v>89126.68</v>
      </c>
      <c r="F45" t="s">
        <v>20</v>
      </c>
      <c r="G45" s="2">
        <v>10</v>
      </c>
      <c r="H45" s="2">
        <v>0</v>
      </c>
      <c r="I45" s="1">
        <f>DATE(2017,12,31)</f>
        <v>43100</v>
      </c>
      <c r="J45" s="3">
        <v>0</v>
      </c>
      <c r="K45" s="3">
        <v>0</v>
      </c>
      <c r="L45" s="3">
        <v>89126.68</v>
      </c>
      <c r="M45" s="3">
        <v>0</v>
      </c>
      <c r="N45" t="s">
        <v>62</v>
      </c>
      <c r="O45" t="s">
        <v>18</v>
      </c>
      <c r="P45" t="s">
        <v>19</v>
      </c>
      <c r="Q45" t="s">
        <v>25</v>
      </c>
    </row>
    <row r="46" spans="1:17" ht="17.45" customHeight="1" x14ac:dyDescent="0.2">
      <c r="A46" t="s">
        <v>110</v>
      </c>
      <c r="B46" t="s">
        <v>111</v>
      </c>
      <c r="C46" s="1">
        <f t="shared" si="6"/>
        <v>39448</v>
      </c>
      <c r="D46" s="1">
        <f t="shared" si="6"/>
        <v>39448</v>
      </c>
      <c r="E46" s="3">
        <v>29996.9</v>
      </c>
      <c r="F46" t="s">
        <v>20</v>
      </c>
      <c r="G46" s="2">
        <v>10</v>
      </c>
      <c r="H46" s="2">
        <v>0</v>
      </c>
      <c r="I46" s="1">
        <f>DATE(2017,12,31)</f>
        <v>43100</v>
      </c>
      <c r="J46" s="3">
        <v>0</v>
      </c>
      <c r="K46" s="3">
        <v>0</v>
      </c>
      <c r="L46" s="3">
        <v>29996.9</v>
      </c>
      <c r="M46" s="3">
        <v>0</v>
      </c>
      <c r="N46" t="s">
        <v>62</v>
      </c>
      <c r="O46" t="s">
        <v>18</v>
      </c>
      <c r="P46" t="s">
        <v>19</v>
      </c>
      <c r="Q46" t="s">
        <v>25</v>
      </c>
    </row>
    <row r="47" spans="1:17" ht="17.45" customHeight="1" x14ac:dyDescent="0.2">
      <c r="A47" t="s">
        <v>112</v>
      </c>
      <c r="B47" t="s">
        <v>111</v>
      </c>
      <c r="C47" s="1">
        <f t="shared" si="6"/>
        <v>39448</v>
      </c>
      <c r="D47" s="1">
        <f t="shared" si="6"/>
        <v>39448</v>
      </c>
      <c r="E47" s="3">
        <v>29996.9</v>
      </c>
      <c r="F47" t="s">
        <v>20</v>
      </c>
      <c r="G47" s="2">
        <v>10</v>
      </c>
      <c r="H47" s="2">
        <v>0</v>
      </c>
      <c r="I47" s="1">
        <f>DATE(2017,12,31)</f>
        <v>43100</v>
      </c>
      <c r="J47" s="3">
        <v>0</v>
      </c>
      <c r="K47" s="3">
        <v>0</v>
      </c>
      <c r="L47" s="3">
        <v>29996.9</v>
      </c>
      <c r="M47" s="3">
        <v>0</v>
      </c>
      <c r="N47" t="s">
        <v>62</v>
      </c>
      <c r="O47" t="s">
        <v>18</v>
      </c>
      <c r="P47" t="s">
        <v>19</v>
      </c>
      <c r="Q47" t="s">
        <v>25</v>
      </c>
    </row>
    <row r="48" spans="1:17" ht="17.45" customHeight="1" x14ac:dyDescent="0.2">
      <c r="A48" t="s">
        <v>113</v>
      </c>
      <c r="B48" t="s">
        <v>114</v>
      </c>
      <c r="C48" s="1">
        <f>DATE(2009,3,11)</f>
        <v>39883</v>
      </c>
      <c r="D48" s="1">
        <f>DATE(2009,3,11)</f>
        <v>39883</v>
      </c>
      <c r="E48" s="3">
        <v>2069.52</v>
      </c>
      <c r="F48" t="s">
        <v>20</v>
      </c>
      <c r="G48" s="2">
        <v>10</v>
      </c>
      <c r="H48" s="2">
        <v>0</v>
      </c>
      <c r="I48" s="1">
        <f>DATE(2019,2,28)</f>
        <v>43524</v>
      </c>
      <c r="J48" s="3">
        <v>0</v>
      </c>
      <c r="K48" s="3">
        <v>0</v>
      </c>
      <c r="L48" s="3">
        <v>2069.52</v>
      </c>
      <c r="M48" s="3">
        <v>0</v>
      </c>
      <c r="N48" t="s">
        <v>62</v>
      </c>
      <c r="O48" t="s">
        <v>18</v>
      </c>
      <c r="P48" t="s">
        <v>19</v>
      </c>
      <c r="Q48" t="s">
        <v>25</v>
      </c>
    </row>
    <row r="49" spans="1:17" ht="17.45" customHeight="1" x14ac:dyDescent="0.2">
      <c r="A49" t="s">
        <v>115</v>
      </c>
      <c r="B49" t="s">
        <v>116</v>
      </c>
      <c r="C49" s="1">
        <f>DATE(2009,4,1)</f>
        <v>39904</v>
      </c>
      <c r="D49" s="1">
        <f>DATE(2009,4,1)</f>
        <v>39904</v>
      </c>
      <c r="E49" s="3">
        <v>3573.03</v>
      </c>
      <c r="F49" t="s">
        <v>20</v>
      </c>
      <c r="G49" s="2">
        <v>35</v>
      </c>
      <c r="H49" s="2">
        <v>0</v>
      </c>
      <c r="I49" s="1">
        <f t="shared" ref="I49:I57" si="7">DATE(2022,12,31)</f>
        <v>44926</v>
      </c>
      <c r="J49" s="3">
        <v>8.48</v>
      </c>
      <c r="K49" s="3">
        <v>102.09</v>
      </c>
      <c r="L49" s="3">
        <v>1403.74</v>
      </c>
      <c r="M49" s="3">
        <v>2169.29</v>
      </c>
      <c r="N49" t="s">
        <v>117</v>
      </c>
      <c r="O49" t="s">
        <v>18</v>
      </c>
      <c r="P49" t="s">
        <v>19</v>
      </c>
      <c r="Q49" t="s">
        <v>25</v>
      </c>
    </row>
    <row r="50" spans="1:17" ht="17.45" customHeight="1" x14ac:dyDescent="0.2">
      <c r="A50" t="s">
        <v>118</v>
      </c>
      <c r="B50" t="s">
        <v>119</v>
      </c>
      <c r="C50" s="1">
        <f>DATE(2010,5,1)</f>
        <v>40299</v>
      </c>
      <c r="D50" s="1">
        <f>DATE(2010,5,1)</f>
        <v>40299</v>
      </c>
      <c r="E50" s="3">
        <v>35252.230000000003</v>
      </c>
      <c r="F50" t="s">
        <v>20</v>
      </c>
      <c r="G50" s="2">
        <v>24</v>
      </c>
      <c r="H50" s="2">
        <v>0</v>
      </c>
      <c r="I50" s="1">
        <f t="shared" si="7"/>
        <v>44926</v>
      </c>
      <c r="J50" s="3">
        <v>122.44</v>
      </c>
      <c r="K50" s="3">
        <v>1468.84</v>
      </c>
      <c r="L50" s="3">
        <v>18605.310000000001</v>
      </c>
      <c r="M50" s="3">
        <v>16646.919999999998</v>
      </c>
      <c r="N50" t="s">
        <v>24</v>
      </c>
      <c r="O50" t="s">
        <v>18</v>
      </c>
      <c r="P50" t="s">
        <v>19</v>
      </c>
      <c r="Q50" t="s">
        <v>25</v>
      </c>
    </row>
    <row r="51" spans="1:17" ht="17.45" customHeight="1" x14ac:dyDescent="0.2">
      <c r="A51" t="s">
        <v>120</v>
      </c>
      <c r="B51" t="s">
        <v>121</v>
      </c>
      <c r="C51" s="1">
        <f>DATE(2011,1,1)</f>
        <v>40544</v>
      </c>
      <c r="D51" s="1">
        <f>DATE(2011,1,1)</f>
        <v>40544</v>
      </c>
      <c r="E51" s="3">
        <v>7017</v>
      </c>
      <c r="F51" t="s">
        <v>20</v>
      </c>
      <c r="G51" s="2">
        <v>35</v>
      </c>
      <c r="H51" s="2">
        <v>0</v>
      </c>
      <c r="I51" s="1">
        <f t="shared" si="7"/>
        <v>44926</v>
      </c>
      <c r="J51" s="3">
        <v>16.68</v>
      </c>
      <c r="K51" s="3">
        <v>200.49</v>
      </c>
      <c r="L51" s="3">
        <v>2405.88</v>
      </c>
      <c r="M51" s="3">
        <v>4611.12</v>
      </c>
      <c r="N51" t="s">
        <v>24</v>
      </c>
      <c r="O51" t="s">
        <v>18</v>
      </c>
      <c r="P51" t="s">
        <v>19</v>
      </c>
      <c r="Q51" t="s">
        <v>25</v>
      </c>
    </row>
    <row r="52" spans="1:17" ht="17.45" customHeight="1" x14ac:dyDescent="0.2">
      <c r="A52" t="s">
        <v>122</v>
      </c>
      <c r="B52" t="s">
        <v>123</v>
      </c>
      <c r="C52" s="1">
        <f>DATE(2011,7,31)</f>
        <v>40755</v>
      </c>
      <c r="D52" s="1">
        <f>DATE(2011,7,31)</f>
        <v>40755</v>
      </c>
      <c r="E52" s="3">
        <v>8361.9699999999993</v>
      </c>
      <c r="F52" t="s">
        <v>20</v>
      </c>
      <c r="G52" s="2">
        <v>15</v>
      </c>
      <c r="H52" s="2">
        <v>0</v>
      </c>
      <c r="I52" s="1">
        <f t="shared" si="7"/>
        <v>44926</v>
      </c>
      <c r="J52" s="3">
        <v>46.4</v>
      </c>
      <c r="K52" s="3">
        <v>557.46</v>
      </c>
      <c r="L52" s="3">
        <v>6364.36</v>
      </c>
      <c r="M52" s="3">
        <v>1997.61</v>
      </c>
      <c r="N52" t="s">
        <v>24</v>
      </c>
      <c r="O52" t="s">
        <v>18</v>
      </c>
      <c r="P52" t="s">
        <v>19</v>
      </c>
      <c r="Q52" t="s">
        <v>25</v>
      </c>
    </row>
    <row r="53" spans="1:17" ht="17.45" customHeight="1" x14ac:dyDescent="0.2">
      <c r="A53" t="s">
        <v>124</v>
      </c>
      <c r="B53" t="s">
        <v>125</v>
      </c>
      <c r="C53" s="1">
        <f>DATE(2011,9,30)</f>
        <v>40816</v>
      </c>
      <c r="D53" s="1">
        <f>DATE(2011,9,30)</f>
        <v>40816</v>
      </c>
      <c r="E53" s="3">
        <v>87231.1</v>
      </c>
      <c r="F53" t="s">
        <v>20</v>
      </c>
      <c r="G53" s="2">
        <v>35</v>
      </c>
      <c r="H53" s="2">
        <v>0</v>
      </c>
      <c r="I53" s="1">
        <f t="shared" si="7"/>
        <v>44926</v>
      </c>
      <c r="J53" s="3">
        <v>207.73</v>
      </c>
      <c r="K53" s="3">
        <v>2492.3200000000002</v>
      </c>
      <c r="L53" s="3">
        <v>28038.57</v>
      </c>
      <c r="M53" s="3">
        <v>59192.53</v>
      </c>
      <c r="N53" t="s">
        <v>24</v>
      </c>
      <c r="O53" t="s">
        <v>18</v>
      </c>
      <c r="P53" t="s">
        <v>19</v>
      </c>
      <c r="Q53" t="s">
        <v>25</v>
      </c>
    </row>
    <row r="54" spans="1:17" ht="17.45" customHeight="1" x14ac:dyDescent="0.2">
      <c r="A54" t="s">
        <v>126</v>
      </c>
      <c r="B54" t="s">
        <v>127</v>
      </c>
      <c r="C54" s="1">
        <f>DATE(2011,10,31)</f>
        <v>40847</v>
      </c>
      <c r="D54" s="1">
        <f>DATE(2011,10,31)</f>
        <v>40847</v>
      </c>
      <c r="E54" s="3">
        <v>16898.900000000001</v>
      </c>
      <c r="F54" t="s">
        <v>20</v>
      </c>
      <c r="G54" s="2">
        <v>15</v>
      </c>
      <c r="H54" s="2">
        <v>0</v>
      </c>
      <c r="I54" s="1">
        <f t="shared" si="7"/>
        <v>44926</v>
      </c>
      <c r="J54" s="3">
        <v>93.91</v>
      </c>
      <c r="K54" s="3">
        <v>1126.5899999999999</v>
      </c>
      <c r="L54" s="3">
        <v>12580.26</v>
      </c>
      <c r="M54" s="3">
        <v>4318.6400000000003</v>
      </c>
      <c r="N54" t="s">
        <v>62</v>
      </c>
      <c r="O54" t="s">
        <v>18</v>
      </c>
      <c r="P54" t="s">
        <v>19</v>
      </c>
      <c r="Q54" t="s">
        <v>25</v>
      </c>
    </row>
    <row r="55" spans="1:17" ht="17.45" customHeight="1" x14ac:dyDescent="0.2">
      <c r="A55" t="s">
        <v>128</v>
      </c>
      <c r="B55" t="s">
        <v>129</v>
      </c>
      <c r="C55" s="1">
        <f>DATE(2011,10,31)</f>
        <v>40847</v>
      </c>
      <c r="D55" s="1">
        <f>DATE(2011,10,31)</f>
        <v>40847</v>
      </c>
      <c r="E55" s="3">
        <v>74909.59</v>
      </c>
      <c r="F55" t="s">
        <v>20</v>
      </c>
      <c r="G55" s="2">
        <v>50</v>
      </c>
      <c r="H55" s="2">
        <v>0</v>
      </c>
      <c r="I55" s="1">
        <f t="shared" si="7"/>
        <v>44926</v>
      </c>
      <c r="J55" s="3">
        <v>124.84</v>
      </c>
      <c r="K55" s="3">
        <v>1498.19</v>
      </c>
      <c r="L55" s="3">
        <v>16729.79</v>
      </c>
      <c r="M55" s="3">
        <v>58179.8</v>
      </c>
      <c r="N55" t="s">
        <v>24</v>
      </c>
      <c r="O55" t="s">
        <v>18</v>
      </c>
      <c r="P55" t="s">
        <v>19</v>
      </c>
      <c r="Q55" t="s">
        <v>25</v>
      </c>
    </row>
    <row r="56" spans="1:17" ht="17.45" customHeight="1" x14ac:dyDescent="0.2">
      <c r="A56" t="s">
        <v>130</v>
      </c>
      <c r="B56" t="s">
        <v>131</v>
      </c>
      <c r="C56" s="1">
        <f>DATE(2011,12,31)</f>
        <v>40908</v>
      </c>
      <c r="D56" s="1">
        <f>DATE(2011,12,31)</f>
        <v>40908</v>
      </c>
      <c r="E56" s="3">
        <v>13768.34</v>
      </c>
      <c r="F56" t="s">
        <v>20</v>
      </c>
      <c r="G56" s="2">
        <v>15</v>
      </c>
      <c r="H56" s="2">
        <v>0</v>
      </c>
      <c r="I56" s="1">
        <f t="shared" si="7"/>
        <v>44926</v>
      </c>
      <c r="J56" s="3">
        <v>76.5</v>
      </c>
      <c r="K56" s="3">
        <v>917.89</v>
      </c>
      <c r="L56" s="3">
        <v>10708.71</v>
      </c>
      <c r="M56" s="3">
        <v>3059.63</v>
      </c>
      <c r="N56" t="s">
        <v>62</v>
      </c>
      <c r="O56" t="s">
        <v>18</v>
      </c>
      <c r="P56" t="s">
        <v>19</v>
      </c>
      <c r="Q56" t="s">
        <v>25</v>
      </c>
    </row>
    <row r="57" spans="1:17" ht="17.45" customHeight="1" x14ac:dyDescent="0.2">
      <c r="A57" t="s">
        <v>132</v>
      </c>
      <c r="B57" t="s">
        <v>133</v>
      </c>
      <c r="C57" s="1">
        <f>DATE(2012,3,31)</f>
        <v>40999</v>
      </c>
      <c r="D57" s="1">
        <f>DATE(2012,3,31)</f>
        <v>40999</v>
      </c>
      <c r="E57" s="3">
        <v>141212.98000000001</v>
      </c>
      <c r="F57" t="s">
        <v>20</v>
      </c>
      <c r="G57" s="2">
        <v>50</v>
      </c>
      <c r="H57" s="2">
        <v>0</v>
      </c>
      <c r="I57" s="1">
        <f t="shared" si="7"/>
        <v>44926</v>
      </c>
      <c r="J57" s="3">
        <v>235.3</v>
      </c>
      <c r="K57" s="3">
        <v>2824.26</v>
      </c>
      <c r="L57" s="3">
        <v>30360.78</v>
      </c>
      <c r="M57" s="3">
        <v>110852.2</v>
      </c>
      <c r="N57" t="s">
        <v>24</v>
      </c>
      <c r="O57" t="s">
        <v>18</v>
      </c>
      <c r="P57" t="s">
        <v>19</v>
      </c>
      <c r="Q57" t="s">
        <v>25</v>
      </c>
    </row>
    <row r="58" spans="1:17" ht="17.45" customHeight="1" x14ac:dyDescent="0.2">
      <c r="A58" t="s">
        <v>134</v>
      </c>
      <c r="B58" t="s">
        <v>135</v>
      </c>
      <c r="C58" s="1">
        <f>DATE(2012,7,31)</f>
        <v>41121</v>
      </c>
      <c r="D58" s="1">
        <f>DATE(2012,7,31)</f>
        <v>41121</v>
      </c>
      <c r="E58" s="3">
        <v>4912.8</v>
      </c>
      <c r="F58" t="s">
        <v>20</v>
      </c>
      <c r="G58" s="2">
        <v>10</v>
      </c>
      <c r="H58" s="2">
        <v>0</v>
      </c>
      <c r="I58" s="1">
        <f>DATE(2022,7,31)</f>
        <v>44773</v>
      </c>
      <c r="J58" s="3">
        <v>0</v>
      </c>
      <c r="K58" s="3">
        <v>286.58</v>
      </c>
      <c r="L58" s="3">
        <v>4912.8</v>
      </c>
      <c r="M58" s="3">
        <v>0</v>
      </c>
      <c r="N58" t="s">
        <v>24</v>
      </c>
      <c r="O58" t="s">
        <v>18</v>
      </c>
      <c r="P58" t="s">
        <v>19</v>
      </c>
      <c r="Q58" t="s">
        <v>25</v>
      </c>
    </row>
    <row r="59" spans="1:17" ht="17.45" customHeight="1" x14ac:dyDescent="0.2">
      <c r="A59" t="s">
        <v>136</v>
      </c>
      <c r="B59" t="s">
        <v>137</v>
      </c>
      <c r="C59" s="1">
        <f>DATE(2013,5,1)</f>
        <v>41395</v>
      </c>
      <c r="D59" s="1">
        <f>DATE(2013,5,1)</f>
        <v>41395</v>
      </c>
      <c r="E59" s="3">
        <v>327513.78000000003</v>
      </c>
      <c r="F59" t="s">
        <v>20</v>
      </c>
      <c r="G59" s="2">
        <v>40</v>
      </c>
      <c r="H59" s="2">
        <v>0</v>
      </c>
      <c r="I59" s="1">
        <f t="shared" ref="I59:I65" si="8">DATE(2022,12,31)</f>
        <v>44926</v>
      </c>
      <c r="J59" s="3">
        <v>682.32</v>
      </c>
      <c r="K59" s="3">
        <v>8187.84</v>
      </c>
      <c r="L59" s="3">
        <v>79149.119999999995</v>
      </c>
      <c r="M59" s="3">
        <v>248364.66</v>
      </c>
      <c r="N59" t="s">
        <v>42</v>
      </c>
      <c r="O59" t="s">
        <v>18</v>
      </c>
      <c r="P59" t="s">
        <v>19</v>
      </c>
      <c r="Q59" t="s">
        <v>25</v>
      </c>
    </row>
    <row r="60" spans="1:17" ht="17.45" customHeight="1" x14ac:dyDescent="0.2">
      <c r="A60" t="s">
        <v>138</v>
      </c>
      <c r="B60" t="s">
        <v>139</v>
      </c>
      <c r="C60" s="1">
        <f t="shared" ref="C60:D64" si="9">DATE(2013,5,31)</f>
        <v>41425</v>
      </c>
      <c r="D60" s="1">
        <f t="shared" si="9"/>
        <v>41425</v>
      </c>
      <c r="E60" s="3">
        <v>1132</v>
      </c>
      <c r="F60" t="s">
        <v>20</v>
      </c>
      <c r="G60" s="2">
        <v>15</v>
      </c>
      <c r="H60" s="2">
        <v>0</v>
      </c>
      <c r="I60" s="1">
        <f t="shared" si="8"/>
        <v>44926</v>
      </c>
      <c r="J60" s="3">
        <v>6.28</v>
      </c>
      <c r="K60" s="3">
        <v>75.47</v>
      </c>
      <c r="L60" s="3">
        <v>723.25</v>
      </c>
      <c r="M60" s="3">
        <v>408.75</v>
      </c>
      <c r="N60" t="s">
        <v>62</v>
      </c>
      <c r="O60" t="s">
        <v>18</v>
      </c>
      <c r="P60" t="s">
        <v>19</v>
      </c>
      <c r="Q60" t="s">
        <v>25</v>
      </c>
    </row>
    <row r="61" spans="1:17" ht="17.45" customHeight="1" x14ac:dyDescent="0.2">
      <c r="A61" t="s">
        <v>141</v>
      </c>
      <c r="B61" t="s">
        <v>142</v>
      </c>
      <c r="C61" s="1">
        <f t="shared" si="9"/>
        <v>41425</v>
      </c>
      <c r="D61" s="1">
        <f t="shared" si="9"/>
        <v>41425</v>
      </c>
      <c r="E61" s="3">
        <v>1454.32</v>
      </c>
      <c r="F61" t="s">
        <v>20</v>
      </c>
      <c r="G61" s="2">
        <v>20</v>
      </c>
      <c r="H61" s="2">
        <v>0</v>
      </c>
      <c r="I61" s="1">
        <f t="shared" si="8"/>
        <v>44926</v>
      </c>
      <c r="J61" s="3">
        <v>6.06</v>
      </c>
      <c r="K61" s="3">
        <v>72.72</v>
      </c>
      <c r="L61" s="3">
        <v>696.9</v>
      </c>
      <c r="M61" s="3">
        <v>757.42</v>
      </c>
      <c r="N61" t="s">
        <v>140</v>
      </c>
      <c r="O61" t="s">
        <v>18</v>
      </c>
      <c r="P61" t="s">
        <v>19</v>
      </c>
      <c r="Q61" t="s">
        <v>25</v>
      </c>
    </row>
    <row r="62" spans="1:17" ht="17.45" customHeight="1" x14ac:dyDescent="0.2">
      <c r="A62" t="s">
        <v>143</v>
      </c>
      <c r="B62" t="s">
        <v>144</v>
      </c>
      <c r="C62" s="1">
        <f t="shared" si="9"/>
        <v>41425</v>
      </c>
      <c r="D62" s="1">
        <f t="shared" si="9"/>
        <v>41425</v>
      </c>
      <c r="E62" s="3">
        <v>2181.48</v>
      </c>
      <c r="F62" t="s">
        <v>20</v>
      </c>
      <c r="G62" s="2">
        <v>20</v>
      </c>
      <c r="H62" s="2">
        <v>0</v>
      </c>
      <c r="I62" s="1">
        <f t="shared" si="8"/>
        <v>44926</v>
      </c>
      <c r="J62" s="3">
        <v>9.08</v>
      </c>
      <c r="K62" s="3">
        <v>109.07</v>
      </c>
      <c r="L62" s="3">
        <v>1045.26</v>
      </c>
      <c r="M62" s="3">
        <v>1136.22</v>
      </c>
      <c r="N62" t="s">
        <v>140</v>
      </c>
      <c r="O62" t="s">
        <v>18</v>
      </c>
      <c r="P62" t="s">
        <v>19</v>
      </c>
      <c r="Q62" t="s">
        <v>25</v>
      </c>
    </row>
    <row r="63" spans="1:17" ht="17.45" customHeight="1" x14ac:dyDescent="0.2">
      <c r="A63" t="s">
        <v>145</v>
      </c>
      <c r="B63" t="s">
        <v>146</v>
      </c>
      <c r="C63" s="1">
        <f t="shared" si="9"/>
        <v>41425</v>
      </c>
      <c r="D63" s="1">
        <f t="shared" si="9"/>
        <v>41425</v>
      </c>
      <c r="E63" s="3">
        <v>1454.32</v>
      </c>
      <c r="F63" t="s">
        <v>20</v>
      </c>
      <c r="G63" s="2">
        <v>20</v>
      </c>
      <c r="H63" s="2">
        <v>0</v>
      </c>
      <c r="I63" s="1">
        <f t="shared" si="8"/>
        <v>44926</v>
      </c>
      <c r="J63" s="3">
        <v>6.06</v>
      </c>
      <c r="K63" s="3">
        <v>72.72</v>
      </c>
      <c r="L63" s="3">
        <v>696.9</v>
      </c>
      <c r="M63" s="3">
        <v>757.42</v>
      </c>
      <c r="N63" t="s">
        <v>140</v>
      </c>
      <c r="O63" t="s">
        <v>18</v>
      </c>
      <c r="P63" t="s">
        <v>19</v>
      </c>
      <c r="Q63" t="s">
        <v>25</v>
      </c>
    </row>
    <row r="64" spans="1:17" ht="17.45" customHeight="1" x14ac:dyDescent="0.2">
      <c r="A64" t="s">
        <v>147</v>
      </c>
      <c r="B64" t="s">
        <v>148</v>
      </c>
      <c r="C64" s="1">
        <f t="shared" si="9"/>
        <v>41425</v>
      </c>
      <c r="D64" s="1">
        <f t="shared" si="9"/>
        <v>41425</v>
      </c>
      <c r="E64" s="3">
        <v>1889.62</v>
      </c>
      <c r="F64" t="s">
        <v>20</v>
      </c>
      <c r="G64" s="2">
        <v>35</v>
      </c>
      <c r="H64" s="2">
        <v>0</v>
      </c>
      <c r="I64" s="1">
        <f t="shared" si="8"/>
        <v>44926</v>
      </c>
      <c r="J64" s="3">
        <v>4.49</v>
      </c>
      <c r="K64" s="3">
        <v>53.99</v>
      </c>
      <c r="L64" s="3">
        <v>517.42999999999995</v>
      </c>
      <c r="M64" s="3">
        <v>1372.19</v>
      </c>
      <c r="N64" t="s">
        <v>117</v>
      </c>
      <c r="O64" t="s">
        <v>18</v>
      </c>
      <c r="P64" t="s">
        <v>19</v>
      </c>
      <c r="Q64" t="s">
        <v>25</v>
      </c>
    </row>
    <row r="65" spans="1:17" ht="17.45" customHeight="1" x14ac:dyDescent="0.2">
      <c r="A65" t="s">
        <v>150</v>
      </c>
      <c r="B65" t="s">
        <v>151</v>
      </c>
      <c r="C65" s="1">
        <f>DATE(2013,9,30)</f>
        <v>41547</v>
      </c>
      <c r="D65" s="1">
        <f>DATE(2013,9,30)</f>
        <v>41547</v>
      </c>
      <c r="E65" s="3">
        <v>9130.84</v>
      </c>
      <c r="F65" t="s">
        <v>20</v>
      </c>
      <c r="G65" s="2">
        <v>10</v>
      </c>
      <c r="H65" s="2">
        <v>0</v>
      </c>
      <c r="I65" s="1">
        <f t="shared" si="8"/>
        <v>44926</v>
      </c>
      <c r="J65" s="3">
        <v>76.09</v>
      </c>
      <c r="K65" s="3">
        <v>913.08</v>
      </c>
      <c r="L65" s="3">
        <v>8445.99</v>
      </c>
      <c r="M65" s="3">
        <v>684.85</v>
      </c>
      <c r="N65" t="s">
        <v>149</v>
      </c>
      <c r="O65" t="s">
        <v>18</v>
      </c>
      <c r="P65" t="s">
        <v>19</v>
      </c>
      <c r="Q65" t="s">
        <v>25</v>
      </c>
    </row>
    <row r="66" spans="1:17" ht="17.45" customHeight="1" x14ac:dyDescent="0.2">
      <c r="A66" t="s">
        <v>152</v>
      </c>
      <c r="B66" t="s">
        <v>153</v>
      </c>
      <c r="C66" s="1">
        <f>DATE(2013,10,31)</f>
        <v>41578</v>
      </c>
      <c r="D66" s="1">
        <f>DATE(2013,10,31)</f>
        <v>41578</v>
      </c>
      <c r="E66" s="3">
        <v>2186.6</v>
      </c>
      <c r="F66" t="s">
        <v>20</v>
      </c>
      <c r="G66" s="2">
        <v>5</v>
      </c>
      <c r="H66" s="2">
        <v>0</v>
      </c>
      <c r="I66" s="1">
        <f>DATE(2018,10,31)</f>
        <v>43404</v>
      </c>
      <c r="J66" s="3">
        <v>0</v>
      </c>
      <c r="K66" s="3">
        <v>0</v>
      </c>
      <c r="L66" s="3">
        <v>2186.6</v>
      </c>
      <c r="M66" s="3">
        <v>0</v>
      </c>
      <c r="N66" t="s">
        <v>149</v>
      </c>
      <c r="O66" t="s">
        <v>18</v>
      </c>
      <c r="P66" t="s">
        <v>19</v>
      </c>
      <c r="Q66" t="s">
        <v>25</v>
      </c>
    </row>
    <row r="67" spans="1:17" ht="17.45" customHeight="1" x14ac:dyDescent="0.2">
      <c r="A67" t="s">
        <v>154</v>
      </c>
      <c r="B67" t="s">
        <v>155</v>
      </c>
      <c r="C67" s="1">
        <f>DATE(2013,10,31)</f>
        <v>41578</v>
      </c>
      <c r="D67" s="1">
        <f>DATE(2013,10,31)</f>
        <v>41578</v>
      </c>
      <c r="E67" s="3">
        <v>1975</v>
      </c>
      <c r="F67" t="s">
        <v>20</v>
      </c>
      <c r="G67" s="2">
        <v>5</v>
      </c>
      <c r="H67" s="2">
        <v>0</v>
      </c>
      <c r="I67" s="1">
        <f>DATE(2018,10,31)</f>
        <v>43404</v>
      </c>
      <c r="J67" s="3">
        <v>0</v>
      </c>
      <c r="K67" s="3">
        <v>0</v>
      </c>
      <c r="L67" s="3">
        <v>1975</v>
      </c>
      <c r="M67" s="3">
        <v>0</v>
      </c>
      <c r="N67" t="s">
        <v>149</v>
      </c>
      <c r="O67" t="s">
        <v>18</v>
      </c>
      <c r="P67" t="s">
        <v>19</v>
      </c>
      <c r="Q67" t="s">
        <v>25</v>
      </c>
    </row>
    <row r="68" spans="1:17" ht="17.45" customHeight="1" x14ac:dyDescent="0.2">
      <c r="A68" t="s">
        <v>156</v>
      </c>
      <c r="B68" t="s">
        <v>157</v>
      </c>
      <c r="C68" s="1">
        <f>DATE(2013,12,31)</f>
        <v>41639</v>
      </c>
      <c r="D68" s="1">
        <f>DATE(2013,12,31)</f>
        <v>41639</v>
      </c>
      <c r="E68" s="3">
        <v>46702.6</v>
      </c>
      <c r="F68" t="s">
        <v>20</v>
      </c>
      <c r="G68" s="2">
        <v>20</v>
      </c>
      <c r="H68" s="2">
        <v>0</v>
      </c>
      <c r="I68" s="1">
        <f>DATE(2022,12,31)</f>
        <v>44926</v>
      </c>
      <c r="J68" s="3">
        <v>194.64</v>
      </c>
      <c r="K68" s="3">
        <v>2335.13</v>
      </c>
      <c r="L68" s="3">
        <v>21016.17</v>
      </c>
      <c r="M68" s="3">
        <v>25686.43</v>
      </c>
      <c r="N68" t="s">
        <v>149</v>
      </c>
      <c r="O68" t="s">
        <v>18</v>
      </c>
      <c r="P68" t="s">
        <v>19</v>
      </c>
      <c r="Q68" t="s">
        <v>25</v>
      </c>
    </row>
    <row r="69" spans="1:17" ht="17.45" customHeight="1" x14ac:dyDescent="0.2">
      <c r="A69" t="s">
        <v>158</v>
      </c>
      <c r="B69" t="s">
        <v>159</v>
      </c>
      <c r="C69" s="1">
        <f>DATE(2014,1,31)</f>
        <v>41670</v>
      </c>
      <c r="D69" s="1">
        <f>DATE(2014,1,31)</f>
        <v>41670</v>
      </c>
      <c r="E69" s="3">
        <v>6275</v>
      </c>
      <c r="F69" t="s">
        <v>20</v>
      </c>
      <c r="G69" s="2">
        <v>5</v>
      </c>
      <c r="H69" s="2">
        <v>0</v>
      </c>
      <c r="I69" s="1">
        <f>DATE(2019,1,31)</f>
        <v>43496</v>
      </c>
      <c r="J69" s="3">
        <v>0</v>
      </c>
      <c r="K69" s="3">
        <v>0</v>
      </c>
      <c r="L69" s="3">
        <v>6275</v>
      </c>
      <c r="M69" s="3">
        <v>0</v>
      </c>
      <c r="N69" t="s">
        <v>149</v>
      </c>
      <c r="O69" t="s">
        <v>18</v>
      </c>
      <c r="P69" t="s">
        <v>19</v>
      </c>
      <c r="Q69" t="s">
        <v>25</v>
      </c>
    </row>
    <row r="70" spans="1:17" ht="17.45" customHeight="1" x14ac:dyDescent="0.2">
      <c r="A70" t="s">
        <v>160</v>
      </c>
      <c r="B70" t="s">
        <v>161</v>
      </c>
      <c r="C70" s="1">
        <f>DATE(2014,4,30)</f>
        <v>41759</v>
      </c>
      <c r="D70" s="1">
        <f>DATE(2014,4,30)</f>
        <v>41759</v>
      </c>
      <c r="E70" s="3">
        <v>7400</v>
      </c>
      <c r="F70" t="s">
        <v>20</v>
      </c>
      <c r="G70" s="2">
        <v>5</v>
      </c>
      <c r="H70" s="2">
        <v>0</v>
      </c>
      <c r="I70" s="1">
        <f>DATE(2019,4,30)</f>
        <v>43585</v>
      </c>
      <c r="J70" s="3">
        <v>0</v>
      </c>
      <c r="K70" s="3">
        <v>0</v>
      </c>
      <c r="L70" s="3">
        <v>7400</v>
      </c>
      <c r="M70" s="3">
        <v>0</v>
      </c>
      <c r="N70" t="s">
        <v>149</v>
      </c>
      <c r="O70" t="s">
        <v>18</v>
      </c>
      <c r="P70" t="s">
        <v>19</v>
      </c>
      <c r="Q70" t="s">
        <v>25</v>
      </c>
    </row>
    <row r="71" spans="1:17" ht="17.45" customHeight="1" x14ac:dyDescent="0.2">
      <c r="A71" t="s">
        <v>574</v>
      </c>
      <c r="B71" t="s">
        <v>575</v>
      </c>
      <c r="C71" s="1">
        <f>DATE(2014,7,1)</f>
        <v>41821</v>
      </c>
      <c r="D71" s="1">
        <f>DATE(2014,7,1)</f>
        <v>41821</v>
      </c>
      <c r="E71" s="3">
        <v>13307.5</v>
      </c>
      <c r="F71" t="s">
        <v>20</v>
      </c>
      <c r="G71" s="2">
        <v>5</v>
      </c>
      <c r="H71" s="2">
        <v>0</v>
      </c>
      <c r="I71" s="1">
        <f>DATE(2019,6,30)</f>
        <v>43646</v>
      </c>
      <c r="J71" s="3">
        <v>0</v>
      </c>
      <c r="K71" s="3">
        <v>0</v>
      </c>
      <c r="L71" s="3">
        <v>13307.5</v>
      </c>
      <c r="M71" s="3">
        <v>0</v>
      </c>
      <c r="N71" t="s">
        <v>24</v>
      </c>
      <c r="O71" t="s">
        <v>18</v>
      </c>
      <c r="P71" t="s">
        <v>19</v>
      </c>
      <c r="Q71" t="s">
        <v>25</v>
      </c>
    </row>
    <row r="72" spans="1:17" ht="17.45" customHeight="1" x14ac:dyDescent="0.2">
      <c r="A72" t="s">
        <v>582</v>
      </c>
      <c r="B72" t="s">
        <v>583</v>
      </c>
      <c r="C72" s="1">
        <f>DATE(2014,8,31)</f>
        <v>41882</v>
      </c>
      <c r="D72" s="1">
        <f>DATE(2014,8,31)</f>
        <v>41882</v>
      </c>
      <c r="E72" s="3">
        <v>8467.56</v>
      </c>
      <c r="F72" t="s">
        <v>20</v>
      </c>
      <c r="G72" s="2">
        <v>10</v>
      </c>
      <c r="H72" s="2">
        <v>0</v>
      </c>
      <c r="I72" s="1">
        <f>DATE(2022,12,31)</f>
        <v>44926</v>
      </c>
      <c r="J72" s="3">
        <v>70.599999999999994</v>
      </c>
      <c r="K72" s="3">
        <v>846.76</v>
      </c>
      <c r="L72" s="3">
        <v>7056.33</v>
      </c>
      <c r="M72" s="3">
        <v>1411.23</v>
      </c>
      <c r="N72" t="s">
        <v>149</v>
      </c>
      <c r="O72" t="s">
        <v>18</v>
      </c>
      <c r="P72" t="s">
        <v>19</v>
      </c>
      <c r="Q72" t="s">
        <v>25</v>
      </c>
    </row>
    <row r="73" spans="1:17" ht="17.45" customHeight="1" x14ac:dyDescent="0.2">
      <c r="A73" t="s">
        <v>584</v>
      </c>
      <c r="B73" t="s">
        <v>585</v>
      </c>
      <c r="C73" s="1">
        <f>DATE(2014,8,31)</f>
        <v>41882</v>
      </c>
      <c r="D73" s="1">
        <f>DATE(2014,8,31)</f>
        <v>41882</v>
      </c>
      <c r="E73" s="3">
        <v>9487.33</v>
      </c>
      <c r="F73" t="s">
        <v>20</v>
      </c>
      <c r="G73" s="2">
        <v>5</v>
      </c>
      <c r="H73" s="2">
        <v>0</v>
      </c>
      <c r="I73" s="1">
        <f>DATE(2019,8,31)</f>
        <v>43708</v>
      </c>
      <c r="J73" s="3">
        <v>0</v>
      </c>
      <c r="K73" s="3">
        <v>0</v>
      </c>
      <c r="L73" s="3">
        <v>9487.33</v>
      </c>
      <c r="M73" s="3">
        <v>0</v>
      </c>
      <c r="N73" t="s">
        <v>24</v>
      </c>
      <c r="O73" t="s">
        <v>18</v>
      </c>
      <c r="P73" t="s">
        <v>19</v>
      </c>
      <c r="Q73" t="s">
        <v>25</v>
      </c>
    </row>
    <row r="74" spans="1:17" ht="17.45" customHeight="1" x14ac:dyDescent="0.2">
      <c r="A74" t="s">
        <v>612</v>
      </c>
      <c r="B74" t="s">
        <v>613</v>
      </c>
      <c r="C74" s="1">
        <f t="shared" ref="C74:D76" si="10">DATE(2014,12,31)</f>
        <v>42004</v>
      </c>
      <c r="D74" s="1">
        <f t="shared" si="10"/>
        <v>42004</v>
      </c>
      <c r="E74" s="3">
        <v>13980.28</v>
      </c>
      <c r="F74" t="s">
        <v>20</v>
      </c>
      <c r="G74" s="2">
        <v>20</v>
      </c>
      <c r="H74" s="2">
        <v>0</v>
      </c>
      <c r="I74" s="1">
        <f>DATE(2022,12,31)</f>
        <v>44926</v>
      </c>
      <c r="J74" s="3">
        <v>58.26</v>
      </c>
      <c r="K74" s="3">
        <v>699.01</v>
      </c>
      <c r="L74" s="3">
        <v>5592.08</v>
      </c>
      <c r="M74" s="3">
        <v>8388.2000000000007</v>
      </c>
      <c r="N74" t="s">
        <v>140</v>
      </c>
      <c r="O74" t="s">
        <v>18</v>
      </c>
      <c r="P74" t="s">
        <v>19</v>
      </c>
      <c r="Q74" t="s">
        <v>25</v>
      </c>
    </row>
    <row r="75" spans="1:17" ht="17.45" customHeight="1" x14ac:dyDescent="0.2">
      <c r="A75" t="s">
        <v>616</v>
      </c>
      <c r="B75" t="s">
        <v>617</v>
      </c>
      <c r="C75" s="1">
        <f t="shared" si="10"/>
        <v>42004</v>
      </c>
      <c r="D75" s="1">
        <f t="shared" si="10"/>
        <v>42004</v>
      </c>
      <c r="E75" s="3">
        <v>173539.03</v>
      </c>
      <c r="F75" t="s">
        <v>20</v>
      </c>
      <c r="G75" s="2">
        <v>50</v>
      </c>
      <c r="H75" s="2">
        <v>0</v>
      </c>
      <c r="I75" s="1">
        <f>DATE(2022,12,31)</f>
        <v>44926</v>
      </c>
      <c r="J75" s="3">
        <v>289.25</v>
      </c>
      <c r="K75" s="3">
        <v>3470.78</v>
      </c>
      <c r="L75" s="3">
        <v>27766.240000000002</v>
      </c>
      <c r="M75" s="3">
        <v>145772.79</v>
      </c>
      <c r="N75" t="s">
        <v>24</v>
      </c>
      <c r="O75" t="s">
        <v>18</v>
      </c>
      <c r="P75" t="s">
        <v>19</v>
      </c>
      <c r="Q75" t="s">
        <v>25</v>
      </c>
    </row>
    <row r="76" spans="1:17" ht="17.45" customHeight="1" x14ac:dyDescent="0.2">
      <c r="A76" t="s">
        <v>620</v>
      </c>
      <c r="B76" t="s">
        <v>621</v>
      </c>
      <c r="C76" s="1">
        <f t="shared" si="10"/>
        <v>42004</v>
      </c>
      <c r="D76" s="1">
        <f t="shared" si="10"/>
        <v>42004</v>
      </c>
      <c r="E76" s="3">
        <v>50481.73</v>
      </c>
      <c r="F76" t="s">
        <v>20</v>
      </c>
      <c r="G76" s="2">
        <v>35</v>
      </c>
      <c r="H76" s="2">
        <v>0</v>
      </c>
      <c r="I76" s="1">
        <f>DATE(2022,12,31)</f>
        <v>44926</v>
      </c>
      <c r="J76" s="3">
        <v>120.25</v>
      </c>
      <c r="K76" s="3">
        <v>1442.34</v>
      </c>
      <c r="L76" s="3">
        <v>11538.72</v>
      </c>
      <c r="M76" s="3">
        <v>38943.01</v>
      </c>
      <c r="N76" t="s">
        <v>117</v>
      </c>
      <c r="O76" t="s">
        <v>18</v>
      </c>
      <c r="P76" t="s">
        <v>19</v>
      </c>
      <c r="Q76" t="s">
        <v>25</v>
      </c>
    </row>
    <row r="77" spans="1:17" ht="17.45" customHeight="1" x14ac:dyDescent="0.2">
      <c r="A77" t="s">
        <v>636</v>
      </c>
      <c r="B77" t="s">
        <v>637</v>
      </c>
      <c r="C77" s="1">
        <f>DATE(2015,1,31)</f>
        <v>42035</v>
      </c>
      <c r="D77" s="1">
        <f>DATE(2015,1,31)</f>
        <v>42035</v>
      </c>
      <c r="E77" s="3">
        <v>1068.95</v>
      </c>
      <c r="F77" t="s">
        <v>20</v>
      </c>
      <c r="G77" s="2">
        <v>5</v>
      </c>
      <c r="H77" s="2">
        <v>0</v>
      </c>
      <c r="I77" s="1">
        <f>DATE(2020,1,31)</f>
        <v>43861</v>
      </c>
      <c r="J77" s="3">
        <v>0</v>
      </c>
      <c r="K77" s="3">
        <v>0</v>
      </c>
      <c r="L77" s="3">
        <v>1068.95</v>
      </c>
      <c r="M77" s="3">
        <v>0</v>
      </c>
      <c r="N77" t="s">
        <v>149</v>
      </c>
      <c r="O77" t="s">
        <v>18</v>
      </c>
      <c r="P77" t="s">
        <v>19</v>
      </c>
      <c r="Q77" t="s">
        <v>25</v>
      </c>
    </row>
    <row r="78" spans="1:17" ht="17.45" customHeight="1" x14ac:dyDescent="0.2">
      <c r="A78" t="s">
        <v>654</v>
      </c>
      <c r="B78" t="s">
        <v>655</v>
      </c>
      <c r="C78" s="1">
        <f>DATE(2015,5,31)</f>
        <v>42155</v>
      </c>
      <c r="D78" s="1">
        <f>DATE(2015,5,31)</f>
        <v>42155</v>
      </c>
      <c r="E78" s="3">
        <v>6828.66</v>
      </c>
      <c r="F78" t="s">
        <v>20</v>
      </c>
      <c r="G78" s="2">
        <v>20</v>
      </c>
      <c r="H78" s="2">
        <v>0</v>
      </c>
      <c r="I78" s="1">
        <f>DATE(2022,12,31)</f>
        <v>44926</v>
      </c>
      <c r="J78" s="3">
        <v>28.48</v>
      </c>
      <c r="K78" s="3">
        <v>341.43</v>
      </c>
      <c r="L78" s="3">
        <v>2589.1799999999998</v>
      </c>
      <c r="M78" s="3">
        <v>4239.4799999999996</v>
      </c>
      <c r="N78" t="s">
        <v>105</v>
      </c>
      <c r="O78" t="s">
        <v>18</v>
      </c>
      <c r="P78" t="s">
        <v>19</v>
      </c>
      <c r="Q78" t="s">
        <v>25</v>
      </c>
    </row>
    <row r="79" spans="1:17" ht="17.45" customHeight="1" x14ac:dyDescent="0.2">
      <c r="A79" t="s">
        <v>666</v>
      </c>
      <c r="B79" t="s">
        <v>667</v>
      </c>
      <c r="C79" s="1">
        <f>DATE(2015,6,30)</f>
        <v>42185</v>
      </c>
      <c r="D79" s="1">
        <f>DATE(2015,6,30)</f>
        <v>42185</v>
      </c>
      <c r="E79" s="3">
        <v>8236.4500000000007</v>
      </c>
      <c r="F79" t="s">
        <v>20</v>
      </c>
      <c r="G79" s="2">
        <v>5</v>
      </c>
      <c r="H79" s="2">
        <v>0</v>
      </c>
      <c r="I79" s="1">
        <f>DATE(2020,6,30)</f>
        <v>44012</v>
      </c>
      <c r="J79" s="3">
        <v>0</v>
      </c>
      <c r="K79" s="3">
        <v>0</v>
      </c>
      <c r="L79" s="3">
        <v>8236.4500000000007</v>
      </c>
      <c r="M79" s="3">
        <v>0</v>
      </c>
      <c r="N79" t="s">
        <v>149</v>
      </c>
      <c r="O79" t="s">
        <v>18</v>
      </c>
      <c r="P79" t="s">
        <v>19</v>
      </c>
      <c r="Q79" t="s">
        <v>25</v>
      </c>
    </row>
    <row r="80" spans="1:17" ht="17.45" customHeight="1" x14ac:dyDescent="0.2">
      <c r="A80" t="s">
        <v>678</v>
      </c>
      <c r="B80" t="s">
        <v>679</v>
      </c>
      <c r="C80" s="1">
        <f>DATE(2015,8,31)</f>
        <v>42247</v>
      </c>
      <c r="D80" s="1">
        <f>DATE(2015,8,31)</f>
        <v>42247</v>
      </c>
      <c r="E80" s="3">
        <v>13822.64</v>
      </c>
      <c r="F80" t="s">
        <v>20</v>
      </c>
      <c r="G80" s="2">
        <v>50</v>
      </c>
      <c r="H80" s="2">
        <v>0</v>
      </c>
      <c r="I80" s="1">
        <f t="shared" ref="I80:I88" si="11">DATE(2022,12,31)</f>
        <v>44926</v>
      </c>
      <c r="J80" s="3">
        <v>23.01</v>
      </c>
      <c r="K80" s="3">
        <v>276.45</v>
      </c>
      <c r="L80" s="3">
        <v>2027.3</v>
      </c>
      <c r="M80" s="3">
        <v>11795.34</v>
      </c>
      <c r="N80" t="s">
        <v>24</v>
      </c>
      <c r="O80" t="s">
        <v>18</v>
      </c>
      <c r="P80" t="s">
        <v>19</v>
      </c>
      <c r="Q80" t="s">
        <v>25</v>
      </c>
    </row>
    <row r="81" spans="1:17" ht="17.45" customHeight="1" x14ac:dyDescent="0.2">
      <c r="A81" t="s">
        <v>682</v>
      </c>
      <c r="B81" t="s">
        <v>683</v>
      </c>
      <c r="C81" s="1">
        <f>DATE(2015,8,31)</f>
        <v>42247</v>
      </c>
      <c r="D81" s="1">
        <f>DATE(2015,8,31)</f>
        <v>42247</v>
      </c>
      <c r="E81" s="3">
        <v>3798.5</v>
      </c>
      <c r="F81" t="s">
        <v>20</v>
      </c>
      <c r="G81" s="2">
        <v>10</v>
      </c>
      <c r="H81" s="2">
        <v>0</v>
      </c>
      <c r="I81" s="1">
        <f t="shared" si="11"/>
        <v>44926</v>
      </c>
      <c r="J81" s="3">
        <v>31.7</v>
      </c>
      <c r="K81" s="3">
        <v>379.85</v>
      </c>
      <c r="L81" s="3">
        <v>2785.57</v>
      </c>
      <c r="M81" s="3">
        <v>1012.93</v>
      </c>
      <c r="N81" t="s">
        <v>149</v>
      </c>
      <c r="O81" t="s">
        <v>18</v>
      </c>
      <c r="P81" t="s">
        <v>19</v>
      </c>
      <c r="Q81" t="s">
        <v>25</v>
      </c>
    </row>
    <row r="82" spans="1:17" ht="17.45" customHeight="1" x14ac:dyDescent="0.2">
      <c r="A82" t="s">
        <v>692</v>
      </c>
      <c r="B82" t="s">
        <v>693</v>
      </c>
      <c r="C82" s="1">
        <f>DATE(2015,11,30)</f>
        <v>42338</v>
      </c>
      <c r="D82" s="1">
        <f>DATE(2015,11,30)</f>
        <v>42338</v>
      </c>
      <c r="E82" s="3">
        <v>6408.61</v>
      </c>
      <c r="F82" t="s">
        <v>20</v>
      </c>
      <c r="G82" s="2">
        <v>50</v>
      </c>
      <c r="H82" s="2">
        <v>0</v>
      </c>
      <c r="I82" s="1">
        <f t="shared" si="11"/>
        <v>44926</v>
      </c>
      <c r="J82" s="3">
        <v>10.69</v>
      </c>
      <c r="K82" s="3">
        <v>128.16999999999999</v>
      </c>
      <c r="L82" s="3">
        <v>907.87</v>
      </c>
      <c r="M82" s="3">
        <v>5500.74</v>
      </c>
      <c r="N82" t="s">
        <v>24</v>
      </c>
      <c r="O82" t="s">
        <v>18</v>
      </c>
      <c r="P82" t="s">
        <v>19</v>
      </c>
      <c r="Q82" t="s">
        <v>25</v>
      </c>
    </row>
    <row r="83" spans="1:17" ht="17.45" customHeight="1" x14ac:dyDescent="0.2">
      <c r="A83" t="s">
        <v>696</v>
      </c>
      <c r="B83" t="s">
        <v>697</v>
      </c>
      <c r="C83" s="1">
        <f>DATE(2015,12,31)</f>
        <v>42369</v>
      </c>
      <c r="D83" s="1">
        <f>DATE(2015,12,31)</f>
        <v>42369</v>
      </c>
      <c r="E83" s="3">
        <v>3257.77</v>
      </c>
      <c r="F83" t="s">
        <v>20</v>
      </c>
      <c r="G83" s="2">
        <v>10</v>
      </c>
      <c r="H83" s="2">
        <v>0</v>
      </c>
      <c r="I83" s="1">
        <f t="shared" si="11"/>
        <v>44926</v>
      </c>
      <c r="J83" s="3">
        <v>27.13</v>
      </c>
      <c r="K83" s="3">
        <v>325.77999999999997</v>
      </c>
      <c r="L83" s="3">
        <v>2280.46</v>
      </c>
      <c r="M83" s="3">
        <v>977.31</v>
      </c>
      <c r="N83" t="s">
        <v>149</v>
      </c>
      <c r="O83" t="s">
        <v>18</v>
      </c>
      <c r="P83" t="s">
        <v>19</v>
      </c>
      <c r="Q83" t="s">
        <v>25</v>
      </c>
    </row>
    <row r="84" spans="1:17" ht="17.45" customHeight="1" x14ac:dyDescent="0.2">
      <c r="A84" t="s">
        <v>710</v>
      </c>
      <c r="B84" t="s">
        <v>711</v>
      </c>
      <c r="C84" s="1">
        <f t="shared" ref="C84:D86" si="12">DATE(2016,1,31)</f>
        <v>42400</v>
      </c>
      <c r="D84" s="1">
        <f t="shared" si="12"/>
        <v>42400</v>
      </c>
      <c r="E84" s="3">
        <v>3692.38</v>
      </c>
      <c r="F84" t="s">
        <v>20</v>
      </c>
      <c r="G84" s="2">
        <v>10</v>
      </c>
      <c r="H84" s="2">
        <v>0</v>
      </c>
      <c r="I84" s="1">
        <f t="shared" si="11"/>
        <v>44926</v>
      </c>
      <c r="J84" s="3">
        <v>30.77</v>
      </c>
      <c r="K84" s="3">
        <v>369.24</v>
      </c>
      <c r="L84" s="3">
        <v>2553.91</v>
      </c>
      <c r="M84" s="3">
        <v>1138.47</v>
      </c>
      <c r="N84" t="s">
        <v>149</v>
      </c>
      <c r="O84" t="s">
        <v>18</v>
      </c>
      <c r="P84" t="s">
        <v>19</v>
      </c>
      <c r="Q84" t="s">
        <v>25</v>
      </c>
    </row>
    <row r="85" spans="1:17" ht="17.45" customHeight="1" x14ac:dyDescent="0.2">
      <c r="A85" t="s">
        <v>712</v>
      </c>
      <c r="B85" t="s">
        <v>713</v>
      </c>
      <c r="C85" s="1">
        <f t="shared" si="12"/>
        <v>42400</v>
      </c>
      <c r="D85" s="1">
        <f t="shared" si="12"/>
        <v>42400</v>
      </c>
      <c r="E85" s="3">
        <v>5522.89</v>
      </c>
      <c r="F85" t="s">
        <v>20</v>
      </c>
      <c r="G85" s="2">
        <v>10</v>
      </c>
      <c r="H85" s="2">
        <v>0</v>
      </c>
      <c r="I85" s="1">
        <f t="shared" si="11"/>
        <v>44926</v>
      </c>
      <c r="J85" s="3">
        <v>46.07</v>
      </c>
      <c r="K85" s="3">
        <v>552.29</v>
      </c>
      <c r="L85" s="3">
        <v>3820</v>
      </c>
      <c r="M85" s="3">
        <v>1702.89</v>
      </c>
      <c r="N85" t="s">
        <v>62</v>
      </c>
      <c r="O85" t="s">
        <v>18</v>
      </c>
      <c r="P85" t="s">
        <v>19</v>
      </c>
      <c r="Q85" t="s">
        <v>25</v>
      </c>
    </row>
    <row r="86" spans="1:17" ht="17.45" customHeight="1" x14ac:dyDescent="0.2">
      <c r="A86" t="s">
        <v>714</v>
      </c>
      <c r="B86" t="s">
        <v>715</v>
      </c>
      <c r="C86" s="1">
        <f t="shared" si="12"/>
        <v>42400</v>
      </c>
      <c r="D86" s="1">
        <f t="shared" si="12"/>
        <v>42400</v>
      </c>
      <c r="E86" s="3">
        <v>6171</v>
      </c>
      <c r="F86" t="s">
        <v>20</v>
      </c>
      <c r="G86" s="2">
        <v>10</v>
      </c>
      <c r="H86" s="2">
        <v>0</v>
      </c>
      <c r="I86" s="1">
        <f t="shared" si="11"/>
        <v>44926</v>
      </c>
      <c r="J86" s="3">
        <v>51.37</v>
      </c>
      <c r="K86" s="3">
        <v>617.1</v>
      </c>
      <c r="L86" s="3">
        <v>4268.28</v>
      </c>
      <c r="M86" s="3">
        <v>1902.72</v>
      </c>
      <c r="N86" t="s">
        <v>149</v>
      </c>
      <c r="O86" t="s">
        <v>18</v>
      </c>
      <c r="P86" t="s">
        <v>19</v>
      </c>
      <c r="Q86" t="s">
        <v>25</v>
      </c>
    </row>
    <row r="87" spans="1:17" ht="17.45" customHeight="1" x14ac:dyDescent="0.2">
      <c r="A87" t="s">
        <v>724</v>
      </c>
      <c r="B87" t="s">
        <v>725</v>
      </c>
      <c r="C87" s="1">
        <f>DATE(2016,2,29)</f>
        <v>42429</v>
      </c>
      <c r="D87" s="1">
        <f>DATE(2016,2,29)</f>
        <v>42429</v>
      </c>
      <c r="E87" s="3">
        <v>1700</v>
      </c>
      <c r="F87" t="s">
        <v>20</v>
      </c>
      <c r="G87" s="2">
        <v>10</v>
      </c>
      <c r="H87" s="2">
        <v>0</v>
      </c>
      <c r="I87" s="1">
        <f t="shared" si="11"/>
        <v>44926</v>
      </c>
      <c r="J87" s="3">
        <v>14.13</v>
      </c>
      <c r="K87" s="3">
        <v>170</v>
      </c>
      <c r="L87" s="3">
        <v>1161.67</v>
      </c>
      <c r="M87" s="3">
        <v>538.33000000000004</v>
      </c>
      <c r="N87" t="s">
        <v>149</v>
      </c>
      <c r="O87" t="s">
        <v>18</v>
      </c>
      <c r="P87" t="s">
        <v>19</v>
      </c>
      <c r="Q87" t="s">
        <v>25</v>
      </c>
    </row>
    <row r="88" spans="1:17" ht="17.45" customHeight="1" x14ac:dyDescent="0.2">
      <c r="A88" t="s">
        <v>738</v>
      </c>
      <c r="B88" t="s">
        <v>739</v>
      </c>
      <c r="C88" s="1">
        <f>DATE(2016,3,31)</f>
        <v>42460</v>
      </c>
      <c r="D88" s="1">
        <f>DATE(2016,3,31)</f>
        <v>42460</v>
      </c>
      <c r="E88" s="3">
        <v>5319.33</v>
      </c>
      <c r="F88" t="s">
        <v>20</v>
      </c>
      <c r="G88" s="2">
        <v>10</v>
      </c>
      <c r="H88" s="2">
        <v>0</v>
      </c>
      <c r="I88" s="1">
        <f t="shared" si="11"/>
        <v>44926</v>
      </c>
      <c r="J88" s="3">
        <v>44.3</v>
      </c>
      <c r="K88" s="3">
        <v>531.92999999999995</v>
      </c>
      <c r="L88" s="3">
        <v>3590.53</v>
      </c>
      <c r="M88" s="3">
        <v>1728.8</v>
      </c>
      <c r="N88" t="s">
        <v>149</v>
      </c>
      <c r="O88" t="s">
        <v>18</v>
      </c>
      <c r="P88" t="s">
        <v>19</v>
      </c>
      <c r="Q88" t="s">
        <v>25</v>
      </c>
    </row>
    <row r="89" spans="1:17" ht="17.45" customHeight="1" x14ac:dyDescent="0.2">
      <c r="A89" t="s">
        <v>778</v>
      </c>
      <c r="B89" t="s">
        <v>779</v>
      </c>
      <c r="C89" s="1">
        <f>DATE(2016,4,30)</f>
        <v>42490</v>
      </c>
      <c r="D89" s="1">
        <f>DATE(2016,4,30)</f>
        <v>42490</v>
      </c>
      <c r="E89" s="3">
        <v>5751.69</v>
      </c>
      <c r="F89" t="s">
        <v>20</v>
      </c>
      <c r="G89" s="2">
        <v>5</v>
      </c>
      <c r="H89" s="2">
        <v>0</v>
      </c>
      <c r="I89" s="1">
        <f>DATE(2021,4,30)</f>
        <v>44316</v>
      </c>
      <c r="J89" s="3">
        <v>0</v>
      </c>
      <c r="K89" s="3">
        <v>0</v>
      </c>
      <c r="L89" s="3">
        <v>5751.69</v>
      </c>
      <c r="M89" s="3">
        <v>0</v>
      </c>
      <c r="N89" t="s">
        <v>149</v>
      </c>
      <c r="O89" t="s">
        <v>18</v>
      </c>
      <c r="P89" t="s">
        <v>19</v>
      </c>
      <c r="Q89" t="s">
        <v>25</v>
      </c>
    </row>
    <row r="90" spans="1:17" ht="17.45" customHeight="1" x14ac:dyDescent="0.2">
      <c r="A90" t="s">
        <v>782</v>
      </c>
      <c r="B90" t="s">
        <v>783</v>
      </c>
      <c r="C90" s="1">
        <f>DATE(2016,5,31)</f>
        <v>42521</v>
      </c>
      <c r="D90" s="1">
        <f>DATE(2016,5,31)</f>
        <v>42521</v>
      </c>
      <c r="E90" s="3">
        <v>44260.12</v>
      </c>
      <c r="F90" t="s">
        <v>20</v>
      </c>
      <c r="G90" s="2">
        <v>15</v>
      </c>
      <c r="H90" s="2">
        <v>0</v>
      </c>
      <c r="I90" s="1">
        <f t="shared" ref="I90:I121" si="13">DATE(2022,12,31)</f>
        <v>44926</v>
      </c>
      <c r="J90" s="3">
        <v>245.88</v>
      </c>
      <c r="K90" s="3">
        <v>2950.67</v>
      </c>
      <c r="L90" s="3">
        <v>19425.25</v>
      </c>
      <c r="M90" s="3">
        <v>24834.87</v>
      </c>
      <c r="N90" t="s">
        <v>24</v>
      </c>
      <c r="O90" t="s">
        <v>18</v>
      </c>
      <c r="P90" t="s">
        <v>19</v>
      </c>
      <c r="Q90" t="s">
        <v>25</v>
      </c>
    </row>
    <row r="91" spans="1:17" ht="17.45" customHeight="1" x14ac:dyDescent="0.2">
      <c r="A91" t="s">
        <v>790</v>
      </c>
      <c r="B91" t="s">
        <v>791</v>
      </c>
      <c r="C91" s="1">
        <f>DATE(2016,6,30)</f>
        <v>42551</v>
      </c>
      <c r="D91" s="1">
        <f>DATE(2016,6,30)</f>
        <v>42551</v>
      </c>
      <c r="E91" s="3">
        <v>1793.74</v>
      </c>
      <c r="F91" t="s">
        <v>20</v>
      </c>
      <c r="G91" s="2">
        <v>50</v>
      </c>
      <c r="H91" s="2">
        <v>0</v>
      </c>
      <c r="I91" s="1">
        <f t="shared" si="13"/>
        <v>44926</v>
      </c>
      <c r="J91" s="3">
        <v>2.98</v>
      </c>
      <c r="K91" s="3">
        <v>35.869999999999997</v>
      </c>
      <c r="L91" s="3">
        <v>233.16</v>
      </c>
      <c r="M91" s="3">
        <v>1560.58</v>
      </c>
      <c r="N91" t="s">
        <v>24</v>
      </c>
      <c r="O91" t="s">
        <v>18</v>
      </c>
      <c r="P91" t="s">
        <v>19</v>
      </c>
      <c r="Q91" t="s">
        <v>25</v>
      </c>
    </row>
    <row r="92" spans="1:17" ht="17.45" customHeight="1" x14ac:dyDescent="0.2">
      <c r="A92" t="s">
        <v>802</v>
      </c>
      <c r="B92" t="s">
        <v>803</v>
      </c>
      <c r="C92" s="1">
        <f>DATE(2016,9,30)</f>
        <v>42643</v>
      </c>
      <c r="D92" s="1">
        <f>DATE(2016,9,30)</f>
        <v>42643</v>
      </c>
      <c r="E92" s="3">
        <v>17837.59</v>
      </c>
      <c r="F92" t="s">
        <v>20</v>
      </c>
      <c r="G92" s="2">
        <v>20</v>
      </c>
      <c r="H92" s="2">
        <v>0</v>
      </c>
      <c r="I92" s="1">
        <f t="shared" si="13"/>
        <v>44926</v>
      </c>
      <c r="J92" s="3">
        <v>74.36</v>
      </c>
      <c r="K92" s="3">
        <v>891.88</v>
      </c>
      <c r="L92" s="3">
        <v>5574.25</v>
      </c>
      <c r="M92" s="3">
        <v>12263.34</v>
      </c>
      <c r="N92" t="s">
        <v>62</v>
      </c>
      <c r="O92" t="s">
        <v>18</v>
      </c>
      <c r="P92" t="s">
        <v>19</v>
      </c>
      <c r="Q92" t="s">
        <v>25</v>
      </c>
    </row>
    <row r="93" spans="1:17" ht="17.45" customHeight="1" x14ac:dyDescent="0.2">
      <c r="A93" t="s">
        <v>808</v>
      </c>
      <c r="B93" t="s">
        <v>809</v>
      </c>
      <c r="C93" s="1">
        <f>DATE(2016,12,31)</f>
        <v>42735</v>
      </c>
      <c r="D93" s="1">
        <f>DATE(2016,12,31)</f>
        <v>42735</v>
      </c>
      <c r="E93" s="3">
        <v>68094.42</v>
      </c>
      <c r="F93" t="s">
        <v>20</v>
      </c>
      <c r="G93" s="2">
        <v>50</v>
      </c>
      <c r="H93" s="2">
        <v>0</v>
      </c>
      <c r="I93" s="1">
        <f t="shared" si="13"/>
        <v>44926</v>
      </c>
      <c r="J93" s="3">
        <v>113.5</v>
      </c>
      <c r="K93" s="3">
        <v>1361.89</v>
      </c>
      <c r="L93" s="3">
        <v>8171.34</v>
      </c>
      <c r="M93" s="3">
        <v>59923.08</v>
      </c>
      <c r="N93" t="s">
        <v>24</v>
      </c>
      <c r="O93" t="s">
        <v>18</v>
      </c>
      <c r="P93" t="s">
        <v>19</v>
      </c>
      <c r="Q93" t="s">
        <v>25</v>
      </c>
    </row>
    <row r="94" spans="1:17" ht="17.45" customHeight="1" x14ac:dyDescent="0.2">
      <c r="A94" t="s">
        <v>810</v>
      </c>
      <c r="B94" t="s">
        <v>811</v>
      </c>
      <c r="C94" s="1">
        <f>DATE(2016,12,31)</f>
        <v>42735</v>
      </c>
      <c r="D94" s="1">
        <f>DATE(2016,12,31)</f>
        <v>42735</v>
      </c>
      <c r="E94" s="3">
        <v>3242.82</v>
      </c>
      <c r="F94" t="s">
        <v>20</v>
      </c>
      <c r="G94" s="2">
        <v>35</v>
      </c>
      <c r="H94" s="2">
        <v>0</v>
      </c>
      <c r="I94" s="1">
        <f t="shared" si="13"/>
        <v>44926</v>
      </c>
      <c r="J94" s="3">
        <v>7.73</v>
      </c>
      <c r="K94" s="3">
        <v>92.65</v>
      </c>
      <c r="L94" s="3">
        <v>555.9</v>
      </c>
      <c r="M94" s="3">
        <v>2686.92</v>
      </c>
      <c r="N94" t="s">
        <v>117</v>
      </c>
      <c r="O94" t="s">
        <v>18</v>
      </c>
      <c r="P94" t="s">
        <v>19</v>
      </c>
      <c r="Q94" t="s">
        <v>25</v>
      </c>
    </row>
    <row r="95" spans="1:17" ht="17.45" customHeight="1" x14ac:dyDescent="0.2">
      <c r="A95" t="s">
        <v>832</v>
      </c>
      <c r="B95" t="s">
        <v>833</v>
      </c>
      <c r="C95" s="1">
        <f>DATE(2017,3,31)</f>
        <v>42825</v>
      </c>
      <c r="D95" s="1">
        <f>DATE(2017,3,31)</f>
        <v>42825</v>
      </c>
      <c r="E95" s="3">
        <v>20276.830000000002</v>
      </c>
      <c r="F95" t="s">
        <v>20</v>
      </c>
      <c r="G95" s="2">
        <v>10</v>
      </c>
      <c r="H95" s="2">
        <v>0</v>
      </c>
      <c r="I95" s="1">
        <f t="shared" si="13"/>
        <v>44926</v>
      </c>
      <c r="J95" s="3">
        <v>169.01</v>
      </c>
      <c r="K95" s="3">
        <v>2027.68</v>
      </c>
      <c r="L95" s="3">
        <v>11659.16</v>
      </c>
      <c r="M95" s="3">
        <v>8617.67</v>
      </c>
      <c r="N95" t="s">
        <v>149</v>
      </c>
      <c r="O95" t="s">
        <v>18</v>
      </c>
      <c r="P95" t="s">
        <v>19</v>
      </c>
      <c r="Q95" t="s">
        <v>25</v>
      </c>
    </row>
    <row r="96" spans="1:17" ht="17.45" customHeight="1" x14ac:dyDescent="0.2">
      <c r="A96" t="s">
        <v>846</v>
      </c>
      <c r="B96" t="s">
        <v>847</v>
      </c>
      <c r="C96" s="1">
        <f>DATE(2017,10,31)</f>
        <v>43039</v>
      </c>
      <c r="D96" s="1">
        <f>DATE(2017,10,31)</f>
        <v>43039</v>
      </c>
      <c r="E96" s="3">
        <v>23557.06</v>
      </c>
      <c r="F96" t="s">
        <v>20</v>
      </c>
      <c r="G96" s="2">
        <v>20</v>
      </c>
      <c r="H96" s="2">
        <v>0</v>
      </c>
      <c r="I96" s="1">
        <f t="shared" si="13"/>
        <v>44926</v>
      </c>
      <c r="J96" s="3">
        <v>98.2</v>
      </c>
      <c r="K96" s="3">
        <v>1177.8499999999999</v>
      </c>
      <c r="L96" s="3">
        <v>6085.56</v>
      </c>
      <c r="M96" s="3">
        <v>17471.5</v>
      </c>
      <c r="N96" t="s">
        <v>62</v>
      </c>
      <c r="O96" t="s">
        <v>18</v>
      </c>
      <c r="P96" t="s">
        <v>19</v>
      </c>
      <c r="Q96" t="s">
        <v>25</v>
      </c>
    </row>
    <row r="97" spans="1:17" ht="17.45" customHeight="1" x14ac:dyDescent="0.2">
      <c r="A97" t="s">
        <v>852</v>
      </c>
      <c r="B97" t="s">
        <v>853</v>
      </c>
      <c r="C97" s="1">
        <f>DATE(2017,12,31)</f>
        <v>43100</v>
      </c>
      <c r="D97" s="1">
        <f>DATE(2017,12,31)</f>
        <v>43100</v>
      </c>
      <c r="E97" s="3">
        <v>21243.02</v>
      </c>
      <c r="F97" t="s">
        <v>20</v>
      </c>
      <c r="G97" s="2">
        <v>50</v>
      </c>
      <c r="H97" s="2">
        <v>0</v>
      </c>
      <c r="I97" s="1">
        <f t="shared" si="13"/>
        <v>44926</v>
      </c>
      <c r="J97" s="3">
        <v>35.35</v>
      </c>
      <c r="K97" s="3">
        <v>424.86</v>
      </c>
      <c r="L97" s="3">
        <v>2124.3000000000002</v>
      </c>
      <c r="M97" s="3">
        <v>19118.72</v>
      </c>
      <c r="N97" t="s">
        <v>24</v>
      </c>
      <c r="O97" t="s">
        <v>18</v>
      </c>
      <c r="P97" t="s">
        <v>19</v>
      </c>
      <c r="Q97" t="s">
        <v>25</v>
      </c>
    </row>
    <row r="98" spans="1:17" ht="17.45" customHeight="1" x14ac:dyDescent="0.2">
      <c r="A98" t="s">
        <v>870</v>
      </c>
      <c r="B98" t="s">
        <v>871</v>
      </c>
      <c r="C98" s="1">
        <f>DATE(2018,3,31)</f>
        <v>43190</v>
      </c>
      <c r="D98" s="1">
        <f>DATE(2018,3,31)</f>
        <v>43190</v>
      </c>
      <c r="E98" s="3">
        <v>14578</v>
      </c>
      <c r="F98" t="s">
        <v>20</v>
      </c>
      <c r="G98" s="2">
        <v>10</v>
      </c>
      <c r="H98" s="2">
        <v>0</v>
      </c>
      <c r="I98" s="1">
        <f t="shared" si="13"/>
        <v>44926</v>
      </c>
      <c r="J98" s="3">
        <v>121.52</v>
      </c>
      <c r="K98" s="3">
        <v>1457.8</v>
      </c>
      <c r="L98" s="3">
        <v>6924.55</v>
      </c>
      <c r="M98" s="3">
        <v>7653.45</v>
      </c>
      <c r="N98" t="s">
        <v>149</v>
      </c>
      <c r="O98" t="s">
        <v>18</v>
      </c>
      <c r="P98" t="s">
        <v>19</v>
      </c>
      <c r="Q98" t="s">
        <v>25</v>
      </c>
    </row>
    <row r="99" spans="1:17" ht="17.45" customHeight="1" x14ac:dyDescent="0.2">
      <c r="A99" t="s">
        <v>874</v>
      </c>
      <c r="B99" t="s">
        <v>875</v>
      </c>
      <c r="C99" s="1">
        <f>DATE(2018,8,31)</f>
        <v>43343</v>
      </c>
      <c r="D99" s="1">
        <f>DATE(2018,8,31)</f>
        <v>43343</v>
      </c>
      <c r="E99" s="3">
        <v>3716.31</v>
      </c>
      <c r="F99" t="s">
        <v>20</v>
      </c>
      <c r="G99" s="2">
        <v>10</v>
      </c>
      <c r="H99" s="2">
        <v>0</v>
      </c>
      <c r="I99" s="1">
        <f t="shared" si="13"/>
        <v>44926</v>
      </c>
      <c r="J99" s="3">
        <v>30.96</v>
      </c>
      <c r="K99" s="3">
        <v>371.63</v>
      </c>
      <c r="L99" s="3">
        <v>1610.4</v>
      </c>
      <c r="M99" s="3">
        <v>2105.91</v>
      </c>
      <c r="N99" t="s">
        <v>62</v>
      </c>
      <c r="O99" t="s">
        <v>18</v>
      </c>
      <c r="P99" t="s">
        <v>19</v>
      </c>
      <c r="Q99" t="s">
        <v>25</v>
      </c>
    </row>
    <row r="100" spans="1:17" ht="17.45" customHeight="1" x14ac:dyDescent="0.2">
      <c r="A100" t="s">
        <v>882</v>
      </c>
      <c r="B100" t="s">
        <v>883</v>
      </c>
      <c r="C100" s="1">
        <f>DATE(2018,10,31)</f>
        <v>43404</v>
      </c>
      <c r="D100" s="1">
        <f>DATE(2018,10,31)</f>
        <v>43404</v>
      </c>
      <c r="E100" s="3">
        <v>9816</v>
      </c>
      <c r="F100" t="s">
        <v>20</v>
      </c>
      <c r="G100" s="2">
        <v>10</v>
      </c>
      <c r="H100" s="2">
        <v>0</v>
      </c>
      <c r="I100" s="1">
        <f t="shared" si="13"/>
        <v>44926</v>
      </c>
      <c r="J100" s="3">
        <v>81.8</v>
      </c>
      <c r="K100" s="3">
        <v>981.6</v>
      </c>
      <c r="L100" s="3">
        <v>4090</v>
      </c>
      <c r="M100" s="3">
        <v>5726</v>
      </c>
      <c r="N100" t="s">
        <v>149</v>
      </c>
      <c r="O100" t="s">
        <v>18</v>
      </c>
      <c r="P100" t="s">
        <v>19</v>
      </c>
      <c r="Q100" t="s">
        <v>25</v>
      </c>
    </row>
    <row r="101" spans="1:17" ht="17.45" customHeight="1" x14ac:dyDescent="0.2">
      <c r="A101" t="s">
        <v>910</v>
      </c>
      <c r="B101" t="s">
        <v>911</v>
      </c>
      <c r="C101" s="1">
        <f>DATE(2019,4,30)</f>
        <v>43585</v>
      </c>
      <c r="D101" s="1">
        <f>DATE(2019,4,30)</f>
        <v>43585</v>
      </c>
      <c r="E101" s="3">
        <v>7444.2</v>
      </c>
      <c r="F101" t="s">
        <v>20</v>
      </c>
      <c r="G101" s="2">
        <v>10</v>
      </c>
      <c r="H101" s="2">
        <v>0</v>
      </c>
      <c r="I101" s="1">
        <f t="shared" si="13"/>
        <v>44926</v>
      </c>
      <c r="J101" s="3">
        <v>61.98</v>
      </c>
      <c r="K101" s="3">
        <v>744.42</v>
      </c>
      <c r="L101" s="3">
        <v>2729.54</v>
      </c>
      <c r="M101" s="3">
        <v>4714.66</v>
      </c>
      <c r="N101" t="s">
        <v>149</v>
      </c>
      <c r="O101" t="s">
        <v>18</v>
      </c>
      <c r="P101" t="s">
        <v>19</v>
      </c>
      <c r="Q101" t="s">
        <v>25</v>
      </c>
    </row>
    <row r="102" spans="1:17" ht="17.45" customHeight="1" x14ac:dyDescent="0.2">
      <c r="A102" t="s">
        <v>912</v>
      </c>
      <c r="B102" t="s">
        <v>913</v>
      </c>
      <c r="C102" s="1">
        <f>DATE(2019,4,30)</f>
        <v>43585</v>
      </c>
      <c r="D102" s="1">
        <f>DATE(2019,4,30)</f>
        <v>43585</v>
      </c>
      <c r="E102" s="3">
        <v>17703.86</v>
      </c>
      <c r="F102" t="s">
        <v>20</v>
      </c>
      <c r="G102" s="2">
        <v>10</v>
      </c>
      <c r="H102" s="2">
        <v>0</v>
      </c>
      <c r="I102" s="1">
        <f t="shared" si="13"/>
        <v>44926</v>
      </c>
      <c r="J102" s="3">
        <v>147.56</v>
      </c>
      <c r="K102" s="3">
        <v>1770.39</v>
      </c>
      <c r="L102" s="3">
        <v>6491.43</v>
      </c>
      <c r="M102" s="3">
        <v>11212.43</v>
      </c>
      <c r="N102" t="s">
        <v>62</v>
      </c>
      <c r="O102" t="s">
        <v>18</v>
      </c>
      <c r="P102" t="s">
        <v>19</v>
      </c>
      <c r="Q102" t="s">
        <v>25</v>
      </c>
    </row>
    <row r="103" spans="1:17" ht="17.45" customHeight="1" x14ac:dyDescent="0.2">
      <c r="A103" t="s">
        <v>918</v>
      </c>
      <c r="B103" t="s">
        <v>919</v>
      </c>
      <c r="C103" s="1">
        <f>DATE(2019,5,31)</f>
        <v>43616</v>
      </c>
      <c r="D103" s="1">
        <f>DATE(2019,5,31)</f>
        <v>43616</v>
      </c>
      <c r="E103" s="3">
        <v>3765</v>
      </c>
      <c r="F103" t="s">
        <v>20</v>
      </c>
      <c r="G103" s="2">
        <v>10</v>
      </c>
      <c r="H103" s="2">
        <v>0</v>
      </c>
      <c r="I103" s="1">
        <f t="shared" si="13"/>
        <v>44926</v>
      </c>
      <c r="J103" s="3">
        <v>31.32</v>
      </c>
      <c r="K103" s="3">
        <v>376.5</v>
      </c>
      <c r="L103" s="3">
        <v>1349.13</v>
      </c>
      <c r="M103" s="3">
        <v>2415.87</v>
      </c>
      <c r="N103" t="s">
        <v>149</v>
      </c>
      <c r="O103" t="s">
        <v>18</v>
      </c>
      <c r="P103" t="s">
        <v>19</v>
      </c>
      <c r="Q103" t="s">
        <v>25</v>
      </c>
    </row>
    <row r="104" spans="1:17" ht="17.45" customHeight="1" x14ac:dyDescent="0.2">
      <c r="A104" t="s">
        <v>932</v>
      </c>
      <c r="B104" t="s">
        <v>933</v>
      </c>
      <c r="C104" s="1">
        <f>DATE(2019,9,30)</f>
        <v>43738</v>
      </c>
      <c r="D104" s="1">
        <f>DATE(2019,9,30)</f>
        <v>43738</v>
      </c>
      <c r="E104" s="3">
        <v>1993</v>
      </c>
      <c r="F104" t="s">
        <v>20</v>
      </c>
      <c r="G104" s="2">
        <v>10</v>
      </c>
      <c r="H104" s="2">
        <v>0</v>
      </c>
      <c r="I104" s="1">
        <f t="shared" si="13"/>
        <v>44926</v>
      </c>
      <c r="J104" s="3">
        <v>16.59</v>
      </c>
      <c r="K104" s="3">
        <v>199.3</v>
      </c>
      <c r="L104" s="3">
        <v>647.73</v>
      </c>
      <c r="M104" s="3">
        <v>1345.27</v>
      </c>
      <c r="N104" t="s">
        <v>149</v>
      </c>
      <c r="O104" t="s">
        <v>18</v>
      </c>
      <c r="P104" t="s">
        <v>19</v>
      </c>
      <c r="Q104" t="s">
        <v>25</v>
      </c>
    </row>
    <row r="105" spans="1:17" ht="17.45" customHeight="1" x14ac:dyDescent="0.2">
      <c r="A105" t="s">
        <v>936</v>
      </c>
      <c r="B105" t="s">
        <v>937</v>
      </c>
      <c r="C105" s="1">
        <f>DATE(2019,11,30)</f>
        <v>43799</v>
      </c>
      <c r="D105" s="1">
        <f>DATE(2019,11,30)</f>
        <v>43799</v>
      </c>
      <c r="E105" s="3">
        <v>271831.98</v>
      </c>
      <c r="F105" t="s">
        <v>20</v>
      </c>
      <c r="G105" s="2">
        <v>10</v>
      </c>
      <c r="H105" s="2">
        <v>0</v>
      </c>
      <c r="I105" s="1">
        <f t="shared" si="13"/>
        <v>44926</v>
      </c>
      <c r="J105" s="3">
        <v>2265.2399999999998</v>
      </c>
      <c r="K105" s="3">
        <v>27183.200000000001</v>
      </c>
      <c r="L105" s="3">
        <v>83814.87</v>
      </c>
      <c r="M105" s="3">
        <v>188017.11</v>
      </c>
      <c r="N105" t="s">
        <v>149</v>
      </c>
      <c r="O105" t="s">
        <v>18</v>
      </c>
      <c r="P105" t="s">
        <v>19</v>
      </c>
      <c r="Q105" t="s">
        <v>25</v>
      </c>
    </row>
    <row r="106" spans="1:17" ht="17.45" customHeight="1" x14ac:dyDescent="0.2">
      <c r="A106" t="s">
        <v>942</v>
      </c>
      <c r="B106" t="s">
        <v>943</v>
      </c>
      <c r="C106" s="1">
        <f>DATE(2019,12,31)</f>
        <v>43830</v>
      </c>
      <c r="D106" s="1">
        <f>DATE(2019,12,31)</f>
        <v>43830</v>
      </c>
      <c r="E106" s="3">
        <v>155352.5</v>
      </c>
      <c r="F106" t="s">
        <v>20</v>
      </c>
      <c r="G106" s="2">
        <v>50</v>
      </c>
      <c r="H106" s="2">
        <v>0</v>
      </c>
      <c r="I106" s="1">
        <f t="shared" si="13"/>
        <v>44926</v>
      </c>
      <c r="J106" s="3">
        <v>258.93</v>
      </c>
      <c r="K106" s="3">
        <v>3107.05</v>
      </c>
      <c r="L106" s="3">
        <v>9321.15</v>
      </c>
      <c r="M106" s="3">
        <v>146031.35</v>
      </c>
      <c r="N106" t="s">
        <v>24</v>
      </c>
      <c r="O106" t="s">
        <v>18</v>
      </c>
      <c r="P106" t="s">
        <v>19</v>
      </c>
      <c r="Q106" t="s">
        <v>25</v>
      </c>
    </row>
    <row r="107" spans="1:17" ht="17.45" customHeight="1" x14ac:dyDescent="0.2">
      <c r="A107" t="s">
        <v>952</v>
      </c>
      <c r="B107" t="s">
        <v>953</v>
      </c>
      <c r="C107" s="1">
        <f t="shared" ref="C107:D112" si="14">DATE(2020,2,29)</f>
        <v>43890</v>
      </c>
      <c r="D107" s="1">
        <f t="shared" si="14"/>
        <v>43890</v>
      </c>
      <c r="E107" s="3">
        <v>2085</v>
      </c>
      <c r="F107" t="s">
        <v>20</v>
      </c>
      <c r="G107" s="2">
        <v>5</v>
      </c>
      <c r="H107" s="2">
        <v>0</v>
      </c>
      <c r="I107" s="1">
        <f t="shared" si="13"/>
        <v>44926</v>
      </c>
      <c r="J107" s="3">
        <v>34.75</v>
      </c>
      <c r="K107" s="3">
        <v>417</v>
      </c>
      <c r="L107" s="3">
        <v>1181.5</v>
      </c>
      <c r="M107" s="3">
        <v>903.5</v>
      </c>
      <c r="N107" t="s">
        <v>149</v>
      </c>
      <c r="O107" t="s">
        <v>18</v>
      </c>
      <c r="P107" t="s">
        <v>19</v>
      </c>
      <c r="Q107" t="s">
        <v>25</v>
      </c>
    </row>
    <row r="108" spans="1:17" ht="17.45" customHeight="1" x14ac:dyDescent="0.2">
      <c r="A108" t="s">
        <v>956</v>
      </c>
      <c r="B108" t="s">
        <v>957</v>
      </c>
      <c r="C108" s="1">
        <f t="shared" si="14"/>
        <v>43890</v>
      </c>
      <c r="D108" s="1">
        <f t="shared" si="14"/>
        <v>43890</v>
      </c>
      <c r="E108" s="3">
        <v>1835.18</v>
      </c>
      <c r="F108" t="s">
        <v>20</v>
      </c>
      <c r="G108" s="2">
        <v>20</v>
      </c>
      <c r="H108" s="2">
        <v>0</v>
      </c>
      <c r="I108" s="1">
        <f t="shared" si="13"/>
        <v>44926</v>
      </c>
      <c r="J108" s="3">
        <v>7.61</v>
      </c>
      <c r="K108" s="3">
        <v>91.76</v>
      </c>
      <c r="L108" s="3">
        <v>259.99</v>
      </c>
      <c r="M108" s="3">
        <v>1575.19</v>
      </c>
      <c r="N108" t="s">
        <v>140</v>
      </c>
      <c r="O108" t="s">
        <v>18</v>
      </c>
      <c r="P108" t="s">
        <v>19</v>
      </c>
      <c r="Q108" t="s">
        <v>25</v>
      </c>
    </row>
    <row r="109" spans="1:17" ht="17.45" customHeight="1" x14ac:dyDescent="0.2">
      <c r="A109" t="s">
        <v>962</v>
      </c>
      <c r="B109" t="s">
        <v>963</v>
      </c>
      <c r="C109" s="1">
        <f t="shared" si="14"/>
        <v>43890</v>
      </c>
      <c r="D109" s="1">
        <f t="shared" si="14"/>
        <v>43890</v>
      </c>
      <c r="E109" s="3">
        <v>53211.12</v>
      </c>
      <c r="F109" t="s">
        <v>20</v>
      </c>
      <c r="G109" s="2">
        <v>20</v>
      </c>
      <c r="H109" s="2">
        <v>0</v>
      </c>
      <c r="I109" s="1">
        <f t="shared" si="13"/>
        <v>44926</v>
      </c>
      <c r="J109" s="3">
        <v>221.75</v>
      </c>
      <c r="K109" s="3">
        <v>2660.56</v>
      </c>
      <c r="L109" s="3">
        <v>7538.25</v>
      </c>
      <c r="M109" s="3">
        <v>45672.87</v>
      </c>
      <c r="N109" t="s">
        <v>140</v>
      </c>
      <c r="O109" t="s">
        <v>18</v>
      </c>
      <c r="P109" t="s">
        <v>19</v>
      </c>
      <c r="Q109" t="s">
        <v>25</v>
      </c>
    </row>
    <row r="110" spans="1:17" ht="17.45" customHeight="1" x14ac:dyDescent="0.2">
      <c r="A110" t="s">
        <v>968</v>
      </c>
      <c r="B110" t="s">
        <v>969</v>
      </c>
      <c r="C110" s="1">
        <f t="shared" si="14"/>
        <v>43890</v>
      </c>
      <c r="D110" s="1">
        <f t="shared" si="14"/>
        <v>43890</v>
      </c>
      <c r="E110" s="3">
        <v>115718.44</v>
      </c>
      <c r="F110" t="s">
        <v>20</v>
      </c>
      <c r="G110" s="2">
        <v>10</v>
      </c>
      <c r="H110" s="2">
        <v>0</v>
      </c>
      <c r="I110" s="1">
        <f t="shared" si="13"/>
        <v>44926</v>
      </c>
      <c r="J110" s="3">
        <v>964.32</v>
      </c>
      <c r="K110" s="3">
        <v>11571.84</v>
      </c>
      <c r="L110" s="3">
        <v>32786.879999999997</v>
      </c>
      <c r="M110" s="3">
        <v>82931.56</v>
      </c>
      <c r="N110" t="s">
        <v>149</v>
      </c>
      <c r="O110" t="s">
        <v>18</v>
      </c>
      <c r="P110" t="s">
        <v>19</v>
      </c>
      <c r="Q110" t="s">
        <v>25</v>
      </c>
    </row>
    <row r="111" spans="1:17" ht="17.45" customHeight="1" x14ac:dyDescent="0.2">
      <c r="A111" t="s">
        <v>970</v>
      </c>
      <c r="B111" t="s">
        <v>971</v>
      </c>
      <c r="C111" s="1">
        <f t="shared" si="14"/>
        <v>43890</v>
      </c>
      <c r="D111" s="1">
        <f t="shared" si="14"/>
        <v>43890</v>
      </c>
      <c r="E111" s="3">
        <v>120698.73</v>
      </c>
      <c r="F111" t="s">
        <v>20</v>
      </c>
      <c r="G111" s="2">
        <v>35</v>
      </c>
      <c r="H111" s="2">
        <v>0</v>
      </c>
      <c r="I111" s="1">
        <f t="shared" si="13"/>
        <v>44926</v>
      </c>
      <c r="J111" s="3">
        <v>287.36</v>
      </c>
      <c r="K111" s="3">
        <v>3448.54</v>
      </c>
      <c r="L111" s="3">
        <v>9770.86</v>
      </c>
      <c r="M111" s="3">
        <v>110927.87</v>
      </c>
      <c r="N111" t="s">
        <v>117</v>
      </c>
      <c r="O111" t="s">
        <v>18</v>
      </c>
      <c r="P111" t="s">
        <v>19</v>
      </c>
      <c r="Q111" t="s">
        <v>25</v>
      </c>
    </row>
    <row r="112" spans="1:17" ht="17.45" customHeight="1" x14ac:dyDescent="0.2">
      <c r="A112" t="s">
        <v>972</v>
      </c>
      <c r="B112" t="s">
        <v>973</v>
      </c>
      <c r="C112" s="1">
        <f t="shared" si="14"/>
        <v>43890</v>
      </c>
      <c r="D112" s="1">
        <f t="shared" si="14"/>
        <v>43890</v>
      </c>
      <c r="E112" s="3">
        <v>99005.85</v>
      </c>
      <c r="F112" t="s">
        <v>20</v>
      </c>
      <c r="G112" s="2">
        <v>40</v>
      </c>
      <c r="H112" s="2">
        <v>0</v>
      </c>
      <c r="I112" s="1">
        <f t="shared" si="13"/>
        <v>44926</v>
      </c>
      <c r="J112" s="3">
        <v>206.29</v>
      </c>
      <c r="K112" s="3">
        <v>2475.15</v>
      </c>
      <c r="L112" s="3">
        <v>7012.92</v>
      </c>
      <c r="M112" s="3">
        <v>91992.93</v>
      </c>
      <c r="N112" t="s">
        <v>42</v>
      </c>
      <c r="O112" t="s">
        <v>18</v>
      </c>
      <c r="P112" t="s">
        <v>19</v>
      </c>
      <c r="Q112" t="s">
        <v>25</v>
      </c>
    </row>
    <row r="113" spans="1:17" ht="17.45" customHeight="1" x14ac:dyDescent="0.2">
      <c r="A113" t="s">
        <v>990</v>
      </c>
      <c r="B113" t="s">
        <v>991</v>
      </c>
      <c r="C113" s="1">
        <f t="shared" ref="C113:D115" si="15">DATE(2020,3,31)</f>
        <v>43921</v>
      </c>
      <c r="D113" s="1">
        <f t="shared" si="15"/>
        <v>43921</v>
      </c>
      <c r="E113" s="3">
        <v>12144.94</v>
      </c>
      <c r="F113" t="s">
        <v>20</v>
      </c>
      <c r="G113" s="2">
        <v>5</v>
      </c>
      <c r="H113" s="2">
        <v>0</v>
      </c>
      <c r="I113" s="1">
        <f t="shared" si="13"/>
        <v>44926</v>
      </c>
      <c r="J113" s="3">
        <v>202.37</v>
      </c>
      <c r="K113" s="3">
        <v>2428.9899999999998</v>
      </c>
      <c r="L113" s="3">
        <v>6679.72</v>
      </c>
      <c r="M113" s="3">
        <v>5465.22</v>
      </c>
      <c r="N113" t="s">
        <v>24</v>
      </c>
      <c r="O113" t="s">
        <v>18</v>
      </c>
      <c r="P113" t="s">
        <v>19</v>
      </c>
      <c r="Q113" t="s">
        <v>25</v>
      </c>
    </row>
    <row r="114" spans="1:17" ht="17.45" customHeight="1" x14ac:dyDescent="0.2">
      <c r="A114" t="s">
        <v>992</v>
      </c>
      <c r="B114" t="s">
        <v>993</v>
      </c>
      <c r="C114" s="1">
        <f t="shared" si="15"/>
        <v>43921</v>
      </c>
      <c r="D114" s="1">
        <f t="shared" si="15"/>
        <v>43921</v>
      </c>
      <c r="E114" s="3">
        <v>70397.8</v>
      </c>
      <c r="F114" t="s">
        <v>20</v>
      </c>
      <c r="G114" s="2">
        <v>50</v>
      </c>
      <c r="H114" s="2">
        <v>0</v>
      </c>
      <c r="I114" s="1">
        <f t="shared" si="13"/>
        <v>44926</v>
      </c>
      <c r="J114" s="3">
        <v>117.33</v>
      </c>
      <c r="K114" s="3">
        <v>1407.96</v>
      </c>
      <c r="L114" s="3">
        <v>3871.89</v>
      </c>
      <c r="M114" s="3">
        <v>66525.91</v>
      </c>
      <c r="N114" t="s">
        <v>24</v>
      </c>
      <c r="O114" t="s">
        <v>18</v>
      </c>
      <c r="P114" t="s">
        <v>19</v>
      </c>
      <c r="Q114" t="s">
        <v>25</v>
      </c>
    </row>
    <row r="115" spans="1:17" ht="17.45" customHeight="1" x14ac:dyDescent="0.2">
      <c r="A115" t="s">
        <v>994</v>
      </c>
      <c r="B115" t="s">
        <v>995</v>
      </c>
      <c r="C115" s="1">
        <f t="shared" si="15"/>
        <v>43921</v>
      </c>
      <c r="D115" s="1">
        <f t="shared" si="15"/>
        <v>43921</v>
      </c>
      <c r="E115" s="3">
        <v>241762.1</v>
      </c>
      <c r="F115" t="s">
        <v>20</v>
      </c>
      <c r="G115" s="2">
        <v>10</v>
      </c>
      <c r="H115" s="2">
        <v>0</v>
      </c>
      <c r="I115" s="1">
        <f t="shared" si="13"/>
        <v>44926</v>
      </c>
      <c r="J115" s="3">
        <v>2014.73</v>
      </c>
      <c r="K115" s="3">
        <v>24176.21</v>
      </c>
      <c r="L115" s="3">
        <v>66484.58</v>
      </c>
      <c r="M115" s="3">
        <v>175277.52</v>
      </c>
      <c r="N115" t="s">
        <v>149</v>
      </c>
      <c r="O115" t="s">
        <v>18</v>
      </c>
      <c r="P115" t="s">
        <v>19</v>
      </c>
      <c r="Q115" t="s">
        <v>25</v>
      </c>
    </row>
    <row r="116" spans="1:17" ht="17.45" customHeight="1" x14ac:dyDescent="0.2">
      <c r="A116" t="s">
        <v>1016</v>
      </c>
      <c r="B116" t="s">
        <v>1017</v>
      </c>
      <c r="C116" s="1">
        <f>DATE(2021,2,28)</f>
        <v>44255</v>
      </c>
      <c r="D116" s="1">
        <f>DATE(2021,2,28)</f>
        <v>44255</v>
      </c>
      <c r="E116" s="3">
        <v>2179.71</v>
      </c>
      <c r="F116" t="s">
        <v>20</v>
      </c>
      <c r="G116" s="2">
        <v>10</v>
      </c>
      <c r="H116" s="2">
        <v>0</v>
      </c>
      <c r="I116" s="1">
        <f t="shared" si="13"/>
        <v>44926</v>
      </c>
      <c r="J116" s="3">
        <v>18.21</v>
      </c>
      <c r="K116" s="3">
        <v>217.97</v>
      </c>
      <c r="L116" s="3">
        <v>399.61</v>
      </c>
      <c r="M116" s="3">
        <v>1780.1</v>
      </c>
      <c r="N116" t="s">
        <v>149</v>
      </c>
      <c r="O116" t="s">
        <v>18</v>
      </c>
      <c r="P116" t="s">
        <v>19</v>
      </c>
      <c r="Q116" t="s">
        <v>25</v>
      </c>
    </row>
    <row r="117" spans="1:17" ht="17.45" customHeight="1" x14ac:dyDescent="0.2">
      <c r="A117" t="s">
        <v>1038</v>
      </c>
      <c r="B117" t="s">
        <v>1039</v>
      </c>
      <c r="C117" s="1">
        <f>DATE(2021,11,30)</f>
        <v>44530</v>
      </c>
      <c r="D117" s="1">
        <f>DATE(2021,11,30)</f>
        <v>44530</v>
      </c>
      <c r="E117" s="3">
        <v>21815.54</v>
      </c>
      <c r="F117" t="s">
        <v>20</v>
      </c>
      <c r="G117" s="2">
        <v>10</v>
      </c>
      <c r="H117" s="2">
        <v>0</v>
      </c>
      <c r="I117" s="1">
        <f t="shared" si="13"/>
        <v>44926</v>
      </c>
      <c r="J117" s="3">
        <v>181.75</v>
      </c>
      <c r="K117" s="3">
        <v>2181.5500000000002</v>
      </c>
      <c r="L117" s="3">
        <v>2363.35</v>
      </c>
      <c r="M117" s="3">
        <v>19452.189999999999</v>
      </c>
      <c r="N117" t="s">
        <v>62</v>
      </c>
      <c r="O117" t="s">
        <v>18</v>
      </c>
      <c r="P117" t="s">
        <v>19</v>
      </c>
      <c r="Q117" t="s">
        <v>25</v>
      </c>
    </row>
    <row r="118" spans="1:17" ht="17.45" customHeight="1" x14ac:dyDescent="0.2">
      <c r="A118" t="s">
        <v>1070</v>
      </c>
      <c r="B118" t="s">
        <v>1071</v>
      </c>
      <c r="C118" s="1">
        <f>DATE(2022,5,31)</f>
        <v>44712</v>
      </c>
      <c r="D118" s="1">
        <f>DATE(2022,5,31)</f>
        <v>44712</v>
      </c>
      <c r="E118" s="3">
        <v>16850</v>
      </c>
      <c r="F118" t="s">
        <v>20</v>
      </c>
      <c r="G118" s="2">
        <v>5</v>
      </c>
      <c r="H118" s="2">
        <v>0</v>
      </c>
      <c r="I118" s="1">
        <f t="shared" si="13"/>
        <v>44926</v>
      </c>
      <c r="J118" s="3">
        <v>280.85000000000002</v>
      </c>
      <c r="K118" s="3">
        <v>1965.83</v>
      </c>
      <c r="L118" s="3">
        <v>1965.83</v>
      </c>
      <c r="M118" s="3">
        <v>14884.17</v>
      </c>
      <c r="N118" t="s">
        <v>149</v>
      </c>
      <c r="O118" t="s">
        <v>18</v>
      </c>
      <c r="P118" t="s">
        <v>19</v>
      </c>
      <c r="Q118" t="s">
        <v>25</v>
      </c>
    </row>
    <row r="119" spans="1:17" ht="17.45" customHeight="1" x14ac:dyDescent="0.2">
      <c r="A119" t="s">
        <v>1074</v>
      </c>
      <c r="B119" t="s">
        <v>1075</v>
      </c>
      <c r="C119" s="1">
        <f>DATE(2022,6,30)</f>
        <v>44742</v>
      </c>
      <c r="D119" s="1">
        <f>DATE(2022,6,30)</f>
        <v>44742</v>
      </c>
      <c r="E119" s="3">
        <v>19500</v>
      </c>
      <c r="F119" t="s">
        <v>20</v>
      </c>
      <c r="G119" s="2">
        <v>10</v>
      </c>
      <c r="H119" s="2">
        <v>0</v>
      </c>
      <c r="I119" s="1">
        <f t="shared" si="13"/>
        <v>44926</v>
      </c>
      <c r="J119" s="3">
        <v>162.5</v>
      </c>
      <c r="K119" s="3">
        <v>975</v>
      </c>
      <c r="L119" s="3">
        <v>975</v>
      </c>
      <c r="M119" s="3">
        <v>18525</v>
      </c>
      <c r="N119" t="s">
        <v>149</v>
      </c>
      <c r="O119" t="s">
        <v>18</v>
      </c>
      <c r="P119" t="s">
        <v>19</v>
      </c>
      <c r="Q119" t="s">
        <v>25</v>
      </c>
    </row>
    <row r="120" spans="1:17" ht="17.45" customHeight="1" x14ac:dyDescent="0.2">
      <c r="A120" t="s">
        <v>1076</v>
      </c>
      <c r="B120" t="s">
        <v>1077</v>
      </c>
      <c r="C120" s="1">
        <f>DATE(2022,6,30)</f>
        <v>44742</v>
      </c>
      <c r="D120" s="1">
        <f>DATE(2022,6,30)</f>
        <v>44742</v>
      </c>
      <c r="E120" s="3">
        <v>5000</v>
      </c>
      <c r="F120" t="s">
        <v>20</v>
      </c>
      <c r="G120" s="2">
        <v>5</v>
      </c>
      <c r="H120" s="2">
        <v>0</v>
      </c>
      <c r="I120" s="1">
        <f t="shared" si="13"/>
        <v>44926</v>
      </c>
      <c r="J120" s="3">
        <v>83.35</v>
      </c>
      <c r="K120" s="3">
        <v>500</v>
      </c>
      <c r="L120" s="3">
        <v>500</v>
      </c>
      <c r="M120" s="3">
        <v>4500</v>
      </c>
      <c r="N120" t="s">
        <v>149</v>
      </c>
      <c r="O120" t="s">
        <v>18</v>
      </c>
      <c r="P120" t="s">
        <v>19</v>
      </c>
      <c r="Q120" t="s">
        <v>25</v>
      </c>
    </row>
    <row r="121" spans="1:17" ht="17.45" customHeight="1" x14ac:dyDescent="0.2">
      <c r="A121" t="s">
        <v>1134</v>
      </c>
      <c r="B121" t="s">
        <v>1135</v>
      </c>
      <c r="C121" s="1">
        <f>DATE(2018,5,31)</f>
        <v>43251</v>
      </c>
      <c r="D121" s="1">
        <f>DATE(2018,5,31)</f>
        <v>43251</v>
      </c>
      <c r="E121" s="3">
        <v>2441.9699999999998</v>
      </c>
      <c r="F121" t="s">
        <v>20</v>
      </c>
      <c r="G121" s="2">
        <v>10</v>
      </c>
      <c r="H121" s="2">
        <v>0</v>
      </c>
      <c r="I121" s="1">
        <f t="shared" si="13"/>
        <v>44926</v>
      </c>
      <c r="J121" s="3">
        <v>20.350000000000001</v>
      </c>
      <c r="K121" s="3">
        <v>244.2</v>
      </c>
      <c r="L121" s="3">
        <v>1119.25</v>
      </c>
      <c r="M121" s="3">
        <v>1322.72</v>
      </c>
      <c r="N121" t="s">
        <v>149</v>
      </c>
      <c r="O121" t="s">
        <v>18</v>
      </c>
      <c r="P121" t="s">
        <v>19</v>
      </c>
      <c r="Q121" t="s">
        <v>25</v>
      </c>
    </row>
    <row r="122" spans="1:17" ht="17.45" customHeight="1" x14ac:dyDescent="0.2">
      <c r="E122" s="4">
        <f>SUM(E5:E121)</f>
        <v>28304015.030000009</v>
      </c>
      <c r="J122" s="4">
        <f t="shared" ref="J122:M122" si="16">SUM(J5:J121)</f>
        <v>52833.1</v>
      </c>
      <c r="K122" s="4">
        <f t="shared" si="16"/>
        <v>631402.88000000047</v>
      </c>
      <c r="L122" s="4">
        <f t="shared" si="16"/>
        <v>18967823.679999985</v>
      </c>
      <c r="M122" s="4">
        <f t="shared" si="16"/>
        <v>9336191.3499999959</v>
      </c>
    </row>
    <row r="123" spans="1:17" ht="17.45" customHeight="1" x14ac:dyDescent="0.2">
      <c r="A123" t="s">
        <v>162</v>
      </c>
      <c r="B123" t="s">
        <v>163</v>
      </c>
      <c r="C123" s="1">
        <f>DATE(1999,1,1)</f>
        <v>36161</v>
      </c>
      <c r="D123" s="1">
        <f>DATE(1999,1,1)</f>
        <v>36161</v>
      </c>
      <c r="E123" s="3">
        <v>63676.74</v>
      </c>
      <c r="F123" t="s">
        <v>20</v>
      </c>
      <c r="G123" s="2">
        <v>50</v>
      </c>
      <c r="H123" s="2">
        <v>0</v>
      </c>
      <c r="I123" s="1">
        <f t="shared" ref="I123:I149" si="17">DATE(2022,12,31)</f>
        <v>44926</v>
      </c>
      <c r="J123" s="3">
        <v>106.1</v>
      </c>
      <c r="K123" s="3">
        <v>1273.53</v>
      </c>
      <c r="L123" s="3">
        <v>29928.05</v>
      </c>
      <c r="M123" s="3">
        <v>33748.69</v>
      </c>
      <c r="N123" t="s">
        <v>164</v>
      </c>
      <c r="O123" t="s">
        <v>18</v>
      </c>
      <c r="P123" t="s">
        <v>19</v>
      </c>
      <c r="Q123" t="s">
        <v>165</v>
      </c>
    </row>
    <row r="124" spans="1:17" ht="17.45" customHeight="1" x14ac:dyDescent="0.2">
      <c r="A124" t="s">
        <v>166</v>
      </c>
      <c r="B124" t="s">
        <v>167</v>
      </c>
      <c r="C124" s="1">
        <f>DATE(2001,1,1)</f>
        <v>36892</v>
      </c>
      <c r="D124" s="1">
        <f>DATE(2001,1,1)</f>
        <v>36892</v>
      </c>
      <c r="E124" s="3">
        <v>43267.78</v>
      </c>
      <c r="F124" t="s">
        <v>20</v>
      </c>
      <c r="G124" s="2">
        <v>50</v>
      </c>
      <c r="H124" s="2">
        <v>0</v>
      </c>
      <c r="I124" s="1">
        <f t="shared" si="17"/>
        <v>44926</v>
      </c>
      <c r="J124" s="3">
        <v>72.150000000000006</v>
      </c>
      <c r="K124" s="3">
        <v>865.36</v>
      </c>
      <c r="L124" s="3">
        <v>18605.189999999999</v>
      </c>
      <c r="M124" s="3">
        <v>24662.59</v>
      </c>
      <c r="N124" t="s">
        <v>164</v>
      </c>
      <c r="O124" t="s">
        <v>18</v>
      </c>
      <c r="P124" t="s">
        <v>19</v>
      </c>
      <c r="Q124" t="s">
        <v>165</v>
      </c>
    </row>
    <row r="125" spans="1:17" ht="17.45" customHeight="1" x14ac:dyDescent="0.2">
      <c r="A125" t="s">
        <v>168</v>
      </c>
      <c r="B125" t="s">
        <v>169</v>
      </c>
      <c r="C125" s="1">
        <f t="shared" ref="C125:D128" si="18">DATE(2002,1,1)</f>
        <v>37257</v>
      </c>
      <c r="D125" s="1">
        <f t="shared" si="18"/>
        <v>37257</v>
      </c>
      <c r="E125" s="3">
        <v>19454</v>
      </c>
      <c r="F125" t="s">
        <v>20</v>
      </c>
      <c r="G125" s="2">
        <v>50</v>
      </c>
      <c r="H125" s="2">
        <v>0</v>
      </c>
      <c r="I125" s="1">
        <f t="shared" si="17"/>
        <v>44926</v>
      </c>
      <c r="J125" s="3">
        <v>32.46</v>
      </c>
      <c r="K125" s="3">
        <v>389.08</v>
      </c>
      <c r="L125" s="3">
        <v>7976.14</v>
      </c>
      <c r="M125" s="3">
        <v>11477.86</v>
      </c>
      <c r="N125" t="s">
        <v>164</v>
      </c>
      <c r="O125" t="s">
        <v>18</v>
      </c>
      <c r="P125" t="s">
        <v>19</v>
      </c>
      <c r="Q125" t="s">
        <v>165</v>
      </c>
    </row>
    <row r="126" spans="1:17" ht="17.45" customHeight="1" x14ac:dyDescent="0.2">
      <c r="A126" t="s">
        <v>170</v>
      </c>
      <c r="B126" t="s">
        <v>171</v>
      </c>
      <c r="C126" s="1">
        <f t="shared" si="18"/>
        <v>37257</v>
      </c>
      <c r="D126" s="1">
        <f t="shared" si="18"/>
        <v>37257</v>
      </c>
      <c r="E126" s="3">
        <v>84416.26</v>
      </c>
      <c r="F126" t="s">
        <v>20</v>
      </c>
      <c r="G126" s="2">
        <v>50</v>
      </c>
      <c r="H126" s="2">
        <v>0</v>
      </c>
      <c r="I126" s="1">
        <f t="shared" si="17"/>
        <v>44926</v>
      </c>
      <c r="J126" s="3">
        <v>140.74</v>
      </c>
      <c r="K126" s="3">
        <v>1688.33</v>
      </c>
      <c r="L126" s="3">
        <v>36476.25</v>
      </c>
      <c r="M126" s="3">
        <v>47940.01</v>
      </c>
      <c r="N126" t="s">
        <v>164</v>
      </c>
      <c r="O126" t="s">
        <v>18</v>
      </c>
      <c r="P126" t="s">
        <v>19</v>
      </c>
      <c r="Q126" t="s">
        <v>165</v>
      </c>
    </row>
    <row r="127" spans="1:17" ht="17.45" customHeight="1" x14ac:dyDescent="0.2">
      <c r="A127" t="s">
        <v>172</v>
      </c>
      <c r="B127" t="s">
        <v>173</v>
      </c>
      <c r="C127" s="1">
        <f t="shared" si="18"/>
        <v>37257</v>
      </c>
      <c r="D127" s="1">
        <f t="shared" si="18"/>
        <v>37257</v>
      </c>
      <c r="E127" s="3">
        <v>10292</v>
      </c>
      <c r="F127" t="s">
        <v>20</v>
      </c>
      <c r="G127" s="2">
        <v>50</v>
      </c>
      <c r="H127" s="2">
        <v>0</v>
      </c>
      <c r="I127" s="1">
        <f t="shared" si="17"/>
        <v>44926</v>
      </c>
      <c r="J127" s="3">
        <v>17.190000000000001</v>
      </c>
      <c r="K127" s="3">
        <v>205.84</v>
      </c>
      <c r="L127" s="3">
        <v>4219.72</v>
      </c>
      <c r="M127" s="3">
        <v>6072.28</v>
      </c>
      <c r="N127" t="s">
        <v>164</v>
      </c>
      <c r="O127" t="s">
        <v>18</v>
      </c>
      <c r="P127" t="s">
        <v>19</v>
      </c>
      <c r="Q127" t="s">
        <v>165</v>
      </c>
    </row>
    <row r="128" spans="1:17" ht="17.45" customHeight="1" x14ac:dyDescent="0.2">
      <c r="A128" t="s">
        <v>174</v>
      </c>
      <c r="B128" t="s">
        <v>175</v>
      </c>
      <c r="C128" s="1">
        <f t="shared" si="18"/>
        <v>37257</v>
      </c>
      <c r="D128" s="1">
        <f t="shared" si="18"/>
        <v>37257</v>
      </c>
      <c r="E128" s="3">
        <v>10800</v>
      </c>
      <c r="F128" t="s">
        <v>20</v>
      </c>
      <c r="G128" s="2">
        <v>50</v>
      </c>
      <c r="H128" s="2">
        <v>0</v>
      </c>
      <c r="I128" s="1">
        <f t="shared" si="17"/>
        <v>44926</v>
      </c>
      <c r="J128" s="3">
        <v>18</v>
      </c>
      <c r="K128" s="3">
        <v>216</v>
      </c>
      <c r="L128" s="3">
        <v>4428</v>
      </c>
      <c r="M128" s="3">
        <v>6372</v>
      </c>
      <c r="N128" t="s">
        <v>164</v>
      </c>
      <c r="O128" t="s">
        <v>18</v>
      </c>
      <c r="P128" t="s">
        <v>19</v>
      </c>
      <c r="Q128" t="s">
        <v>165</v>
      </c>
    </row>
    <row r="129" spans="1:17" ht="17.45" customHeight="1" x14ac:dyDescent="0.2">
      <c r="A129" t="s">
        <v>176</v>
      </c>
      <c r="B129" t="s">
        <v>177</v>
      </c>
      <c r="C129" s="1">
        <f t="shared" ref="C129:D135" si="19">DATE(2003,1,1)</f>
        <v>37622</v>
      </c>
      <c r="D129" s="1">
        <f t="shared" si="19"/>
        <v>37622</v>
      </c>
      <c r="E129" s="3">
        <v>8000</v>
      </c>
      <c r="F129" t="s">
        <v>20</v>
      </c>
      <c r="G129" s="2">
        <v>50</v>
      </c>
      <c r="H129" s="2">
        <v>0</v>
      </c>
      <c r="I129" s="1">
        <f t="shared" si="17"/>
        <v>44926</v>
      </c>
      <c r="J129" s="3">
        <v>13.37</v>
      </c>
      <c r="K129" s="3">
        <v>160</v>
      </c>
      <c r="L129" s="3">
        <v>4280</v>
      </c>
      <c r="M129" s="3">
        <v>3720</v>
      </c>
      <c r="N129" t="s">
        <v>164</v>
      </c>
      <c r="O129" t="s">
        <v>18</v>
      </c>
      <c r="P129" t="s">
        <v>19</v>
      </c>
      <c r="Q129" t="s">
        <v>165</v>
      </c>
    </row>
    <row r="130" spans="1:17" ht="17.45" customHeight="1" x14ac:dyDescent="0.2">
      <c r="A130" t="s">
        <v>178</v>
      </c>
      <c r="B130" t="s">
        <v>179</v>
      </c>
      <c r="C130" s="1">
        <f t="shared" si="19"/>
        <v>37622</v>
      </c>
      <c r="D130" s="1">
        <f t="shared" si="19"/>
        <v>37622</v>
      </c>
      <c r="E130" s="3">
        <v>5400</v>
      </c>
      <c r="F130" t="s">
        <v>20</v>
      </c>
      <c r="G130" s="2">
        <v>30</v>
      </c>
      <c r="H130" s="2">
        <v>0</v>
      </c>
      <c r="I130" s="1">
        <f t="shared" si="17"/>
        <v>44926</v>
      </c>
      <c r="J130" s="3">
        <v>15</v>
      </c>
      <c r="K130" s="3">
        <v>180</v>
      </c>
      <c r="L130" s="3">
        <v>3945</v>
      </c>
      <c r="M130" s="3">
        <v>1455</v>
      </c>
      <c r="N130" t="s">
        <v>180</v>
      </c>
      <c r="O130" t="s">
        <v>18</v>
      </c>
      <c r="P130" t="s">
        <v>19</v>
      </c>
      <c r="Q130" t="s">
        <v>165</v>
      </c>
    </row>
    <row r="131" spans="1:17" ht="17.45" customHeight="1" x14ac:dyDescent="0.2">
      <c r="A131" t="s">
        <v>181</v>
      </c>
      <c r="B131" t="s">
        <v>182</v>
      </c>
      <c r="C131" s="1">
        <f t="shared" si="19"/>
        <v>37622</v>
      </c>
      <c r="D131" s="1">
        <f t="shared" si="19"/>
        <v>37622</v>
      </c>
      <c r="E131" s="3">
        <v>5200</v>
      </c>
      <c r="F131" t="s">
        <v>20</v>
      </c>
      <c r="G131" s="2">
        <v>50</v>
      </c>
      <c r="H131" s="2">
        <v>0</v>
      </c>
      <c r="I131" s="1">
        <f t="shared" si="17"/>
        <v>44926</v>
      </c>
      <c r="J131" s="3">
        <v>8.6300000000000008</v>
      </c>
      <c r="K131" s="3">
        <v>104</v>
      </c>
      <c r="L131" s="3">
        <v>2782.01</v>
      </c>
      <c r="M131" s="3">
        <v>2417.9899999999998</v>
      </c>
      <c r="N131" t="s">
        <v>164</v>
      </c>
      <c r="O131" t="s">
        <v>18</v>
      </c>
      <c r="P131" t="s">
        <v>19</v>
      </c>
      <c r="Q131" t="s">
        <v>165</v>
      </c>
    </row>
    <row r="132" spans="1:17" ht="17.45" customHeight="1" x14ac:dyDescent="0.2">
      <c r="A132" t="s">
        <v>183</v>
      </c>
      <c r="B132" t="s">
        <v>184</v>
      </c>
      <c r="C132" s="1">
        <f t="shared" si="19"/>
        <v>37622</v>
      </c>
      <c r="D132" s="1">
        <f t="shared" si="19"/>
        <v>37622</v>
      </c>
      <c r="E132" s="3">
        <v>7762.27</v>
      </c>
      <c r="F132" t="s">
        <v>20</v>
      </c>
      <c r="G132" s="2">
        <v>30</v>
      </c>
      <c r="H132" s="2">
        <v>0</v>
      </c>
      <c r="I132" s="1">
        <f t="shared" si="17"/>
        <v>44926</v>
      </c>
      <c r="J132" s="3">
        <v>21.58</v>
      </c>
      <c r="K132" s="3">
        <v>258.74</v>
      </c>
      <c r="L132" s="3">
        <v>5670.73</v>
      </c>
      <c r="M132" s="3">
        <v>2091.54</v>
      </c>
      <c r="N132" t="s">
        <v>180</v>
      </c>
      <c r="O132" t="s">
        <v>18</v>
      </c>
      <c r="P132" t="s">
        <v>19</v>
      </c>
      <c r="Q132" t="s">
        <v>165</v>
      </c>
    </row>
    <row r="133" spans="1:17" ht="17.45" customHeight="1" x14ac:dyDescent="0.2">
      <c r="A133" t="s">
        <v>185</v>
      </c>
      <c r="B133" t="s">
        <v>186</v>
      </c>
      <c r="C133" s="1">
        <f t="shared" si="19"/>
        <v>37622</v>
      </c>
      <c r="D133" s="1">
        <f t="shared" si="19"/>
        <v>37622</v>
      </c>
      <c r="E133" s="3">
        <v>6858.26</v>
      </c>
      <c r="F133" t="s">
        <v>20</v>
      </c>
      <c r="G133" s="2">
        <v>50</v>
      </c>
      <c r="H133" s="2">
        <v>0</v>
      </c>
      <c r="I133" s="1">
        <f t="shared" si="17"/>
        <v>44926</v>
      </c>
      <c r="J133" s="3">
        <v>11.44</v>
      </c>
      <c r="K133" s="3">
        <v>137.16999999999999</v>
      </c>
      <c r="L133" s="3">
        <v>3669.23</v>
      </c>
      <c r="M133" s="3">
        <v>3189.03</v>
      </c>
      <c r="N133" t="s">
        <v>164</v>
      </c>
      <c r="O133" t="s">
        <v>18</v>
      </c>
      <c r="P133" t="s">
        <v>19</v>
      </c>
      <c r="Q133" t="s">
        <v>165</v>
      </c>
    </row>
    <row r="134" spans="1:17" ht="17.45" customHeight="1" x14ac:dyDescent="0.2">
      <c r="A134" t="s">
        <v>187</v>
      </c>
      <c r="B134" t="s">
        <v>188</v>
      </c>
      <c r="C134" s="1">
        <f t="shared" si="19"/>
        <v>37622</v>
      </c>
      <c r="D134" s="1">
        <f t="shared" si="19"/>
        <v>37622</v>
      </c>
      <c r="E134" s="3">
        <v>8000</v>
      </c>
      <c r="F134" t="s">
        <v>20</v>
      </c>
      <c r="G134" s="2">
        <v>50</v>
      </c>
      <c r="H134" s="2">
        <v>0</v>
      </c>
      <c r="I134" s="1">
        <f t="shared" si="17"/>
        <v>44926</v>
      </c>
      <c r="J134" s="3">
        <v>13.37</v>
      </c>
      <c r="K134" s="3">
        <v>160</v>
      </c>
      <c r="L134" s="3">
        <v>4280</v>
      </c>
      <c r="M134" s="3">
        <v>3720</v>
      </c>
      <c r="N134" t="s">
        <v>164</v>
      </c>
      <c r="O134" t="s">
        <v>18</v>
      </c>
      <c r="P134" t="s">
        <v>19</v>
      </c>
      <c r="Q134" t="s">
        <v>165</v>
      </c>
    </row>
    <row r="135" spans="1:17" ht="17.45" customHeight="1" x14ac:dyDescent="0.2">
      <c r="A135" t="s">
        <v>189</v>
      </c>
      <c r="B135" t="s">
        <v>190</v>
      </c>
      <c r="C135" s="1">
        <f t="shared" si="19"/>
        <v>37622</v>
      </c>
      <c r="D135" s="1">
        <f t="shared" si="19"/>
        <v>37622</v>
      </c>
      <c r="E135" s="3">
        <v>5600</v>
      </c>
      <c r="F135" t="s">
        <v>20</v>
      </c>
      <c r="G135" s="2">
        <v>30</v>
      </c>
      <c r="H135" s="2">
        <v>0</v>
      </c>
      <c r="I135" s="1">
        <f t="shared" si="17"/>
        <v>44926</v>
      </c>
      <c r="J135" s="3">
        <v>15.51</v>
      </c>
      <c r="K135" s="3">
        <v>186.67</v>
      </c>
      <c r="L135" s="3">
        <v>4091.16</v>
      </c>
      <c r="M135" s="3">
        <v>1508.84</v>
      </c>
      <c r="N135" t="s">
        <v>180</v>
      </c>
      <c r="O135" t="s">
        <v>18</v>
      </c>
      <c r="P135" t="s">
        <v>19</v>
      </c>
      <c r="Q135" t="s">
        <v>165</v>
      </c>
    </row>
    <row r="136" spans="1:17" ht="17.45" customHeight="1" x14ac:dyDescent="0.2">
      <c r="A136" t="s">
        <v>191</v>
      </c>
      <c r="B136" t="s">
        <v>192</v>
      </c>
      <c r="C136" s="1">
        <f>DATE(2004,1,1)</f>
        <v>37987</v>
      </c>
      <c r="D136" s="1">
        <f>DATE(2004,1,1)</f>
        <v>37987</v>
      </c>
      <c r="E136" s="3">
        <v>5000</v>
      </c>
      <c r="F136" t="s">
        <v>20</v>
      </c>
      <c r="G136" s="2">
        <v>30</v>
      </c>
      <c r="H136" s="2">
        <v>0</v>
      </c>
      <c r="I136" s="1">
        <f t="shared" si="17"/>
        <v>44926</v>
      </c>
      <c r="J136" s="3">
        <v>13.88</v>
      </c>
      <c r="K136" s="3">
        <v>166.67</v>
      </c>
      <c r="L136" s="3">
        <v>3652.83</v>
      </c>
      <c r="M136" s="3">
        <v>1347.17</v>
      </c>
      <c r="N136" t="s">
        <v>180</v>
      </c>
      <c r="O136" t="s">
        <v>18</v>
      </c>
      <c r="P136" t="s">
        <v>19</v>
      </c>
      <c r="Q136" t="s">
        <v>165</v>
      </c>
    </row>
    <row r="137" spans="1:17" ht="17.45" customHeight="1" x14ac:dyDescent="0.2">
      <c r="A137" t="s">
        <v>193</v>
      </c>
      <c r="B137" t="s">
        <v>194</v>
      </c>
      <c r="C137" s="1">
        <f>DATE(2004,1,1)</f>
        <v>37987</v>
      </c>
      <c r="D137" s="1">
        <f>DATE(2004,1,1)</f>
        <v>37987</v>
      </c>
      <c r="E137" s="3">
        <v>19000</v>
      </c>
      <c r="F137" t="s">
        <v>20</v>
      </c>
      <c r="G137" s="2">
        <v>50</v>
      </c>
      <c r="H137" s="2">
        <v>0</v>
      </c>
      <c r="I137" s="1">
        <f t="shared" si="17"/>
        <v>44926</v>
      </c>
      <c r="J137" s="3">
        <v>31.63</v>
      </c>
      <c r="K137" s="3">
        <v>380</v>
      </c>
      <c r="L137" s="3">
        <v>8615.01</v>
      </c>
      <c r="M137" s="3">
        <v>10384.99</v>
      </c>
      <c r="N137" t="s">
        <v>164</v>
      </c>
      <c r="O137" t="s">
        <v>18</v>
      </c>
      <c r="P137" t="s">
        <v>19</v>
      </c>
      <c r="Q137" t="s">
        <v>165</v>
      </c>
    </row>
    <row r="138" spans="1:17" ht="17.45" customHeight="1" x14ac:dyDescent="0.2">
      <c r="A138" t="s">
        <v>195</v>
      </c>
      <c r="B138" t="s">
        <v>196</v>
      </c>
      <c r="C138" s="1">
        <f>DATE(2006,1,1)</f>
        <v>38718</v>
      </c>
      <c r="D138" s="1">
        <f>DATE(2006,1,1)</f>
        <v>38718</v>
      </c>
      <c r="E138" s="3">
        <v>13989.8</v>
      </c>
      <c r="F138" t="s">
        <v>20</v>
      </c>
      <c r="G138" s="2">
        <v>50</v>
      </c>
      <c r="H138" s="2">
        <v>0</v>
      </c>
      <c r="I138" s="1">
        <f t="shared" si="17"/>
        <v>44926</v>
      </c>
      <c r="J138" s="3">
        <v>23.28</v>
      </c>
      <c r="K138" s="3">
        <v>279.8</v>
      </c>
      <c r="L138" s="3">
        <v>5386.14</v>
      </c>
      <c r="M138" s="3">
        <v>8603.66</v>
      </c>
      <c r="N138" t="s">
        <v>164</v>
      </c>
      <c r="O138" t="s">
        <v>18</v>
      </c>
      <c r="P138" t="s">
        <v>19</v>
      </c>
      <c r="Q138" t="s">
        <v>165</v>
      </c>
    </row>
    <row r="139" spans="1:17" ht="17.45" customHeight="1" x14ac:dyDescent="0.2">
      <c r="A139" t="s">
        <v>197</v>
      </c>
      <c r="B139" t="s">
        <v>198</v>
      </c>
      <c r="C139" s="1">
        <f>DATE(2006,1,1)</f>
        <v>38718</v>
      </c>
      <c r="D139" s="1">
        <f>DATE(2006,1,1)</f>
        <v>38718</v>
      </c>
      <c r="E139" s="3">
        <v>421217.31</v>
      </c>
      <c r="F139" t="s">
        <v>20</v>
      </c>
      <c r="G139" s="2">
        <v>50</v>
      </c>
      <c r="H139" s="2">
        <v>0</v>
      </c>
      <c r="I139" s="1">
        <f t="shared" si="17"/>
        <v>44926</v>
      </c>
      <c r="J139" s="3">
        <v>702.02</v>
      </c>
      <c r="K139" s="3">
        <v>8424.35</v>
      </c>
      <c r="L139" s="3">
        <v>162168.74</v>
      </c>
      <c r="M139" s="3">
        <v>259048.57</v>
      </c>
      <c r="N139" t="s">
        <v>164</v>
      </c>
      <c r="O139" t="s">
        <v>18</v>
      </c>
      <c r="P139" t="s">
        <v>19</v>
      </c>
      <c r="Q139" t="s">
        <v>165</v>
      </c>
    </row>
    <row r="140" spans="1:17" ht="17.45" customHeight="1" x14ac:dyDescent="0.2">
      <c r="A140" t="s">
        <v>199</v>
      </c>
      <c r="B140" t="s">
        <v>200</v>
      </c>
      <c r="C140" s="1">
        <f>DATE(2006,7,1)</f>
        <v>38899</v>
      </c>
      <c r="D140" s="1">
        <f>DATE(2006,7,1)</f>
        <v>38899</v>
      </c>
      <c r="E140" s="3">
        <v>662177.31000000006</v>
      </c>
      <c r="F140" t="s">
        <v>20</v>
      </c>
      <c r="G140" s="2">
        <v>50</v>
      </c>
      <c r="H140" s="2">
        <v>0</v>
      </c>
      <c r="I140" s="1">
        <f t="shared" si="17"/>
        <v>44926</v>
      </c>
      <c r="J140" s="3">
        <v>1103.6199999999999</v>
      </c>
      <c r="K140" s="3">
        <v>13243.55</v>
      </c>
      <c r="L140" s="3">
        <v>254938.34</v>
      </c>
      <c r="M140" s="3">
        <v>407238.97</v>
      </c>
      <c r="N140" t="s">
        <v>164</v>
      </c>
      <c r="O140" t="s">
        <v>18</v>
      </c>
      <c r="P140" t="s">
        <v>19</v>
      </c>
      <c r="Q140" t="s">
        <v>165</v>
      </c>
    </row>
    <row r="141" spans="1:17" ht="17.45" customHeight="1" x14ac:dyDescent="0.2">
      <c r="A141" t="s">
        <v>201</v>
      </c>
      <c r="B141" t="s">
        <v>202</v>
      </c>
      <c r="C141" s="1">
        <f>DATE(2008,11,1)</f>
        <v>39753</v>
      </c>
      <c r="D141" s="1">
        <f>DATE(2008,11,1)</f>
        <v>39753</v>
      </c>
      <c r="E141" s="3">
        <v>71805.81</v>
      </c>
      <c r="F141" t="s">
        <v>20</v>
      </c>
      <c r="G141" s="2">
        <v>50</v>
      </c>
      <c r="H141" s="2">
        <v>0</v>
      </c>
      <c r="I141" s="1">
        <f t="shared" si="17"/>
        <v>44926</v>
      </c>
      <c r="J141" s="3">
        <v>119.64</v>
      </c>
      <c r="K141" s="3">
        <v>1436.12</v>
      </c>
      <c r="L141" s="3">
        <v>20345.03</v>
      </c>
      <c r="M141" s="3">
        <v>51460.78</v>
      </c>
      <c r="N141" t="s">
        <v>164</v>
      </c>
      <c r="O141" t="s">
        <v>18</v>
      </c>
      <c r="P141" t="s">
        <v>19</v>
      </c>
      <c r="Q141" t="s">
        <v>165</v>
      </c>
    </row>
    <row r="142" spans="1:17" ht="17.45" customHeight="1" x14ac:dyDescent="0.2">
      <c r="A142" t="s">
        <v>203</v>
      </c>
      <c r="B142" t="s">
        <v>204</v>
      </c>
      <c r="C142" s="1">
        <f>DATE(2008,11,1)</f>
        <v>39753</v>
      </c>
      <c r="D142" s="1">
        <f>DATE(2008,11,1)</f>
        <v>39753</v>
      </c>
      <c r="E142" s="3">
        <v>15727.43</v>
      </c>
      <c r="F142" t="s">
        <v>20</v>
      </c>
      <c r="G142" s="2">
        <v>50</v>
      </c>
      <c r="H142" s="2">
        <v>0</v>
      </c>
      <c r="I142" s="1">
        <f t="shared" si="17"/>
        <v>44926</v>
      </c>
      <c r="J142" s="3">
        <v>26.24</v>
      </c>
      <c r="K142" s="3">
        <v>314.55</v>
      </c>
      <c r="L142" s="3">
        <v>4456.13</v>
      </c>
      <c r="M142" s="3">
        <v>11271.3</v>
      </c>
      <c r="N142" t="s">
        <v>164</v>
      </c>
      <c r="O142" t="s">
        <v>18</v>
      </c>
      <c r="P142" t="s">
        <v>19</v>
      </c>
      <c r="Q142" t="s">
        <v>165</v>
      </c>
    </row>
    <row r="143" spans="1:17" ht="17.45" customHeight="1" x14ac:dyDescent="0.2">
      <c r="A143" t="s">
        <v>205</v>
      </c>
      <c r="B143" t="s">
        <v>206</v>
      </c>
      <c r="C143" s="1">
        <f>DATE(2008,12,1)</f>
        <v>39783</v>
      </c>
      <c r="D143" s="1">
        <f>DATE(2008,12,1)</f>
        <v>39783</v>
      </c>
      <c r="E143" s="3">
        <v>223798.58</v>
      </c>
      <c r="F143" t="s">
        <v>20</v>
      </c>
      <c r="G143" s="2">
        <v>50</v>
      </c>
      <c r="H143" s="2">
        <v>0</v>
      </c>
      <c r="I143" s="1">
        <f t="shared" si="17"/>
        <v>44926</v>
      </c>
      <c r="J143" s="3">
        <v>372.97</v>
      </c>
      <c r="K143" s="3">
        <v>4475.97</v>
      </c>
      <c r="L143" s="3">
        <v>63036.58</v>
      </c>
      <c r="M143" s="3">
        <v>160762</v>
      </c>
      <c r="N143" t="s">
        <v>164</v>
      </c>
      <c r="O143" t="s">
        <v>18</v>
      </c>
      <c r="P143" t="s">
        <v>19</v>
      </c>
      <c r="Q143" t="s">
        <v>165</v>
      </c>
    </row>
    <row r="144" spans="1:17" ht="17.45" customHeight="1" x14ac:dyDescent="0.2">
      <c r="A144" t="s">
        <v>207</v>
      </c>
      <c r="B144" t="s">
        <v>208</v>
      </c>
      <c r="C144" s="1">
        <f>DATE(2008,12,31)</f>
        <v>39813</v>
      </c>
      <c r="D144" s="1">
        <f>DATE(2008,12,31)</f>
        <v>39813</v>
      </c>
      <c r="E144" s="3">
        <v>313839.12</v>
      </c>
      <c r="F144" t="s">
        <v>20</v>
      </c>
      <c r="G144" s="2">
        <v>50</v>
      </c>
      <c r="H144" s="2">
        <v>0</v>
      </c>
      <c r="I144" s="1">
        <f t="shared" si="17"/>
        <v>44926</v>
      </c>
      <c r="J144" s="3">
        <v>523.01</v>
      </c>
      <c r="K144" s="3">
        <v>6276.78</v>
      </c>
      <c r="L144" s="3">
        <v>87874.92</v>
      </c>
      <c r="M144" s="3">
        <v>225964.2</v>
      </c>
      <c r="N144" t="s">
        <v>164</v>
      </c>
      <c r="O144" t="s">
        <v>18</v>
      </c>
      <c r="P144" t="s">
        <v>19</v>
      </c>
      <c r="Q144" t="s">
        <v>165</v>
      </c>
    </row>
    <row r="145" spans="1:17" ht="17.45" customHeight="1" x14ac:dyDescent="0.2">
      <c r="A145" t="s">
        <v>209</v>
      </c>
      <c r="B145" t="s">
        <v>210</v>
      </c>
      <c r="C145" s="1">
        <f t="shared" ref="C145:D147" si="20">DATE(2008,1,1)</f>
        <v>39448</v>
      </c>
      <c r="D145" s="1">
        <f t="shared" si="20"/>
        <v>39448</v>
      </c>
      <c r="E145" s="3">
        <v>334331.96999999997</v>
      </c>
      <c r="F145" t="s">
        <v>20</v>
      </c>
      <c r="G145" s="2">
        <v>50</v>
      </c>
      <c r="H145" s="2">
        <v>0</v>
      </c>
      <c r="I145" s="1">
        <f t="shared" si="17"/>
        <v>44926</v>
      </c>
      <c r="J145" s="3">
        <v>557.22</v>
      </c>
      <c r="K145" s="3">
        <v>6686.64</v>
      </c>
      <c r="L145" s="3">
        <v>100299.6</v>
      </c>
      <c r="M145" s="3">
        <v>234032.37</v>
      </c>
      <c r="N145" t="s">
        <v>164</v>
      </c>
      <c r="O145" t="s">
        <v>18</v>
      </c>
      <c r="P145" t="s">
        <v>19</v>
      </c>
      <c r="Q145" t="s">
        <v>165</v>
      </c>
    </row>
    <row r="146" spans="1:17" ht="17.45" customHeight="1" x14ac:dyDescent="0.2">
      <c r="A146" t="s">
        <v>211</v>
      </c>
      <c r="B146" t="s">
        <v>212</v>
      </c>
      <c r="C146" s="1">
        <f t="shared" si="20"/>
        <v>39448</v>
      </c>
      <c r="D146" s="1">
        <f t="shared" si="20"/>
        <v>39448</v>
      </c>
      <c r="E146" s="3">
        <v>63197.17</v>
      </c>
      <c r="F146" t="s">
        <v>20</v>
      </c>
      <c r="G146" s="2">
        <v>50</v>
      </c>
      <c r="H146" s="2">
        <v>0</v>
      </c>
      <c r="I146" s="1">
        <f t="shared" si="17"/>
        <v>44926</v>
      </c>
      <c r="J146" s="3">
        <v>105.31</v>
      </c>
      <c r="K146" s="3">
        <v>1263.94</v>
      </c>
      <c r="L146" s="3">
        <v>18959.099999999999</v>
      </c>
      <c r="M146" s="3">
        <v>44238.07</v>
      </c>
      <c r="N146" t="s">
        <v>164</v>
      </c>
      <c r="O146" t="s">
        <v>18</v>
      </c>
      <c r="P146" t="s">
        <v>19</v>
      </c>
      <c r="Q146" t="s">
        <v>165</v>
      </c>
    </row>
    <row r="147" spans="1:17" ht="17.45" customHeight="1" x14ac:dyDescent="0.2">
      <c r="A147" t="s">
        <v>213</v>
      </c>
      <c r="B147" t="s">
        <v>214</v>
      </c>
      <c r="C147" s="1">
        <f t="shared" si="20"/>
        <v>39448</v>
      </c>
      <c r="D147" s="1">
        <f t="shared" si="20"/>
        <v>39448</v>
      </c>
      <c r="E147" s="3">
        <v>72873.52</v>
      </c>
      <c r="F147" t="s">
        <v>20</v>
      </c>
      <c r="G147" s="2">
        <v>50</v>
      </c>
      <c r="H147" s="2">
        <v>0</v>
      </c>
      <c r="I147" s="1">
        <f t="shared" si="17"/>
        <v>44926</v>
      </c>
      <c r="J147" s="3">
        <v>121.41</v>
      </c>
      <c r="K147" s="3">
        <v>1457.47</v>
      </c>
      <c r="L147" s="3">
        <v>21862.05</v>
      </c>
      <c r="M147" s="3">
        <v>51011.47</v>
      </c>
      <c r="N147" t="s">
        <v>164</v>
      </c>
      <c r="O147" t="s">
        <v>18</v>
      </c>
      <c r="P147" t="s">
        <v>19</v>
      </c>
      <c r="Q147" t="s">
        <v>165</v>
      </c>
    </row>
    <row r="148" spans="1:17" ht="17.45" customHeight="1" x14ac:dyDescent="0.2">
      <c r="A148" t="s">
        <v>215</v>
      </c>
      <c r="B148" t="s">
        <v>216</v>
      </c>
      <c r="C148" s="1">
        <f t="shared" ref="C148:D151" si="21">DATE(2009,1,1)</f>
        <v>39814</v>
      </c>
      <c r="D148" s="1">
        <f t="shared" si="21"/>
        <v>39814</v>
      </c>
      <c r="E148" s="3">
        <v>2800</v>
      </c>
      <c r="F148" t="s">
        <v>20</v>
      </c>
      <c r="G148" s="2">
        <v>50</v>
      </c>
      <c r="H148" s="2">
        <v>0</v>
      </c>
      <c r="I148" s="1">
        <f t="shared" si="17"/>
        <v>44926</v>
      </c>
      <c r="J148" s="3">
        <v>4.63</v>
      </c>
      <c r="K148" s="3">
        <v>56</v>
      </c>
      <c r="L148" s="3">
        <v>784</v>
      </c>
      <c r="M148" s="3">
        <v>2016</v>
      </c>
      <c r="N148" t="s">
        <v>164</v>
      </c>
      <c r="O148" t="s">
        <v>18</v>
      </c>
      <c r="P148" t="s">
        <v>19</v>
      </c>
      <c r="Q148" t="s">
        <v>165</v>
      </c>
    </row>
    <row r="149" spans="1:17" ht="17.45" customHeight="1" x14ac:dyDescent="0.2">
      <c r="A149" t="s">
        <v>217</v>
      </c>
      <c r="B149" t="s">
        <v>218</v>
      </c>
      <c r="C149" s="1">
        <f t="shared" si="21"/>
        <v>39814</v>
      </c>
      <c r="D149" s="1">
        <f t="shared" si="21"/>
        <v>39814</v>
      </c>
      <c r="E149" s="3">
        <v>4020</v>
      </c>
      <c r="F149" t="s">
        <v>20</v>
      </c>
      <c r="G149" s="2">
        <v>50</v>
      </c>
      <c r="H149" s="2">
        <v>0</v>
      </c>
      <c r="I149" s="1">
        <f t="shared" si="17"/>
        <v>44926</v>
      </c>
      <c r="J149" s="3">
        <v>6.7</v>
      </c>
      <c r="K149" s="3">
        <v>80.400000000000006</v>
      </c>
      <c r="L149" s="3">
        <v>1125.5999999999999</v>
      </c>
      <c r="M149" s="3">
        <v>2894.4</v>
      </c>
      <c r="N149" t="s">
        <v>164</v>
      </c>
      <c r="O149" t="s">
        <v>18</v>
      </c>
      <c r="P149" t="s">
        <v>19</v>
      </c>
      <c r="Q149" t="s">
        <v>165</v>
      </c>
    </row>
    <row r="150" spans="1:17" ht="17.45" customHeight="1" x14ac:dyDescent="0.2">
      <c r="A150" t="s">
        <v>219</v>
      </c>
      <c r="B150" t="s">
        <v>220</v>
      </c>
      <c r="C150" s="1">
        <f t="shared" si="21"/>
        <v>39814</v>
      </c>
      <c r="D150" s="1">
        <f t="shared" si="21"/>
        <v>39814</v>
      </c>
      <c r="E150" s="3">
        <v>5032.3500000000004</v>
      </c>
      <c r="F150" t="s">
        <v>20</v>
      </c>
      <c r="G150" s="2">
        <v>10</v>
      </c>
      <c r="H150" s="2">
        <v>0</v>
      </c>
      <c r="I150" s="1">
        <f>DATE(2018,12,31)</f>
        <v>43465</v>
      </c>
      <c r="J150" s="3">
        <v>0</v>
      </c>
      <c r="K150" s="3">
        <v>0</v>
      </c>
      <c r="L150" s="3">
        <v>5032.3500000000004</v>
      </c>
      <c r="M150" s="3">
        <v>0</v>
      </c>
      <c r="N150" t="s">
        <v>164</v>
      </c>
      <c r="O150" t="s">
        <v>18</v>
      </c>
      <c r="P150" t="s">
        <v>19</v>
      </c>
      <c r="Q150" t="s">
        <v>165</v>
      </c>
    </row>
    <row r="151" spans="1:17" ht="17.45" customHeight="1" x14ac:dyDescent="0.2">
      <c r="A151" t="s">
        <v>221</v>
      </c>
      <c r="B151" t="s">
        <v>26</v>
      </c>
      <c r="C151" s="1">
        <f t="shared" si="21"/>
        <v>39814</v>
      </c>
      <c r="D151" s="1">
        <f t="shared" si="21"/>
        <v>39814</v>
      </c>
      <c r="E151" s="3">
        <v>12199.54</v>
      </c>
      <c r="F151" t="s">
        <v>20</v>
      </c>
      <c r="G151" s="2">
        <v>50</v>
      </c>
      <c r="H151" s="2">
        <v>0</v>
      </c>
      <c r="I151" s="1">
        <f t="shared" ref="I151:I182" si="22">DATE(2022,12,31)</f>
        <v>44926</v>
      </c>
      <c r="J151" s="3">
        <v>20.36</v>
      </c>
      <c r="K151" s="3">
        <v>243.99</v>
      </c>
      <c r="L151" s="3">
        <v>3415.86</v>
      </c>
      <c r="M151" s="3">
        <v>8783.68</v>
      </c>
      <c r="N151" t="s">
        <v>164</v>
      </c>
      <c r="O151" t="s">
        <v>18</v>
      </c>
      <c r="P151" t="s">
        <v>19</v>
      </c>
      <c r="Q151" t="s">
        <v>165</v>
      </c>
    </row>
    <row r="152" spans="1:17" ht="17.45" customHeight="1" x14ac:dyDescent="0.2">
      <c r="A152" t="s">
        <v>222</v>
      </c>
      <c r="B152" t="s">
        <v>223</v>
      </c>
      <c r="C152" s="1">
        <f>DATE(2009,7,1)</f>
        <v>39995</v>
      </c>
      <c r="D152" s="1">
        <f>DATE(2009,7,1)</f>
        <v>39995</v>
      </c>
      <c r="E152" s="3">
        <v>141632.14000000001</v>
      </c>
      <c r="F152" t="s">
        <v>20</v>
      </c>
      <c r="G152" s="2">
        <v>50</v>
      </c>
      <c r="H152" s="2">
        <v>0</v>
      </c>
      <c r="I152" s="1">
        <f t="shared" si="22"/>
        <v>44926</v>
      </c>
      <c r="J152" s="3">
        <v>236.09</v>
      </c>
      <c r="K152" s="3">
        <v>2832.64</v>
      </c>
      <c r="L152" s="3">
        <v>38240.639999999999</v>
      </c>
      <c r="M152" s="3">
        <v>103391.5</v>
      </c>
      <c r="N152" t="s">
        <v>164</v>
      </c>
      <c r="O152" t="s">
        <v>18</v>
      </c>
      <c r="P152" t="s">
        <v>19</v>
      </c>
      <c r="Q152" t="s">
        <v>165</v>
      </c>
    </row>
    <row r="153" spans="1:17" ht="17.45" customHeight="1" x14ac:dyDescent="0.2">
      <c r="A153" t="s">
        <v>224</v>
      </c>
      <c r="B153" t="s">
        <v>225</v>
      </c>
      <c r="C153" s="1">
        <f>DATE(2010,2,26)</f>
        <v>40235</v>
      </c>
      <c r="D153" s="1">
        <f>DATE(2010,2,26)</f>
        <v>40235</v>
      </c>
      <c r="E153" s="3">
        <v>5849.23</v>
      </c>
      <c r="F153" t="s">
        <v>20</v>
      </c>
      <c r="G153" s="2">
        <v>50</v>
      </c>
      <c r="H153" s="2">
        <v>0</v>
      </c>
      <c r="I153" s="1">
        <f t="shared" si="22"/>
        <v>44926</v>
      </c>
      <c r="J153" s="3">
        <v>9.73</v>
      </c>
      <c r="K153" s="3">
        <v>116.98</v>
      </c>
      <c r="L153" s="3">
        <v>1501.28</v>
      </c>
      <c r="M153" s="3">
        <v>4347.95</v>
      </c>
      <c r="N153" t="s">
        <v>164</v>
      </c>
      <c r="O153" t="s">
        <v>18</v>
      </c>
      <c r="P153" t="s">
        <v>19</v>
      </c>
      <c r="Q153" t="s">
        <v>165</v>
      </c>
    </row>
    <row r="154" spans="1:17" ht="17.45" customHeight="1" x14ac:dyDescent="0.2">
      <c r="A154" t="s">
        <v>226</v>
      </c>
      <c r="B154" t="s">
        <v>227</v>
      </c>
      <c r="C154" s="1">
        <f>DATE(2010,6,30)</f>
        <v>40359</v>
      </c>
      <c r="D154" s="1">
        <f>DATE(2010,6,30)</f>
        <v>40359</v>
      </c>
      <c r="E154" s="3">
        <v>26374.51</v>
      </c>
      <c r="F154" t="s">
        <v>20</v>
      </c>
      <c r="G154" s="2">
        <v>50</v>
      </c>
      <c r="H154" s="2">
        <v>0</v>
      </c>
      <c r="I154" s="1">
        <f t="shared" si="22"/>
        <v>44926</v>
      </c>
      <c r="J154" s="3">
        <v>43.93</v>
      </c>
      <c r="K154" s="3">
        <v>527.49</v>
      </c>
      <c r="L154" s="3">
        <v>6593.63</v>
      </c>
      <c r="M154" s="3">
        <v>19780.88</v>
      </c>
      <c r="N154" t="s">
        <v>164</v>
      </c>
      <c r="O154" t="s">
        <v>18</v>
      </c>
      <c r="P154" t="s">
        <v>19</v>
      </c>
      <c r="Q154" t="s">
        <v>165</v>
      </c>
    </row>
    <row r="155" spans="1:17" ht="17.45" customHeight="1" x14ac:dyDescent="0.2">
      <c r="A155" t="s">
        <v>228</v>
      </c>
      <c r="B155" t="s">
        <v>229</v>
      </c>
      <c r="C155" s="1">
        <f>DATE(2010,12,1)</f>
        <v>40513</v>
      </c>
      <c r="D155" s="1">
        <f>DATE(2010,12,1)</f>
        <v>40513</v>
      </c>
      <c r="E155" s="3">
        <v>46358.33</v>
      </c>
      <c r="F155" t="s">
        <v>20</v>
      </c>
      <c r="G155" s="2">
        <v>50</v>
      </c>
      <c r="H155" s="2">
        <v>0</v>
      </c>
      <c r="I155" s="1">
        <f t="shared" si="22"/>
        <v>44926</v>
      </c>
      <c r="J155" s="3">
        <v>77.31</v>
      </c>
      <c r="K155" s="3">
        <v>927.17</v>
      </c>
      <c r="L155" s="3">
        <v>11203.3</v>
      </c>
      <c r="M155" s="3">
        <v>35155.03</v>
      </c>
      <c r="N155" t="s">
        <v>164</v>
      </c>
      <c r="O155" t="s">
        <v>18</v>
      </c>
      <c r="P155" t="s">
        <v>19</v>
      </c>
      <c r="Q155" t="s">
        <v>165</v>
      </c>
    </row>
    <row r="156" spans="1:17" ht="17.45" customHeight="1" x14ac:dyDescent="0.2">
      <c r="A156" t="s">
        <v>230</v>
      </c>
      <c r="B156" t="s">
        <v>231</v>
      </c>
      <c r="C156" s="1">
        <f>DATE(2010,12,1)</f>
        <v>40513</v>
      </c>
      <c r="D156" s="1">
        <f>DATE(2010,12,1)</f>
        <v>40513</v>
      </c>
      <c r="E156" s="3">
        <v>63514.79</v>
      </c>
      <c r="F156" t="s">
        <v>20</v>
      </c>
      <c r="G156" s="2">
        <v>50</v>
      </c>
      <c r="H156" s="2">
        <v>0</v>
      </c>
      <c r="I156" s="1">
        <f t="shared" si="22"/>
        <v>44926</v>
      </c>
      <c r="J156" s="3">
        <v>105.84</v>
      </c>
      <c r="K156" s="3">
        <v>1270.3</v>
      </c>
      <c r="L156" s="3">
        <v>15349.46</v>
      </c>
      <c r="M156" s="3">
        <v>48165.33</v>
      </c>
      <c r="N156" t="s">
        <v>164</v>
      </c>
      <c r="O156" t="s">
        <v>18</v>
      </c>
      <c r="P156" t="s">
        <v>19</v>
      </c>
      <c r="Q156" t="s">
        <v>165</v>
      </c>
    </row>
    <row r="157" spans="1:17" ht="17.45" customHeight="1" x14ac:dyDescent="0.2">
      <c r="A157" t="s">
        <v>232</v>
      </c>
      <c r="B157" t="s">
        <v>233</v>
      </c>
      <c r="C157" s="1">
        <f>DATE(2010,12,31)</f>
        <v>40543</v>
      </c>
      <c r="D157" s="1">
        <f>DATE(2010,12,31)</f>
        <v>40543</v>
      </c>
      <c r="E157" s="3">
        <v>9713.52</v>
      </c>
      <c r="F157" t="s">
        <v>20</v>
      </c>
      <c r="G157" s="2">
        <v>50</v>
      </c>
      <c r="H157" s="2">
        <v>0</v>
      </c>
      <c r="I157" s="1">
        <f t="shared" si="22"/>
        <v>44926</v>
      </c>
      <c r="J157" s="3">
        <v>16.18</v>
      </c>
      <c r="K157" s="3">
        <v>194.27</v>
      </c>
      <c r="L157" s="3">
        <v>2331.2399999999998</v>
      </c>
      <c r="M157" s="3">
        <v>7382.28</v>
      </c>
      <c r="N157" t="s">
        <v>164</v>
      </c>
      <c r="O157" t="s">
        <v>18</v>
      </c>
      <c r="P157" t="s">
        <v>19</v>
      </c>
      <c r="Q157" t="s">
        <v>165</v>
      </c>
    </row>
    <row r="158" spans="1:17" ht="17.45" customHeight="1" x14ac:dyDescent="0.2">
      <c r="A158" t="s">
        <v>234</v>
      </c>
      <c r="B158" t="s">
        <v>235</v>
      </c>
      <c r="C158" s="1">
        <f>DATE(2011,3,31)</f>
        <v>40633</v>
      </c>
      <c r="D158" s="1">
        <f>DATE(2011,3,31)</f>
        <v>40633</v>
      </c>
      <c r="E158" s="3">
        <v>7519.62</v>
      </c>
      <c r="F158" t="s">
        <v>20</v>
      </c>
      <c r="G158" s="2">
        <v>50</v>
      </c>
      <c r="H158" s="2">
        <v>0</v>
      </c>
      <c r="I158" s="1">
        <f t="shared" si="22"/>
        <v>44926</v>
      </c>
      <c r="J158" s="3">
        <v>12.56</v>
      </c>
      <c r="K158" s="3">
        <v>150.38999999999999</v>
      </c>
      <c r="L158" s="3">
        <v>1767.09</v>
      </c>
      <c r="M158" s="3">
        <v>5752.53</v>
      </c>
      <c r="N158" t="s">
        <v>164</v>
      </c>
      <c r="O158" t="s">
        <v>18</v>
      </c>
      <c r="P158" t="s">
        <v>19</v>
      </c>
      <c r="Q158" t="s">
        <v>165</v>
      </c>
    </row>
    <row r="159" spans="1:17" ht="17.45" customHeight="1" x14ac:dyDescent="0.2">
      <c r="A159" t="s">
        <v>236</v>
      </c>
      <c r="B159" t="s">
        <v>237</v>
      </c>
      <c r="C159" s="1">
        <f>DATE(2011,8,31)</f>
        <v>40786</v>
      </c>
      <c r="D159" s="1">
        <f>DATE(2011,8,31)</f>
        <v>40786</v>
      </c>
      <c r="E159" s="3">
        <v>57279.839999999997</v>
      </c>
      <c r="F159" t="s">
        <v>20</v>
      </c>
      <c r="G159" s="2">
        <v>50</v>
      </c>
      <c r="H159" s="2">
        <v>0</v>
      </c>
      <c r="I159" s="1">
        <f t="shared" si="22"/>
        <v>44926</v>
      </c>
      <c r="J159" s="3">
        <v>95.43</v>
      </c>
      <c r="K159" s="3">
        <v>1145.5999999999999</v>
      </c>
      <c r="L159" s="3">
        <v>12983.47</v>
      </c>
      <c r="M159" s="3">
        <v>44296.37</v>
      </c>
      <c r="N159" t="s">
        <v>164</v>
      </c>
      <c r="O159" t="s">
        <v>18</v>
      </c>
      <c r="P159" t="s">
        <v>19</v>
      </c>
      <c r="Q159" t="s">
        <v>165</v>
      </c>
    </row>
    <row r="160" spans="1:17" ht="17.45" customHeight="1" x14ac:dyDescent="0.2">
      <c r="A160" t="s">
        <v>238</v>
      </c>
      <c r="B160" t="s">
        <v>239</v>
      </c>
      <c r="C160" s="1">
        <f>DATE(2011,8,31)</f>
        <v>40786</v>
      </c>
      <c r="D160" s="1">
        <f>DATE(2011,8,31)</f>
        <v>40786</v>
      </c>
      <c r="E160" s="3">
        <v>1424414.71</v>
      </c>
      <c r="F160" t="s">
        <v>20</v>
      </c>
      <c r="G160" s="2">
        <v>50</v>
      </c>
      <c r="H160" s="2">
        <v>0</v>
      </c>
      <c r="I160" s="1">
        <f t="shared" si="22"/>
        <v>44926</v>
      </c>
      <c r="J160" s="3">
        <v>2374.0700000000002</v>
      </c>
      <c r="K160" s="3">
        <v>28488.29</v>
      </c>
      <c r="L160" s="3">
        <v>322867.31</v>
      </c>
      <c r="M160" s="3">
        <v>1101547.3999999999</v>
      </c>
      <c r="N160" t="s">
        <v>164</v>
      </c>
      <c r="O160" t="s">
        <v>18</v>
      </c>
      <c r="P160" t="s">
        <v>19</v>
      </c>
      <c r="Q160" t="s">
        <v>165</v>
      </c>
    </row>
    <row r="161" spans="1:17" ht="17.45" customHeight="1" x14ac:dyDescent="0.2">
      <c r="A161" t="s">
        <v>240</v>
      </c>
      <c r="B161" t="s">
        <v>241</v>
      </c>
      <c r="C161" s="1">
        <f>DATE(2011,9,30)</f>
        <v>40816</v>
      </c>
      <c r="D161" s="1">
        <f>DATE(2011,9,30)</f>
        <v>40816</v>
      </c>
      <c r="E161" s="3">
        <v>170217.63</v>
      </c>
      <c r="F161" t="s">
        <v>20</v>
      </c>
      <c r="G161" s="2">
        <v>50</v>
      </c>
      <c r="H161" s="2">
        <v>0</v>
      </c>
      <c r="I161" s="1">
        <f t="shared" si="22"/>
        <v>44926</v>
      </c>
      <c r="J161" s="3">
        <v>283.64999999999998</v>
      </c>
      <c r="K161" s="3">
        <v>3404.35</v>
      </c>
      <c r="L161" s="3">
        <v>38298.94</v>
      </c>
      <c r="M161" s="3">
        <v>131918.69</v>
      </c>
      <c r="N161" t="s">
        <v>164</v>
      </c>
      <c r="O161" t="s">
        <v>18</v>
      </c>
      <c r="P161" t="s">
        <v>19</v>
      </c>
      <c r="Q161" t="s">
        <v>165</v>
      </c>
    </row>
    <row r="162" spans="1:17" ht="17.45" customHeight="1" x14ac:dyDescent="0.2">
      <c r="A162" t="s">
        <v>242</v>
      </c>
      <c r="B162" t="s">
        <v>243</v>
      </c>
      <c r="C162" s="1">
        <f>DATE(2011,9,30)</f>
        <v>40816</v>
      </c>
      <c r="D162" s="1">
        <f>DATE(2011,9,30)</f>
        <v>40816</v>
      </c>
      <c r="E162" s="3">
        <v>148644.37</v>
      </c>
      <c r="F162" t="s">
        <v>20</v>
      </c>
      <c r="G162" s="2">
        <v>50</v>
      </c>
      <c r="H162" s="2">
        <v>0</v>
      </c>
      <c r="I162" s="1">
        <f t="shared" si="22"/>
        <v>44926</v>
      </c>
      <c r="J162" s="3">
        <v>247.75</v>
      </c>
      <c r="K162" s="3">
        <v>2972.89</v>
      </c>
      <c r="L162" s="3">
        <v>33445.019999999997</v>
      </c>
      <c r="M162" s="3">
        <v>115199.35</v>
      </c>
      <c r="N162" t="s">
        <v>164</v>
      </c>
      <c r="O162" t="s">
        <v>18</v>
      </c>
      <c r="P162" t="s">
        <v>19</v>
      </c>
      <c r="Q162" t="s">
        <v>165</v>
      </c>
    </row>
    <row r="163" spans="1:17" ht="17.45" customHeight="1" x14ac:dyDescent="0.2">
      <c r="A163" t="s">
        <v>244</v>
      </c>
      <c r="B163" t="s">
        <v>245</v>
      </c>
      <c r="C163" s="1">
        <f>DATE(2011,10,31)</f>
        <v>40847</v>
      </c>
      <c r="D163" s="1">
        <f>DATE(2011,10,31)</f>
        <v>40847</v>
      </c>
      <c r="E163" s="3">
        <v>21513.15</v>
      </c>
      <c r="F163" t="s">
        <v>20</v>
      </c>
      <c r="G163" s="2">
        <v>50</v>
      </c>
      <c r="H163" s="2">
        <v>0</v>
      </c>
      <c r="I163" s="1">
        <f t="shared" si="22"/>
        <v>44926</v>
      </c>
      <c r="J163" s="3">
        <v>35.799999999999997</v>
      </c>
      <c r="K163" s="3">
        <v>430.26</v>
      </c>
      <c r="L163" s="3">
        <v>4804.57</v>
      </c>
      <c r="M163" s="3">
        <v>16708.580000000002</v>
      </c>
      <c r="N163" t="s">
        <v>164</v>
      </c>
      <c r="O163" t="s">
        <v>18</v>
      </c>
      <c r="P163" t="s">
        <v>19</v>
      </c>
      <c r="Q163" t="s">
        <v>165</v>
      </c>
    </row>
    <row r="164" spans="1:17" ht="17.45" customHeight="1" x14ac:dyDescent="0.2">
      <c r="A164" t="s">
        <v>246</v>
      </c>
      <c r="B164" t="s">
        <v>247</v>
      </c>
      <c r="C164" s="1">
        <f>DATE(2011,10,31)</f>
        <v>40847</v>
      </c>
      <c r="D164" s="1">
        <f>DATE(2011,10,31)</f>
        <v>40847</v>
      </c>
      <c r="E164" s="3">
        <v>64657.98</v>
      </c>
      <c r="F164" t="s">
        <v>20</v>
      </c>
      <c r="G164" s="2">
        <v>50</v>
      </c>
      <c r="H164" s="2">
        <v>0</v>
      </c>
      <c r="I164" s="1">
        <f t="shared" si="22"/>
        <v>44926</v>
      </c>
      <c r="J164" s="3">
        <v>107.8</v>
      </c>
      <c r="K164" s="3">
        <v>1293.1600000000001</v>
      </c>
      <c r="L164" s="3">
        <v>14440.29</v>
      </c>
      <c r="M164" s="3">
        <v>50217.69</v>
      </c>
      <c r="N164" t="s">
        <v>164</v>
      </c>
      <c r="O164" t="s">
        <v>18</v>
      </c>
      <c r="P164" t="s">
        <v>19</v>
      </c>
      <c r="Q164" t="s">
        <v>165</v>
      </c>
    </row>
    <row r="165" spans="1:17" ht="17.45" customHeight="1" x14ac:dyDescent="0.2">
      <c r="A165" t="s">
        <v>248</v>
      </c>
      <c r="B165" t="s">
        <v>249</v>
      </c>
      <c r="C165" s="1">
        <f>DATE(2011,11,30)</f>
        <v>40877</v>
      </c>
      <c r="D165" s="1">
        <f>DATE(2011,11,30)</f>
        <v>40877</v>
      </c>
      <c r="E165" s="3">
        <v>6438.98</v>
      </c>
      <c r="F165" t="s">
        <v>20</v>
      </c>
      <c r="G165" s="2">
        <v>50</v>
      </c>
      <c r="H165" s="2">
        <v>0</v>
      </c>
      <c r="I165" s="1">
        <f t="shared" si="22"/>
        <v>44926</v>
      </c>
      <c r="J165" s="3">
        <v>10.75</v>
      </c>
      <c r="K165" s="3">
        <v>128.78</v>
      </c>
      <c r="L165" s="3">
        <v>1427.31</v>
      </c>
      <c r="M165" s="3">
        <v>5011.67</v>
      </c>
      <c r="N165" t="s">
        <v>164</v>
      </c>
      <c r="O165" t="s">
        <v>18</v>
      </c>
      <c r="P165" t="s">
        <v>19</v>
      </c>
      <c r="Q165" t="s">
        <v>165</v>
      </c>
    </row>
    <row r="166" spans="1:17" ht="17.45" customHeight="1" x14ac:dyDescent="0.2">
      <c r="A166" t="s">
        <v>250</v>
      </c>
      <c r="B166" t="s">
        <v>251</v>
      </c>
      <c r="C166" s="1">
        <f>DATE(2011,12,31)</f>
        <v>40908</v>
      </c>
      <c r="D166" s="1">
        <f>DATE(2011,12,31)</f>
        <v>40908</v>
      </c>
      <c r="E166" s="3">
        <v>9281.76</v>
      </c>
      <c r="F166" t="s">
        <v>20</v>
      </c>
      <c r="G166" s="2">
        <v>50</v>
      </c>
      <c r="H166" s="2">
        <v>0</v>
      </c>
      <c r="I166" s="1">
        <f t="shared" si="22"/>
        <v>44926</v>
      </c>
      <c r="J166" s="3">
        <v>15.47</v>
      </c>
      <c r="K166" s="3">
        <v>185.64</v>
      </c>
      <c r="L166" s="3">
        <v>2042.04</v>
      </c>
      <c r="M166" s="3">
        <v>7239.72</v>
      </c>
      <c r="N166" t="s">
        <v>164</v>
      </c>
      <c r="O166" t="s">
        <v>18</v>
      </c>
      <c r="P166" t="s">
        <v>19</v>
      </c>
      <c r="Q166" t="s">
        <v>165</v>
      </c>
    </row>
    <row r="167" spans="1:17" ht="17.45" customHeight="1" x14ac:dyDescent="0.2">
      <c r="A167" t="s">
        <v>252</v>
      </c>
      <c r="B167" t="s">
        <v>253</v>
      </c>
      <c r="C167" s="1">
        <f>DATE(2012,2,1)</f>
        <v>40940</v>
      </c>
      <c r="D167" s="1">
        <f>DATE(2012,2,1)</f>
        <v>40940</v>
      </c>
      <c r="E167" s="3">
        <v>7559.27</v>
      </c>
      <c r="F167" t="s">
        <v>20</v>
      </c>
      <c r="G167" s="2">
        <v>50</v>
      </c>
      <c r="H167" s="2">
        <v>0</v>
      </c>
      <c r="I167" s="1">
        <f t="shared" si="22"/>
        <v>44926</v>
      </c>
      <c r="J167" s="3">
        <v>12.59</v>
      </c>
      <c r="K167" s="3">
        <v>151.19</v>
      </c>
      <c r="L167" s="3">
        <v>1650.49</v>
      </c>
      <c r="M167" s="3">
        <v>5908.78</v>
      </c>
      <c r="N167" t="s">
        <v>164</v>
      </c>
      <c r="O167" t="s">
        <v>18</v>
      </c>
      <c r="P167" t="s">
        <v>19</v>
      </c>
      <c r="Q167" t="s">
        <v>165</v>
      </c>
    </row>
    <row r="168" spans="1:17" ht="17.45" customHeight="1" x14ac:dyDescent="0.2">
      <c r="A168" t="s">
        <v>254</v>
      </c>
      <c r="B168" t="s">
        <v>255</v>
      </c>
      <c r="C168" s="1">
        <f>DATE(2012,3,31)</f>
        <v>40999</v>
      </c>
      <c r="D168" s="1">
        <f>DATE(2012,3,31)</f>
        <v>40999</v>
      </c>
      <c r="E168" s="3">
        <v>314350.64</v>
      </c>
      <c r="F168" t="s">
        <v>20</v>
      </c>
      <c r="G168" s="2">
        <v>50</v>
      </c>
      <c r="H168" s="2">
        <v>0</v>
      </c>
      <c r="I168" s="1">
        <f t="shared" si="22"/>
        <v>44926</v>
      </c>
      <c r="J168" s="3">
        <v>523.89</v>
      </c>
      <c r="K168" s="3">
        <v>6287.01</v>
      </c>
      <c r="L168" s="3">
        <v>67585.36</v>
      </c>
      <c r="M168" s="3">
        <v>246765.28</v>
      </c>
      <c r="N168" t="s">
        <v>164</v>
      </c>
      <c r="O168" t="s">
        <v>18</v>
      </c>
      <c r="P168" t="s">
        <v>19</v>
      </c>
      <c r="Q168" t="s">
        <v>165</v>
      </c>
    </row>
    <row r="169" spans="1:17" ht="17.45" customHeight="1" x14ac:dyDescent="0.2">
      <c r="A169" t="s">
        <v>256</v>
      </c>
      <c r="B169" t="s">
        <v>257</v>
      </c>
      <c r="C169" s="1">
        <f>DATE(2012,6,30)</f>
        <v>41090</v>
      </c>
      <c r="D169" s="1">
        <f>DATE(2012,6,30)</f>
        <v>41090</v>
      </c>
      <c r="E169" s="3">
        <v>2353.94</v>
      </c>
      <c r="F169" t="s">
        <v>20</v>
      </c>
      <c r="G169" s="2">
        <v>50</v>
      </c>
      <c r="H169" s="2">
        <v>0</v>
      </c>
      <c r="I169" s="1">
        <f t="shared" si="22"/>
        <v>44926</v>
      </c>
      <c r="J169" s="3">
        <v>3.96</v>
      </c>
      <c r="K169" s="3">
        <v>47.08</v>
      </c>
      <c r="L169" s="3">
        <v>494.34</v>
      </c>
      <c r="M169" s="3">
        <v>1859.6</v>
      </c>
      <c r="N169" t="s">
        <v>164</v>
      </c>
      <c r="O169" t="s">
        <v>18</v>
      </c>
      <c r="P169" t="s">
        <v>19</v>
      </c>
      <c r="Q169" t="s">
        <v>165</v>
      </c>
    </row>
    <row r="170" spans="1:17" ht="17.45" customHeight="1" x14ac:dyDescent="0.2">
      <c r="A170" t="s">
        <v>258</v>
      </c>
      <c r="B170" t="s">
        <v>259</v>
      </c>
      <c r="C170" s="1">
        <f t="shared" ref="C170:D174" si="23">DATE(2012,12,31)</f>
        <v>41274</v>
      </c>
      <c r="D170" s="1">
        <f t="shared" si="23"/>
        <v>41274</v>
      </c>
      <c r="E170" s="3">
        <v>48232.7</v>
      </c>
      <c r="F170" t="s">
        <v>20</v>
      </c>
      <c r="G170" s="2">
        <v>50</v>
      </c>
      <c r="H170" s="2">
        <v>0</v>
      </c>
      <c r="I170" s="1">
        <f t="shared" si="22"/>
        <v>44926</v>
      </c>
      <c r="J170" s="3">
        <v>80.36</v>
      </c>
      <c r="K170" s="3">
        <v>964.65</v>
      </c>
      <c r="L170" s="3">
        <v>9646.5</v>
      </c>
      <c r="M170" s="3">
        <v>38586.199999999997</v>
      </c>
      <c r="N170" t="s">
        <v>164</v>
      </c>
      <c r="O170" t="s">
        <v>18</v>
      </c>
      <c r="P170" t="s">
        <v>19</v>
      </c>
      <c r="Q170" t="s">
        <v>165</v>
      </c>
    </row>
    <row r="171" spans="1:17" ht="17.45" customHeight="1" x14ac:dyDescent="0.2">
      <c r="A171" t="s">
        <v>260</v>
      </c>
      <c r="B171" t="s">
        <v>261</v>
      </c>
      <c r="C171" s="1">
        <f t="shared" si="23"/>
        <v>41274</v>
      </c>
      <c r="D171" s="1">
        <f t="shared" si="23"/>
        <v>41274</v>
      </c>
      <c r="E171" s="3">
        <v>18782.52</v>
      </c>
      <c r="F171" t="s">
        <v>20</v>
      </c>
      <c r="G171" s="2">
        <v>30</v>
      </c>
      <c r="H171" s="2">
        <v>0</v>
      </c>
      <c r="I171" s="1">
        <f t="shared" si="22"/>
        <v>44926</v>
      </c>
      <c r="J171" s="3">
        <v>52.21</v>
      </c>
      <c r="K171" s="3">
        <v>626.08000000000004</v>
      </c>
      <c r="L171" s="3">
        <v>6260.8</v>
      </c>
      <c r="M171" s="3">
        <v>12521.72</v>
      </c>
      <c r="N171" t="s">
        <v>180</v>
      </c>
      <c r="O171" t="s">
        <v>18</v>
      </c>
      <c r="P171" t="s">
        <v>19</v>
      </c>
      <c r="Q171" t="s">
        <v>165</v>
      </c>
    </row>
    <row r="172" spans="1:17" ht="17.45" customHeight="1" x14ac:dyDescent="0.2">
      <c r="A172" t="s">
        <v>262</v>
      </c>
      <c r="B172" t="s">
        <v>263</v>
      </c>
      <c r="C172" s="1">
        <f t="shared" si="23"/>
        <v>41274</v>
      </c>
      <c r="D172" s="1">
        <f t="shared" si="23"/>
        <v>41274</v>
      </c>
      <c r="E172" s="3">
        <v>91262.11</v>
      </c>
      <c r="F172" t="s">
        <v>20</v>
      </c>
      <c r="G172" s="2">
        <v>50</v>
      </c>
      <c r="H172" s="2">
        <v>0</v>
      </c>
      <c r="I172" s="1">
        <f t="shared" si="22"/>
        <v>44926</v>
      </c>
      <c r="J172" s="3">
        <v>152.13999999999999</v>
      </c>
      <c r="K172" s="3">
        <v>1825.24</v>
      </c>
      <c r="L172" s="3">
        <v>18252.400000000001</v>
      </c>
      <c r="M172" s="3">
        <v>73009.710000000006</v>
      </c>
      <c r="N172" t="s">
        <v>164</v>
      </c>
      <c r="O172" t="s">
        <v>18</v>
      </c>
      <c r="P172" t="s">
        <v>19</v>
      </c>
      <c r="Q172" t="s">
        <v>165</v>
      </c>
    </row>
    <row r="173" spans="1:17" ht="17.45" customHeight="1" x14ac:dyDescent="0.2">
      <c r="A173" t="s">
        <v>264</v>
      </c>
      <c r="B173" t="s">
        <v>265</v>
      </c>
      <c r="C173" s="1">
        <f t="shared" si="23"/>
        <v>41274</v>
      </c>
      <c r="D173" s="1">
        <f t="shared" si="23"/>
        <v>41274</v>
      </c>
      <c r="E173" s="3">
        <v>45377.83</v>
      </c>
      <c r="F173" t="s">
        <v>20</v>
      </c>
      <c r="G173" s="2">
        <v>50</v>
      </c>
      <c r="H173" s="2">
        <v>0</v>
      </c>
      <c r="I173" s="1">
        <f t="shared" si="22"/>
        <v>44926</v>
      </c>
      <c r="J173" s="3">
        <v>75.63</v>
      </c>
      <c r="K173" s="3">
        <v>907.56</v>
      </c>
      <c r="L173" s="3">
        <v>9075.6</v>
      </c>
      <c r="M173" s="3">
        <v>36302.230000000003</v>
      </c>
      <c r="N173" t="s">
        <v>164</v>
      </c>
      <c r="O173" t="s">
        <v>18</v>
      </c>
      <c r="P173" t="s">
        <v>19</v>
      </c>
      <c r="Q173" t="s">
        <v>165</v>
      </c>
    </row>
    <row r="174" spans="1:17" ht="17.45" customHeight="1" x14ac:dyDescent="0.2">
      <c r="A174" t="s">
        <v>266</v>
      </c>
      <c r="B174" t="s">
        <v>267</v>
      </c>
      <c r="C174" s="1">
        <f t="shared" si="23"/>
        <v>41274</v>
      </c>
      <c r="D174" s="1">
        <f t="shared" si="23"/>
        <v>41274</v>
      </c>
      <c r="E174" s="3">
        <v>5989.26</v>
      </c>
      <c r="F174" t="s">
        <v>20</v>
      </c>
      <c r="G174" s="2">
        <v>30</v>
      </c>
      <c r="H174" s="2">
        <v>0</v>
      </c>
      <c r="I174" s="1">
        <f t="shared" si="22"/>
        <v>44926</v>
      </c>
      <c r="J174" s="3">
        <v>16.600000000000001</v>
      </c>
      <c r="K174" s="3">
        <v>199.64</v>
      </c>
      <c r="L174" s="3">
        <v>1996.4</v>
      </c>
      <c r="M174" s="3">
        <v>3992.86</v>
      </c>
      <c r="N174" t="s">
        <v>180</v>
      </c>
      <c r="O174" t="s">
        <v>18</v>
      </c>
      <c r="P174" t="s">
        <v>19</v>
      </c>
      <c r="Q174" t="s">
        <v>165</v>
      </c>
    </row>
    <row r="175" spans="1:17" ht="17.45" customHeight="1" x14ac:dyDescent="0.2">
      <c r="A175" t="s">
        <v>268</v>
      </c>
      <c r="B175" t="s">
        <v>269</v>
      </c>
      <c r="C175" s="1">
        <f>DATE(2013,5,31)</f>
        <v>41425</v>
      </c>
      <c r="D175" s="1">
        <f>DATE(2013,5,31)</f>
        <v>41425</v>
      </c>
      <c r="E175" s="3">
        <v>216036.87</v>
      </c>
      <c r="F175" t="s">
        <v>20</v>
      </c>
      <c r="G175" s="2">
        <v>50</v>
      </c>
      <c r="H175" s="2">
        <v>0</v>
      </c>
      <c r="I175" s="1">
        <f t="shared" si="22"/>
        <v>44926</v>
      </c>
      <c r="J175" s="3">
        <v>360.08</v>
      </c>
      <c r="K175" s="3">
        <v>4320.74</v>
      </c>
      <c r="L175" s="3">
        <v>41407.089999999997</v>
      </c>
      <c r="M175" s="3">
        <v>174629.78</v>
      </c>
      <c r="N175" t="s">
        <v>164</v>
      </c>
      <c r="O175" t="s">
        <v>18</v>
      </c>
      <c r="P175" t="s">
        <v>19</v>
      </c>
      <c r="Q175" t="s">
        <v>165</v>
      </c>
    </row>
    <row r="176" spans="1:17" ht="17.45" customHeight="1" x14ac:dyDescent="0.2">
      <c r="A176" t="s">
        <v>270</v>
      </c>
      <c r="B176" t="s">
        <v>271</v>
      </c>
      <c r="C176" s="1">
        <f>DATE(2013,5,31)</f>
        <v>41425</v>
      </c>
      <c r="D176" s="1">
        <f>DATE(2013,5,31)</f>
        <v>41425</v>
      </c>
      <c r="E176" s="3">
        <v>50723.82</v>
      </c>
      <c r="F176" t="s">
        <v>20</v>
      </c>
      <c r="G176" s="2">
        <v>30</v>
      </c>
      <c r="H176" s="2">
        <v>0</v>
      </c>
      <c r="I176" s="1">
        <f t="shared" si="22"/>
        <v>44926</v>
      </c>
      <c r="J176" s="3">
        <v>140.88999999999999</v>
      </c>
      <c r="K176" s="3">
        <v>1690.79</v>
      </c>
      <c r="L176" s="3">
        <v>16203.41</v>
      </c>
      <c r="M176" s="3">
        <v>34520.410000000003</v>
      </c>
      <c r="N176" t="s">
        <v>180</v>
      </c>
      <c r="O176" t="s">
        <v>18</v>
      </c>
      <c r="P176" t="s">
        <v>19</v>
      </c>
      <c r="Q176" t="s">
        <v>165</v>
      </c>
    </row>
    <row r="177" spans="1:17" ht="17.45" customHeight="1" x14ac:dyDescent="0.2">
      <c r="A177" t="s">
        <v>272</v>
      </c>
      <c r="B177" t="s">
        <v>273</v>
      </c>
      <c r="C177" s="1">
        <f>DATE(2013,6,1)</f>
        <v>41426</v>
      </c>
      <c r="D177" s="1">
        <f>DATE(2013,6,1)</f>
        <v>41426</v>
      </c>
      <c r="E177" s="3">
        <v>20667.39</v>
      </c>
      <c r="F177" t="s">
        <v>20</v>
      </c>
      <c r="G177" s="2">
        <v>30</v>
      </c>
      <c r="H177" s="2">
        <v>0</v>
      </c>
      <c r="I177" s="1">
        <f t="shared" si="22"/>
        <v>44926</v>
      </c>
      <c r="J177" s="3">
        <v>57.4</v>
      </c>
      <c r="K177" s="3">
        <v>688.91</v>
      </c>
      <c r="L177" s="3">
        <v>6602.06</v>
      </c>
      <c r="M177" s="3">
        <v>14065.33</v>
      </c>
      <c r="N177" t="s">
        <v>180</v>
      </c>
      <c r="O177" t="s">
        <v>18</v>
      </c>
      <c r="P177" t="s">
        <v>19</v>
      </c>
      <c r="Q177" t="s">
        <v>165</v>
      </c>
    </row>
    <row r="178" spans="1:17" ht="17.45" customHeight="1" x14ac:dyDescent="0.2">
      <c r="A178" t="s">
        <v>274</v>
      </c>
      <c r="B178" t="s">
        <v>275</v>
      </c>
      <c r="C178" s="1">
        <f>DATE(2013,6,1)</f>
        <v>41426</v>
      </c>
      <c r="D178" s="1">
        <f>DATE(2013,6,1)</f>
        <v>41426</v>
      </c>
      <c r="E178" s="3">
        <v>116264.28</v>
      </c>
      <c r="F178" t="s">
        <v>20</v>
      </c>
      <c r="G178" s="2">
        <v>50</v>
      </c>
      <c r="H178" s="2">
        <v>0</v>
      </c>
      <c r="I178" s="1">
        <f t="shared" si="22"/>
        <v>44926</v>
      </c>
      <c r="J178" s="3">
        <v>193.82</v>
      </c>
      <c r="K178" s="3">
        <v>2325.29</v>
      </c>
      <c r="L178" s="3">
        <v>22284.03</v>
      </c>
      <c r="M178" s="3">
        <v>93980.25</v>
      </c>
      <c r="N178" t="s">
        <v>164</v>
      </c>
      <c r="O178" t="s">
        <v>18</v>
      </c>
      <c r="P178" t="s">
        <v>19</v>
      </c>
      <c r="Q178" t="s">
        <v>165</v>
      </c>
    </row>
    <row r="179" spans="1:17" ht="17.45" customHeight="1" x14ac:dyDescent="0.2">
      <c r="A179" t="s">
        <v>276</v>
      </c>
      <c r="B179" t="s">
        <v>277</v>
      </c>
      <c r="C179" s="1">
        <f>DATE(2013,8,1)</f>
        <v>41487</v>
      </c>
      <c r="D179" s="1">
        <f>DATE(2013,8,1)</f>
        <v>41487</v>
      </c>
      <c r="E179" s="3">
        <v>12044.72</v>
      </c>
      <c r="F179" t="s">
        <v>20</v>
      </c>
      <c r="G179" s="2">
        <v>30</v>
      </c>
      <c r="H179" s="2">
        <v>0</v>
      </c>
      <c r="I179" s="1">
        <f t="shared" si="22"/>
        <v>44926</v>
      </c>
      <c r="J179" s="3">
        <v>33.43</v>
      </c>
      <c r="K179" s="3">
        <v>401.49</v>
      </c>
      <c r="L179" s="3">
        <v>3780.7</v>
      </c>
      <c r="M179" s="3">
        <v>8264.02</v>
      </c>
      <c r="N179" t="s">
        <v>180</v>
      </c>
      <c r="O179" t="s">
        <v>18</v>
      </c>
      <c r="P179" t="s">
        <v>19</v>
      </c>
      <c r="Q179" t="s">
        <v>165</v>
      </c>
    </row>
    <row r="180" spans="1:17" ht="17.45" customHeight="1" x14ac:dyDescent="0.2">
      <c r="A180" t="s">
        <v>278</v>
      </c>
      <c r="B180" t="s">
        <v>279</v>
      </c>
      <c r="C180" s="1">
        <f>DATE(2013,8,1)</f>
        <v>41487</v>
      </c>
      <c r="D180" s="1">
        <f>DATE(2013,8,1)</f>
        <v>41487</v>
      </c>
      <c r="E180" s="3">
        <v>18758.34</v>
      </c>
      <c r="F180" t="s">
        <v>20</v>
      </c>
      <c r="G180" s="2">
        <v>50</v>
      </c>
      <c r="H180" s="2">
        <v>0</v>
      </c>
      <c r="I180" s="1">
        <f t="shared" si="22"/>
        <v>44926</v>
      </c>
      <c r="J180" s="3">
        <v>31.31</v>
      </c>
      <c r="K180" s="3">
        <v>375.17</v>
      </c>
      <c r="L180" s="3">
        <v>3532.85</v>
      </c>
      <c r="M180" s="3">
        <v>15225.49</v>
      </c>
      <c r="N180" t="s">
        <v>164</v>
      </c>
      <c r="O180" t="s">
        <v>18</v>
      </c>
      <c r="P180" t="s">
        <v>19</v>
      </c>
      <c r="Q180" t="s">
        <v>165</v>
      </c>
    </row>
    <row r="181" spans="1:17" ht="17.45" customHeight="1" x14ac:dyDescent="0.2">
      <c r="A181" t="s">
        <v>280</v>
      </c>
      <c r="B181" t="s">
        <v>281</v>
      </c>
      <c r="C181" s="1">
        <f>DATE(2013,12,31)</f>
        <v>41639</v>
      </c>
      <c r="D181" s="1">
        <f>DATE(2013,12,31)</f>
        <v>41639</v>
      </c>
      <c r="E181" s="3">
        <v>87655.03</v>
      </c>
      <c r="F181" t="s">
        <v>20</v>
      </c>
      <c r="G181" s="2">
        <v>30</v>
      </c>
      <c r="H181" s="2">
        <v>0</v>
      </c>
      <c r="I181" s="1">
        <f t="shared" si="22"/>
        <v>44926</v>
      </c>
      <c r="J181" s="3">
        <v>243.44</v>
      </c>
      <c r="K181" s="3">
        <v>2921.83</v>
      </c>
      <c r="L181" s="3">
        <v>26296.47</v>
      </c>
      <c r="M181" s="3">
        <v>61358.559999999998</v>
      </c>
      <c r="N181" t="s">
        <v>180</v>
      </c>
      <c r="O181" t="s">
        <v>18</v>
      </c>
      <c r="P181" t="s">
        <v>19</v>
      </c>
      <c r="Q181" t="s">
        <v>165</v>
      </c>
    </row>
    <row r="182" spans="1:17" ht="17.45" customHeight="1" x14ac:dyDescent="0.2">
      <c r="A182" t="s">
        <v>614</v>
      </c>
      <c r="B182" t="s">
        <v>615</v>
      </c>
      <c r="C182" s="1">
        <f>DATE(2014,12,31)</f>
        <v>42004</v>
      </c>
      <c r="D182" s="1">
        <f>DATE(2014,12,31)</f>
        <v>42004</v>
      </c>
      <c r="E182" s="3">
        <v>74787.039999999994</v>
      </c>
      <c r="F182" t="s">
        <v>20</v>
      </c>
      <c r="G182" s="2">
        <v>30</v>
      </c>
      <c r="H182" s="2">
        <v>0</v>
      </c>
      <c r="I182" s="1">
        <f t="shared" si="22"/>
        <v>44926</v>
      </c>
      <c r="J182" s="3">
        <v>207.76</v>
      </c>
      <c r="K182" s="3">
        <v>2492.9</v>
      </c>
      <c r="L182" s="3">
        <v>19943.2</v>
      </c>
      <c r="M182" s="3">
        <v>54843.839999999997</v>
      </c>
      <c r="N182" t="s">
        <v>180</v>
      </c>
      <c r="O182" t="s">
        <v>18</v>
      </c>
      <c r="P182" t="s">
        <v>19</v>
      </c>
      <c r="Q182" t="s">
        <v>165</v>
      </c>
    </row>
    <row r="183" spans="1:17" ht="17.45" customHeight="1" x14ac:dyDescent="0.2">
      <c r="A183" t="s">
        <v>618</v>
      </c>
      <c r="B183" t="s">
        <v>619</v>
      </c>
      <c r="C183" s="1">
        <f>DATE(2014,12,31)</f>
        <v>42004</v>
      </c>
      <c r="D183" s="1">
        <f>DATE(2014,12,31)</f>
        <v>42004</v>
      </c>
      <c r="E183" s="3">
        <v>220372.45</v>
      </c>
      <c r="F183" t="s">
        <v>20</v>
      </c>
      <c r="G183" s="2">
        <v>50</v>
      </c>
      <c r="H183" s="2">
        <v>0</v>
      </c>
      <c r="I183" s="1">
        <f t="shared" ref="I183:I213" si="24">DATE(2022,12,31)</f>
        <v>44926</v>
      </c>
      <c r="J183" s="3">
        <v>367.26</v>
      </c>
      <c r="K183" s="3">
        <v>4407.45</v>
      </c>
      <c r="L183" s="3">
        <v>35259.599999999999</v>
      </c>
      <c r="M183" s="3">
        <v>185112.85</v>
      </c>
      <c r="N183" t="s">
        <v>164</v>
      </c>
      <c r="O183" t="s">
        <v>18</v>
      </c>
      <c r="P183" t="s">
        <v>19</v>
      </c>
      <c r="Q183" t="s">
        <v>165</v>
      </c>
    </row>
    <row r="184" spans="1:17" ht="17.45" customHeight="1" x14ac:dyDescent="0.2">
      <c r="A184" t="s">
        <v>638</v>
      </c>
      <c r="B184" t="s">
        <v>639</v>
      </c>
      <c r="C184" s="1">
        <f>DATE(2015,1,13)</f>
        <v>42017</v>
      </c>
      <c r="D184" s="1">
        <f>DATE(2015,1,13)</f>
        <v>42017</v>
      </c>
      <c r="E184" s="3">
        <v>38649.06</v>
      </c>
      <c r="F184" t="s">
        <v>20</v>
      </c>
      <c r="G184" s="2">
        <v>30</v>
      </c>
      <c r="H184" s="2">
        <v>0</v>
      </c>
      <c r="I184" s="1">
        <f t="shared" si="24"/>
        <v>44926</v>
      </c>
      <c r="J184" s="3">
        <v>107.34</v>
      </c>
      <c r="K184" s="3">
        <v>1288.3</v>
      </c>
      <c r="L184" s="3">
        <v>10306.4</v>
      </c>
      <c r="M184" s="3">
        <v>28342.66</v>
      </c>
      <c r="N184" t="s">
        <v>180</v>
      </c>
      <c r="O184" t="s">
        <v>18</v>
      </c>
      <c r="P184" t="s">
        <v>19</v>
      </c>
      <c r="Q184" t="s">
        <v>165</v>
      </c>
    </row>
    <row r="185" spans="1:17" ht="17.45" customHeight="1" x14ac:dyDescent="0.2">
      <c r="A185" t="s">
        <v>640</v>
      </c>
      <c r="B185" t="s">
        <v>641</v>
      </c>
      <c r="C185" s="1">
        <f>DATE(2015,1,31)</f>
        <v>42035</v>
      </c>
      <c r="D185" s="1">
        <f>DATE(2015,1,31)</f>
        <v>42035</v>
      </c>
      <c r="E185" s="3">
        <v>276853.44</v>
      </c>
      <c r="F185" t="s">
        <v>20</v>
      </c>
      <c r="G185" s="2">
        <v>50</v>
      </c>
      <c r="H185" s="2">
        <v>0</v>
      </c>
      <c r="I185" s="1">
        <f t="shared" si="24"/>
        <v>44926</v>
      </c>
      <c r="J185" s="3">
        <v>461.45</v>
      </c>
      <c r="K185" s="3">
        <v>5537.07</v>
      </c>
      <c r="L185" s="3">
        <v>43835.14</v>
      </c>
      <c r="M185" s="3">
        <v>233018.3</v>
      </c>
      <c r="N185" t="s">
        <v>164</v>
      </c>
      <c r="O185" t="s">
        <v>18</v>
      </c>
      <c r="P185" t="s">
        <v>19</v>
      </c>
      <c r="Q185" t="s">
        <v>165</v>
      </c>
    </row>
    <row r="186" spans="1:17" ht="17.45" customHeight="1" x14ac:dyDescent="0.2">
      <c r="A186" t="s">
        <v>676</v>
      </c>
      <c r="B186" t="s">
        <v>677</v>
      </c>
      <c r="C186" s="1">
        <f>DATE(2015,8,31)</f>
        <v>42247</v>
      </c>
      <c r="D186" s="1">
        <f>DATE(2015,8,31)</f>
        <v>42247</v>
      </c>
      <c r="E186" s="3">
        <v>15887.58</v>
      </c>
      <c r="F186" t="s">
        <v>20</v>
      </c>
      <c r="G186" s="2">
        <v>50</v>
      </c>
      <c r="H186" s="2">
        <v>0</v>
      </c>
      <c r="I186" s="1">
        <f t="shared" si="24"/>
        <v>44926</v>
      </c>
      <c r="J186" s="3">
        <v>26.47</v>
      </c>
      <c r="K186" s="3">
        <v>317.75</v>
      </c>
      <c r="L186" s="3">
        <v>2330.17</v>
      </c>
      <c r="M186" s="3">
        <v>13557.41</v>
      </c>
      <c r="N186" t="s">
        <v>164</v>
      </c>
      <c r="O186" t="s">
        <v>18</v>
      </c>
      <c r="P186" t="s">
        <v>19</v>
      </c>
      <c r="Q186" t="s">
        <v>165</v>
      </c>
    </row>
    <row r="187" spans="1:17" ht="17.45" customHeight="1" x14ac:dyDescent="0.2">
      <c r="A187" t="s">
        <v>680</v>
      </c>
      <c r="B187" t="s">
        <v>681</v>
      </c>
      <c r="C187" s="1">
        <f>DATE(2015,8,31)</f>
        <v>42247</v>
      </c>
      <c r="D187" s="1">
        <f>DATE(2015,8,31)</f>
        <v>42247</v>
      </c>
      <c r="E187" s="3">
        <v>39122.49</v>
      </c>
      <c r="F187" t="s">
        <v>20</v>
      </c>
      <c r="G187" s="2">
        <v>50</v>
      </c>
      <c r="H187" s="2">
        <v>0</v>
      </c>
      <c r="I187" s="1">
        <f t="shared" si="24"/>
        <v>44926</v>
      </c>
      <c r="J187" s="3">
        <v>65.25</v>
      </c>
      <c r="K187" s="3">
        <v>782.45</v>
      </c>
      <c r="L187" s="3">
        <v>5737.97</v>
      </c>
      <c r="M187" s="3">
        <v>33384.519999999997</v>
      </c>
      <c r="N187" t="s">
        <v>164</v>
      </c>
      <c r="O187" t="s">
        <v>18</v>
      </c>
      <c r="P187" t="s">
        <v>19</v>
      </c>
      <c r="Q187" t="s">
        <v>165</v>
      </c>
    </row>
    <row r="188" spans="1:17" ht="17.45" customHeight="1" x14ac:dyDescent="0.2">
      <c r="A188" t="s">
        <v>818</v>
      </c>
      <c r="B188" t="s">
        <v>819</v>
      </c>
      <c r="C188" s="1">
        <f t="shared" ref="C188:D191" si="25">DATE(2016,12,31)</f>
        <v>42735</v>
      </c>
      <c r="D188" s="1">
        <f t="shared" si="25"/>
        <v>42735</v>
      </c>
      <c r="E188" s="3">
        <v>338143.17</v>
      </c>
      <c r="F188" t="s">
        <v>20</v>
      </c>
      <c r="G188" s="2">
        <v>50</v>
      </c>
      <c r="H188" s="2">
        <v>0</v>
      </c>
      <c r="I188" s="1">
        <f t="shared" si="24"/>
        <v>44926</v>
      </c>
      <c r="J188" s="3">
        <v>563.59</v>
      </c>
      <c r="K188" s="3">
        <v>6762.86</v>
      </c>
      <c r="L188" s="3">
        <v>40577.160000000003</v>
      </c>
      <c r="M188" s="3">
        <v>297566.01</v>
      </c>
      <c r="N188" t="s">
        <v>164</v>
      </c>
      <c r="O188" t="s">
        <v>18</v>
      </c>
      <c r="P188" t="s">
        <v>19</v>
      </c>
      <c r="Q188" t="s">
        <v>165</v>
      </c>
    </row>
    <row r="189" spans="1:17" ht="17.45" customHeight="1" x14ac:dyDescent="0.2">
      <c r="A189" t="s">
        <v>820</v>
      </c>
      <c r="B189" t="s">
        <v>821</v>
      </c>
      <c r="C189" s="1">
        <f t="shared" si="25"/>
        <v>42735</v>
      </c>
      <c r="D189" s="1">
        <f t="shared" si="25"/>
        <v>42735</v>
      </c>
      <c r="E189" s="3">
        <v>35125.42</v>
      </c>
      <c r="F189" t="s">
        <v>20</v>
      </c>
      <c r="G189" s="2">
        <v>30</v>
      </c>
      <c r="H189" s="2">
        <v>0</v>
      </c>
      <c r="I189" s="1">
        <f t="shared" si="24"/>
        <v>44926</v>
      </c>
      <c r="J189" s="3">
        <v>97.58</v>
      </c>
      <c r="K189" s="3">
        <v>1170.8499999999999</v>
      </c>
      <c r="L189" s="3">
        <v>7025.1</v>
      </c>
      <c r="M189" s="3">
        <v>28100.32</v>
      </c>
      <c r="N189" t="s">
        <v>180</v>
      </c>
      <c r="O189" t="s">
        <v>18</v>
      </c>
      <c r="P189" t="s">
        <v>19</v>
      </c>
      <c r="Q189" t="s">
        <v>165</v>
      </c>
    </row>
    <row r="190" spans="1:17" ht="17.45" customHeight="1" x14ac:dyDescent="0.2">
      <c r="A190" t="s">
        <v>822</v>
      </c>
      <c r="B190" t="s">
        <v>823</v>
      </c>
      <c r="C190" s="1">
        <f t="shared" si="25"/>
        <v>42735</v>
      </c>
      <c r="D190" s="1">
        <f t="shared" si="25"/>
        <v>42735</v>
      </c>
      <c r="E190" s="3">
        <v>952016.62</v>
      </c>
      <c r="F190" t="s">
        <v>20</v>
      </c>
      <c r="G190" s="2">
        <v>50</v>
      </c>
      <c r="H190" s="2">
        <v>0</v>
      </c>
      <c r="I190" s="1">
        <f t="shared" si="24"/>
        <v>44926</v>
      </c>
      <c r="J190" s="3">
        <v>1586.74</v>
      </c>
      <c r="K190" s="3">
        <v>19040.330000000002</v>
      </c>
      <c r="L190" s="3">
        <v>114241.98</v>
      </c>
      <c r="M190" s="3">
        <v>837774.64</v>
      </c>
      <c r="N190" t="s">
        <v>164</v>
      </c>
      <c r="O190" t="s">
        <v>18</v>
      </c>
      <c r="P190" t="s">
        <v>19</v>
      </c>
      <c r="Q190" t="s">
        <v>165</v>
      </c>
    </row>
    <row r="191" spans="1:17" ht="17.45" customHeight="1" x14ac:dyDescent="0.2">
      <c r="A191" t="s">
        <v>824</v>
      </c>
      <c r="B191" t="s">
        <v>825</v>
      </c>
      <c r="C191" s="1">
        <f t="shared" si="25"/>
        <v>42735</v>
      </c>
      <c r="D191" s="1">
        <f t="shared" si="25"/>
        <v>42735</v>
      </c>
      <c r="E191" s="3">
        <v>82846.05</v>
      </c>
      <c r="F191" t="s">
        <v>20</v>
      </c>
      <c r="G191" s="2">
        <v>30</v>
      </c>
      <c r="H191" s="2">
        <v>0</v>
      </c>
      <c r="I191" s="1">
        <f t="shared" si="24"/>
        <v>44926</v>
      </c>
      <c r="J191" s="3">
        <v>230.11</v>
      </c>
      <c r="K191" s="3">
        <v>2761.54</v>
      </c>
      <c r="L191" s="3">
        <v>16569.240000000002</v>
      </c>
      <c r="M191" s="3">
        <v>66276.81</v>
      </c>
      <c r="N191" t="s">
        <v>180</v>
      </c>
      <c r="O191" t="s">
        <v>18</v>
      </c>
      <c r="P191" t="s">
        <v>19</v>
      </c>
      <c r="Q191" t="s">
        <v>165</v>
      </c>
    </row>
    <row r="192" spans="1:17" ht="17.45" customHeight="1" x14ac:dyDescent="0.2">
      <c r="A192" t="s">
        <v>826</v>
      </c>
      <c r="B192" t="s">
        <v>827</v>
      </c>
      <c r="C192" s="1">
        <f>DATE(2017,1,31)</f>
        <v>42766</v>
      </c>
      <c r="D192" s="1">
        <f>DATE(2017,1,31)</f>
        <v>42766</v>
      </c>
      <c r="E192" s="3">
        <v>6581.85</v>
      </c>
      <c r="F192" t="s">
        <v>20</v>
      </c>
      <c r="G192" s="2">
        <v>50</v>
      </c>
      <c r="H192" s="2">
        <v>0</v>
      </c>
      <c r="I192" s="1">
        <f t="shared" si="24"/>
        <v>44926</v>
      </c>
      <c r="J192" s="3">
        <v>10.97</v>
      </c>
      <c r="K192" s="3">
        <v>131.63999999999999</v>
      </c>
      <c r="L192" s="3">
        <v>778.87</v>
      </c>
      <c r="M192" s="3">
        <v>5802.98</v>
      </c>
      <c r="N192" t="s">
        <v>164</v>
      </c>
      <c r="O192" t="s">
        <v>18</v>
      </c>
      <c r="P192" t="s">
        <v>19</v>
      </c>
      <c r="Q192" t="s">
        <v>165</v>
      </c>
    </row>
    <row r="193" spans="1:17" ht="17.45" customHeight="1" x14ac:dyDescent="0.2">
      <c r="A193" t="s">
        <v>854</v>
      </c>
      <c r="B193" t="s">
        <v>855</v>
      </c>
      <c r="C193" s="1">
        <f>DATE(2017,12,31)</f>
        <v>43100</v>
      </c>
      <c r="D193" s="1">
        <f>DATE(2017,12,31)</f>
        <v>43100</v>
      </c>
      <c r="E193" s="3">
        <v>208962.72</v>
      </c>
      <c r="F193" t="s">
        <v>20</v>
      </c>
      <c r="G193" s="2">
        <v>50</v>
      </c>
      <c r="H193" s="2">
        <v>0</v>
      </c>
      <c r="I193" s="1">
        <f t="shared" si="24"/>
        <v>44926</v>
      </c>
      <c r="J193" s="3">
        <v>348.28</v>
      </c>
      <c r="K193" s="3">
        <v>4179.25</v>
      </c>
      <c r="L193" s="3">
        <v>20896.25</v>
      </c>
      <c r="M193" s="3">
        <v>188066.47</v>
      </c>
      <c r="N193" t="s">
        <v>164</v>
      </c>
      <c r="O193" t="s">
        <v>18</v>
      </c>
      <c r="P193" t="s">
        <v>19</v>
      </c>
      <c r="Q193" t="s">
        <v>165</v>
      </c>
    </row>
    <row r="194" spans="1:17" ht="17.45" customHeight="1" x14ac:dyDescent="0.2">
      <c r="A194" t="s">
        <v>866</v>
      </c>
      <c r="B194" t="s">
        <v>867</v>
      </c>
      <c r="C194" s="1">
        <f>DATE(2018,1,31)</f>
        <v>43131</v>
      </c>
      <c r="D194" s="1">
        <f>DATE(2018,1,31)</f>
        <v>43131</v>
      </c>
      <c r="E194" s="3">
        <v>1003314.17</v>
      </c>
      <c r="F194" t="s">
        <v>20</v>
      </c>
      <c r="G194" s="2">
        <v>50</v>
      </c>
      <c r="H194" s="2">
        <v>0</v>
      </c>
      <c r="I194" s="1">
        <f t="shared" si="24"/>
        <v>44926</v>
      </c>
      <c r="J194" s="3">
        <v>1672.19</v>
      </c>
      <c r="K194" s="3">
        <v>20066.28</v>
      </c>
      <c r="L194" s="3">
        <v>98659.21</v>
      </c>
      <c r="M194" s="3">
        <v>904654.96</v>
      </c>
      <c r="N194" t="s">
        <v>164</v>
      </c>
      <c r="O194" t="s">
        <v>18</v>
      </c>
      <c r="P194" t="s">
        <v>19</v>
      </c>
      <c r="Q194" t="s">
        <v>165</v>
      </c>
    </row>
    <row r="195" spans="1:17" ht="17.45" customHeight="1" x14ac:dyDescent="0.2">
      <c r="A195" t="s">
        <v>954</v>
      </c>
      <c r="B195" t="s">
        <v>955</v>
      </c>
      <c r="C195" s="1">
        <f t="shared" ref="C195:D197" si="26">DATE(2020,2,29)</f>
        <v>43890</v>
      </c>
      <c r="D195" s="1">
        <f t="shared" si="26"/>
        <v>43890</v>
      </c>
      <c r="E195" s="3">
        <v>261926.61</v>
      </c>
      <c r="F195" t="s">
        <v>20</v>
      </c>
      <c r="G195" s="2">
        <v>50</v>
      </c>
      <c r="H195" s="2">
        <v>0</v>
      </c>
      <c r="I195" s="1">
        <f t="shared" si="24"/>
        <v>44926</v>
      </c>
      <c r="J195" s="3">
        <v>436.59</v>
      </c>
      <c r="K195" s="3">
        <v>5238.53</v>
      </c>
      <c r="L195" s="3">
        <v>14842.5</v>
      </c>
      <c r="M195" s="3">
        <v>247084.11</v>
      </c>
      <c r="N195" t="s">
        <v>164</v>
      </c>
      <c r="O195" t="s">
        <v>18</v>
      </c>
      <c r="P195" t="s">
        <v>19</v>
      </c>
      <c r="Q195" t="s">
        <v>165</v>
      </c>
    </row>
    <row r="196" spans="1:17" ht="17.45" customHeight="1" x14ac:dyDescent="0.2">
      <c r="A196" t="s">
        <v>986</v>
      </c>
      <c r="B196" t="s">
        <v>987</v>
      </c>
      <c r="C196" s="1">
        <f t="shared" si="26"/>
        <v>43890</v>
      </c>
      <c r="D196" s="1">
        <f t="shared" si="26"/>
        <v>43890</v>
      </c>
      <c r="E196" s="3">
        <v>2925181.53</v>
      </c>
      <c r="F196" t="s">
        <v>20</v>
      </c>
      <c r="G196" s="2">
        <v>50</v>
      </c>
      <c r="H196" s="2">
        <v>0</v>
      </c>
      <c r="I196" s="1">
        <f t="shared" si="24"/>
        <v>44926</v>
      </c>
      <c r="J196" s="3">
        <v>4875.33</v>
      </c>
      <c r="K196" s="3">
        <v>58503.63</v>
      </c>
      <c r="L196" s="3">
        <v>165760.29</v>
      </c>
      <c r="M196" s="3">
        <v>2759421.24</v>
      </c>
      <c r="N196" t="s">
        <v>164</v>
      </c>
      <c r="O196" t="s">
        <v>18</v>
      </c>
      <c r="P196" t="s">
        <v>19</v>
      </c>
      <c r="Q196" t="s">
        <v>165</v>
      </c>
    </row>
    <row r="197" spans="1:17" ht="17.45" customHeight="1" x14ac:dyDescent="0.2">
      <c r="A197" t="s">
        <v>988</v>
      </c>
      <c r="B197" t="s">
        <v>989</v>
      </c>
      <c r="C197" s="1">
        <f t="shared" si="26"/>
        <v>43890</v>
      </c>
      <c r="D197" s="1">
        <f t="shared" si="26"/>
        <v>43890</v>
      </c>
      <c r="E197" s="3">
        <v>262069.11</v>
      </c>
      <c r="F197" t="s">
        <v>20</v>
      </c>
      <c r="G197" s="2">
        <v>30</v>
      </c>
      <c r="H197" s="2">
        <v>0</v>
      </c>
      <c r="I197" s="1">
        <f t="shared" si="24"/>
        <v>44926</v>
      </c>
      <c r="J197" s="3">
        <v>727.97</v>
      </c>
      <c r="K197" s="3">
        <v>8735.64</v>
      </c>
      <c r="L197" s="3">
        <v>24750.98</v>
      </c>
      <c r="M197" s="3">
        <v>237318.13</v>
      </c>
      <c r="N197" t="s">
        <v>180</v>
      </c>
      <c r="O197" t="s">
        <v>18</v>
      </c>
      <c r="P197" t="s">
        <v>19</v>
      </c>
      <c r="Q197" t="s">
        <v>165</v>
      </c>
    </row>
    <row r="198" spans="1:17" ht="17.45" customHeight="1" x14ac:dyDescent="0.2">
      <c r="A198" t="s">
        <v>998</v>
      </c>
      <c r="B198" t="s">
        <v>999</v>
      </c>
      <c r="C198" s="1">
        <f>DATE(2020,3,31)</f>
        <v>43921</v>
      </c>
      <c r="D198" s="1">
        <f>DATE(2020,3,31)</f>
        <v>43921</v>
      </c>
      <c r="E198" s="3">
        <v>221734.17</v>
      </c>
      <c r="F198" t="s">
        <v>20</v>
      </c>
      <c r="G198" s="2">
        <v>50</v>
      </c>
      <c r="H198" s="2">
        <v>0</v>
      </c>
      <c r="I198" s="1">
        <f t="shared" si="24"/>
        <v>44926</v>
      </c>
      <c r="J198" s="3">
        <v>369.52</v>
      </c>
      <c r="K198" s="3">
        <v>4434.68</v>
      </c>
      <c r="L198" s="3">
        <v>12195.37</v>
      </c>
      <c r="M198" s="3">
        <v>209538.8</v>
      </c>
      <c r="N198" t="s">
        <v>164</v>
      </c>
      <c r="O198" t="s">
        <v>18</v>
      </c>
      <c r="P198" t="s">
        <v>19</v>
      </c>
      <c r="Q198" t="s">
        <v>165</v>
      </c>
    </row>
    <row r="199" spans="1:17" ht="17.45" customHeight="1" x14ac:dyDescent="0.2">
      <c r="A199" t="s">
        <v>1000</v>
      </c>
      <c r="B199" t="s">
        <v>1001</v>
      </c>
      <c r="C199" s="1">
        <f>DATE(2020,3,31)</f>
        <v>43921</v>
      </c>
      <c r="D199" s="1">
        <f>DATE(2020,3,31)</f>
        <v>43921</v>
      </c>
      <c r="E199" s="3">
        <v>34572.160000000003</v>
      </c>
      <c r="F199" t="s">
        <v>20</v>
      </c>
      <c r="G199" s="2">
        <v>30</v>
      </c>
      <c r="H199" s="2">
        <v>0</v>
      </c>
      <c r="I199" s="1">
        <f t="shared" si="24"/>
        <v>44926</v>
      </c>
      <c r="J199" s="3">
        <v>96.08</v>
      </c>
      <c r="K199" s="3">
        <v>1152.4100000000001</v>
      </c>
      <c r="L199" s="3">
        <v>3169.12</v>
      </c>
      <c r="M199" s="3">
        <v>31403.040000000001</v>
      </c>
      <c r="N199" t="s">
        <v>180</v>
      </c>
      <c r="O199" t="s">
        <v>18</v>
      </c>
      <c r="P199" t="s">
        <v>19</v>
      </c>
      <c r="Q199" t="s">
        <v>165</v>
      </c>
    </row>
    <row r="200" spans="1:17" ht="17.45" customHeight="1" x14ac:dyDescent="0.2">
      <c r="A200" t="s">
        <v>1004</v>
      </c>
      <c r="B200" t="s">
        <v>1005</v>
      </c>
      <c r="C200" s="1">
        <f>DATE(2020,4,30)</f>
        <v>43951</v>
      </c>
      <c r="D200" s="1">
        <f>DATE(2020,4,30)</f>
        <v>43951</v>
      </c>
      <c r="E200" s="3">
        <v>20284.22</v>
      </c>
      <c r="F200" t="s">
        <v>20</v>
      </c>
      <c r="G200" s="2">
        <v>50</v>
      </c>
      <c r="H200" s="2">
        <v>0</v>
      </c>
      <c r="I200" s="1">
        <f t="shared" si="24"/>
        <v>44926</v>
      </c>
      <c r="J200" s="3">
        <v>33.770000000000003</v>
      </c>
      <c r="K200" s="3">
        <v>405.68</v>
      </c>
      <c r="L200" s="3">
        <v>1081.82</v>
      </c>
      <c r="M200" s="3">
        <v>19202.400000000001</v>
      </c>
      <c r="N200" t="s">
        <v>164</v>
      </c>
      <c r="O200" t="s">
        <v>18</v>
      </c>
      <c r="P200" t="s">
        <v>19</v>
      </c>
      <c r="Q200" t="s">
        <v>165</v>
      </c>
    </row>
    <row r="201" spans="1:17" ht="17.45" customHeight="1" x14ac:dyDescent="0.2">
      <c r="A201" t="s">
        <v>1006</v>
      </c>
      <c r="B201" t="s">
        <v>1007</v>
      </c>
      <c r="C201" s="1">
        <f>DATE(2020,4,30)</f>
        <v>43951</v>
      </c>
      <c r="D201" s="1">
        <f>DATE(2020,4,30)</f>
        <v>43951</v>
      </c>
      <c r="E201" s="3">
        <v>6330.44</v>
      </c>
      <c r="F201" t="s">
        <v>20</v>
      </c>
      <c r="G201" s="2">
        <v>30</v>
      </c>
      <c r="H201" s="2">
        <v>0</v>
      </c>
      <c r="I201" s="1">
        <f t="shared" si="24"/>
        <v>44926</v>
      </c>
      <c r="J201" s="3">
        <v>17.63</v>
      </c>
      <c r="K201" s="3">
        <v>211.01</v>
      </c>
      <c r="L201" s="3">
        <v>562.70000000000005</v>
      </c>
      <c r="M201" s="3">
        <v>5767.74</v>
      </c>
      <c r="N201" t="s">
        <v>180</v>
      </c>
      <c r="O201" t="s">
        <v>18</v>
      </c>
      <c r="P201" t="s">
        <v>19</v>
      </c>
      <c r="Q201" t="s">
        <v>165</v>
      </c>
    </row>
    <row r="202" spans="1:17" ht="17.45" customHeight="1" x14ac:dyDescent="0.2">
      <c r="A202" t="s">
        <v>1018</v>
      </c>
      <c r="B202" t="s">
        <v>1019</v>
      </c>
      <c r="C202" s="1">
        <f>DATE(2021,2,28)</f>
        <v>44255</v>
      </c>
      <c r="D202" s="1">
        <f>DATE(2021,2,28)</f>
        <v>44255</v>
      </c>
      <c r="E202" s="3">
        <v>63706.64</v>
      </c>
      <c r="F202" t="s">
        <v>20</v>
      </c>
      <c r="G202" s="2">
        <v>50</v>
      </c>
      <c r="H202" s="2">
        <v>0</v>
      </c>
      <c r="I202" s="1">
        <f t="shared" si="24"/>
        <v>44926</v>
      </c>
      <c r="J202" s="3">
        <v>106.15</v>
      </c>
      <c r="K202" s="3">
        <v>1274.1300000000001</v>
      </c>
      <c r="L202" s="3">
        <v>2335.91</v>
      </c>
      <c r="M202" s="3">
        <v>61370.73</v>
      </c>
      <c r="N202" t="s">
        <v>164</v>
      </c>
      <c r="O202" t="s">
        <v>18</v>
      </c>
      <c r="P202" t="s">
        <v>19</v>
      </c>
      <c r="Q202" t="s">
        <v>165</v>
      </c>
    </row>
    <row r="203" spans="1:17" ht="17.45" customHeight="1" x14ac:dyDescent="0.2">
      <c r="A203" t="s">
        <v>1020</v>
      </c>
      <c r="B203" t="s">
        <v>1021</v>
      </c>
      <c r="C203" s="1">
        <f>DATE(2021,2,28)</f>
        <v>44255</v>
      </c>
      <c r="D203" s="1">
        <f>DATE(2021,2,28)</f>
        <v>44255</v>
      </c>
      <c r="E203" s="3">
        <v>572.16999999999996</v>
      </c>
      <c r="F203" t="s">
        <v>20</v>
      </c>
      <c r="G203" s="2">
        <v>30</v>
      </c>
      <c r="H203" s="2">
        <v>0</v>
      </c>
      <c r="I203" s="1">
        <f t="shared" si="24"/>
        <v>44926</v>
      </c>
      <c r="J203" s="3">
        <v>1.58</v>
      </c>
      <c r="K203" s="3">
        <v>19.07</v>
      </c>
      <c r="L203" s="3">
        <v>34.96</v>
      </c>
      <c r="M203" s="3">
        <v>537.21</v>
      </c>
      <c r="N203" t="s">
        <v>180</v>
      </c>
      <c r="O203" t="s">
        <v>18</v>
      </c>
      <c r="P203" t="s">
        <v>19</v>
      </c>
      <c r="Q203" t="s">
        <v>165</v>
      </c>
    </row>
    <row r="204" spans="1:17" ht="17.45" customHeight="1" x14ac:dyDescent="0.2">
      <c r="A204" t="s">
        <v>1050</v>
      </c>
      <c r="B204" t="s">
        <v>1051</v>
      </c>
      <c r="C204" s="1">
        <f t="shared" ref="C204:D206" si="27">DATE(2022,2,28)</f>
        <v>44620</v>
      </c>
      <c r="D204" s="1">
        <f t="shared" si="27"/>
        <v>44620</v>
      </c>
      <c r="E204" s="3">
        <v>16997.689999999999</v>
      </c>
      <c r="F204" t="s">
        <v>20</v>
      </c>
      <c r="G204" s="2">
        <v>50</v>
      </c>
      <c r="H204" s="2">
        <v>0</v>
      </c>
      <c r="I204" s="1">
        <f t="shared" si="24"/>
        <v>44926</v>
      </c>
      <c r="J204" s="3">
        <v>28.32</v>
      </c>
      <c r="K204" s="3">
        <v>283.29000000000002</v>
      </c>
      <c r="L204" s="3">
        <v>283.29000000000002</v>
      </c>
      <c r="M204" s="3">
        <v>16714.400000000001</v>
      </c>
      <c r="N204" t="s">
        <v>164</v>
      </c>
      <c r="O204" t="s">
        <v>18</v>
      </c>
      <c r="P204" t="s">
        <v>19</v>
      </c>
      <c r="Q204" t="s">
        <v>165</v>
      </c>
    </row>
    <row r="205" spans="1:17" ht="17.45" customHeight="1" x14ac:dyDescent="0.2">
      <c r="A205" t="s">
        <v>1052</v>
      </c>
      <c r="B205" t="s">
        <v>1053</v>
      </c>
      <c r="C205" s="1">
        <f t="shared" si="27"/>
        <v>44620</v>
      </c>
      <c r="D205" s="1">
        <f t="shared" si="27"/>
        <v>44620</v>
      </c>
      <c r="E205" s="3">
        <v>968887.58</v>
      </c>
      <c r="F205" t="s">
        <v>20</v>
      </c>
      <c r="G205" s="2">
        <v>50</v>
      </c>
      <c r="H205" s="2">
        <v>0</v>
      </c>
      <c r="I205" s="1">
        <f t="shared" si="24"/>
        <v>44926</v>
      </c>
      <c r="J205" s="3">
        <v>1614.84</v>
      </c>
      <c r="K205" s="3">
        <v>16148.13</v>
      </c>
      <c r="L205" s="3">
        <v>16148.13</v>
      </c>
      <c r="M205" s="3">
        <v>952739.45</v>
      </c>
      <c r="N205" t="s">
        <v>164</v>
      </c>
      <c r="O205" t="s">
        <v>18</v>
      </c>
      <c r="P205" t="s">
        <v>19</v>
      </c>
      <c r="Q205" t="s">
        <v>165</v>
      </c>
    </row>
    <row r="206" spans="1:17" ht="17.45" customHeight="1" x14ac:dyDescent="0.2">
      <c r="A206" t="s">
        <v>1054</v>
      </c>
      <c r="B206" t="s">
        <v>1055</v>
      </c>
      <c r="C206" s="1">
        <f t="shared" si="27"/>
        <v>44620</v>
      </c>
      <c r="D206" s="1">
        <f t="shared" si="27"/>
        <v>44620</v>
      </c>
      <c r="E206" s="3">
        <v>12080.66</v>
      </c>
      <c r="F206" t="s">
        <v>20</v>
      </c>
      <c r="G206" s="2">
        <v>30</v>
      </c>
      <c r="H206" s="2">
        <v>0</v>
      </c>
      <c r="I206" s="1">
        <f t="shared" si="24"/>
        <v>44926</v>
      </c>
      <c r="J206" s="3">
        <v>33.53</v>
      </c>
      <c r="K206" s="3">
        <v>335.57</v>
      </c>
      <c r="L206" s="3">
        <v>335.57</v>
      </c>
      <c r="M206" s="3">
        <v>11745.09</v>
      </c>
      <c r="N206" t="s">
        <v>180</v>
      </c>
      <c r="O206" t="s">
        <v>18</v>
      </c>
      <c r="P206" t="s">
        <v>19</v>
      </c>
      <c r="Q206" t="s">
        <v>165</v>
      </c>
    </row>
    <row r="207" spans="1:17" ht="17.45" customHeight="1" x14ac:dyDescent="0.2">
      <c r="A207" t="s">
        <v>1122</v>
      </c>
      <c r="B207" t="s">
        <v>1123</v>
      </c>
      <c r="C207" s="1">
        <f t="shared" ref="C207:D212" si="28">DATE(2022,12,31)</f>
        <v>44926</v>
      </c>
      <c r="D207" s="1">
        <f t="shared" si="28"/>
        <v>44926</v>
      </c>
      <c r="E207" s="3">
        <v>60648.6</v>
      </c>
      <c r="F207" t="s">
        <v>20</v>
      </c>
      <c r="G207" s="2">
        <v>30</v>
      </c>
      <c r="H207" s="2">
        <v>0</v>
      </c>
      <c r="I207" s="1">
        <f t="shared" si="24"/>
        <v>44926</v>
      </c>
      <c r="J207" s="3">
        <v>0</v>
      </c>
      <c r="K207" s="3">
        <v>0</v>
      </c>
      <c r="L207" s="3">
        <v>0</v>
      </c>
      <c r="M207" s="3">
        <v>60648.6</v>
      </c>
      <c r="N207" t="s">
        <v>180</v>
      </c>
      <c r="O207" t="s">
        <v>18</v>
      </c>
      <c r="P207" t="s">
        <v>19</v>
      </c>
      <c r="Q207" t="s">
        <v>165</v>
      </c>
    </row>
    <row r="208" spans="1:17" ht="17.45" customHeight="1" x14ac:dyDescent="0.2">
      <c r="A208" t="s">
        <v>1124</v>
      </c>
      <c r="B208" t="s">
        <v>1125</v>
      </c>
      <c r="C208" s="1">
        <f t="shared" si="28"/>
        <v>44926</v>
      </c>
      <c r="D208" s="1">
        <f t="shared" si="28"/>
        <v>44926</v>
      </c>
      <c r="E208" s="3">
        <v>126351.4</v>
      </c>
      <c r="F208" t="s">
        <v>20</v>
      </c>
      <c r="G208" s="2">
        <v>50</v>
      </c>
      <c r="H208" s="2">
        <v>0</v>
      </c>
      <c r="I208" s="1">
        <f t="shared" si="24"/>
        <v>44926</v>
      </c>
      <c r="J208" s="3">
        <v>0</v>
      </c>
      <c r="K208" s="3">
        <v>0</v>
      </c>
      <c r="L208" s="3">
        <v>0</v>
      </c>
      <c r="M208" s="3">
        <v>126351.4</v>
      </c>
      <c r="N208" t="s">
        <v>164</v>
      </c>
      <c r="O208" t="s">
        <v>18</v>
      </c>
      <c r="P208" t="s">
        <v>19</v>
      </c>
      <c r="Q208" t="s">
        <v>165</v>
      </c>
    </row>
    <row r="209" spans="1:17" ht="17.45" customHeight="1" x14ac:dyDescent="0.2">
      <c r="A209" t="s">
        <v>1126</v>
      </c>
      <c r="B209" t="s">
        <v>1127</v>
      </c>
      <c r="C209" s="1">
        <f t="shared" si="28"/>
        <v>44926</v>
      </c>
      <c r="D209" s="1">
        <f t="shared" si="28"/>
        <v>44926</v>
      </c>
      <c r="E209" s="3">
        <v>45400</v>
      </c>
      <c r="F209" t="s">
        <v>20</v>
      </c>
      <c r="G209" s="2">
        <v>30</v>
      </c>
      <c r="H209" s="2">
        <v>0</v>
      </c>
      <c r="I209" s="1">
        <f t="shared" si="24"/>
        <v>44926</v>
      </c>
      <c r="J209" s="3">
        <v>0</v>
      </c>
      <c r="K209" s="3">
        <v>0</v>
      </c>
      <c r="L209" s="3">
        <v>0</v>
      </c>
      <c r="M209" s="3">
        <v>45400</v>
      </c>
      <c r="N209" t="s">
        <v>180</v>
      </c>
      <c r="O209" t="s">
        <v>18</v>
      </c>
      <c r="P209" t="s">
        <v>19</v>
      </c>
      <c r="Q209" t="s">
        <v>165</v>
      </c>
    </row>
    <row r="210" spans="1:17" ht="17.45" customHeight="1" x14ac:dyDescent="0.2">
      <c r="A210" t="s">
        <v>1128</v>
      </c>
      <c r="B210" t="s">
        <v>1129</v>
      </c>
      <c r="C210" s="1">
        <f t="shared" si="28"/>
        <v>44926</v>
      </c>
      <c r="D210" s="1">
        <f t="shared" si="28"/>
        <v>44926</v>
      </c>
      <c r="E210" s="3">
        <v>181600</v>
      </c>
      <c r="F210" t="s">
        <v>20</v>
      </c>
      <c r="G210" s="2">
        <v>50</v>
      </c>
      <c r="H210" s="2">
        <v>0</v>
      </c>
      <c r="I210" s="1">
        <f t="shared" si="24"/>
        <v>44926</v>
      </c>
      <c r="J210" s="3">
        <v>0</v>
      </c>
      <c r="K210" s="3">
        <v>0</v>
      </c>
      <c r="L210" s="3">
        <v>0</v>
      </c>
      <c r="M210" s="3">
        <v>181600</v>
      </c>
      <c r="N210" t="s">
        <v>164</v>
      </c>
      <c r="O210" t="s">
        <v>18</v>
      </c>
      <c r="P210" t="s">
        <v>19</v>
      </c>
      <c r="Q210" t="s">
        <v>165</v>
      </c>
    </row>
    <row r="211" spans="1:17" ht="17.45" customHeight="1" x14ac:dyDescent="0.2">
      <c r="A211" t="s">
        <v>1130</v>
      </c>
      <c r="B211" t="s">
        <v>1131</v>
      </c>
      <c r="C211" s="1">
        <f t="shared" si="28"/>
        <v>44926</v>
      </c>
      <c r="D211" s="1">
        <f t="shared" si="28"/>
        <v>44926</v>
      </c>
      <c r="E211" s="3">
        <v>15594</v>
      </c>
      <c r="F211" t="s">
        <v>20</v>
      </c>
      <c r="G211" s="2">
        <v>30</v>
      </c>
      <c r="H211" s="2">
        <v>0</v>
      </c>
      <c r="I211" s="1">
        <f t="shared" si="24"/>
        <v>44926</v>
      </c>
      <c r="J211" s="3">
        <v>0</v>
      </c>
      <c r="K211" s="3">
        <v>0</v>
      </c>
      <c r="L211" s="3">
        <v>0</v>
      </c>
      <c r="M211" s="3">
        <v>15594</v>
      </c>
      <c r="N211" t="s">
        <v>180</v>
      </c>
      <c r="O211" t="s">
        <v>18</v>
      </c>
      <c r="P211" t="s">
        <v>19</v>
      </c>
      <c r="Q211" t="s">
        <v>165</v>
      </c>
    </row>
    <row r="212" spans="1:17" ht="17.45" customHeight="1" x14ac:dyDescent="0.2">
      <c r="A212" t="s">
        <v>1132</v>
      </c>
      <c r="B212" t="s">
        <v>1131</v>
      </c>
      <c r="C212" s="1">
        <f t="shared" si="28"/>
        <v>44926</v>
      </c>
      <c r="D212" s="1">
        <f t="shared" si="28"/>
        <v>44926</v>
      </c>
      <c r="E212" s="3">
        <v>36906</v>
      </c>
      <c r="F212" t="s">
        <v>20</v>
      </c>
      <c r="G212" s="2">
        <v>50</v>
      </c>
      <c r="H212" s="2">
        <v>0</v>
      </c>
      <c r="I212" s="1">
        <f t="shared" si="24"/>
        <v>44926</v>
      </c>
      <c r="J212" s="3">
        <v>0</v>
      </c>
      <c r="K212" s="3">
        <v>0</v>
      </c>
      <c r="L212" s="3">
        <v>0</v>
      </c>
      <c r="M212" s="3">
        <v>36906</v>
      </c>
      <c r="N212" t="s">
        <v>164</v>
      </c>
      <c r="O212" t="s">
        <v>18</v>
      </c>
      <c r="P212" t="s">
        <v>19</v>
      </c>
      <c r="Q212" t="s">
        <v>165</v>
      </c>
    </row>
    <row r="213" spans="1:17" ht="17.45" customHeight="1" x14ac:dyDescent="0.2">
      <c r="A213" t="s">
        <v>1136</v>
      </c>
      <c r="B213" t="s">
        <v>1137</v>
      </c>
      <c r="C213" s="1">
        <f>DATE(2018,5,31)</f>
        <v>43251</v>
      </c>
      <c r="D213" s="1">
        <f>DATE(2018,5,31)</f>
        <v>43251</v>
      </c>
      <c r="E213" s="3">
        <v>59221.71</v>
      </c>
      <c r="F213" t="s">
        <v>20</v>
      </c>
      <c r="G213" s="2">
        <v>50</v>
      </c>
      <c r="H213" s="2">
        <v>0</v>
      </c>
      <c r="I213" s="1">
        <f t="shared" si="24"/>
        <v>44926</v>
      </c>
      <c r="J213" s="3">
        <v>98.73</v>
      </c>
      <c r="K213" s="3">
        <v>1184.43</v>
      </c>
      <c r="L213" s="3">
        <v>5428.64</v>
      </c>
      <c r="M213" s="3">
        <v>53793.07</v>
      </c>
      <c r="N213" t="s">
        <v>164</v>
      </c>
      <c r="O213" t="s">
        <v>18</v>
      </c>
      <c r="P213" t="s">
        <v>19</v>
      </c>
      <c r="Q213" t="s">
        <v>165</v>
      </c>
    </row>
    <row r="214" spans="1:17" ht="17.45" customHeight="1" x14ac:dyDescent="0.2">
      <c r="E214" s="4">
        <f>SUM(E123:E213)</f>
        <v>14391933.25</v>
      </c>
      <c r="J214" s="4">
        <f t="shared" ref="J214:M214" si="29">SUM(J123:J213)</f>
        <v>24052.600000000009</v>
      </c>
      <c r="K214" s="4">
        <f t="shared" si="29"/>
        <v>285276.69999999995</v>
      </c>
      <c r="L214" s="4">
        <f t="shared" si="29"/>
        <v>2297757.4200000004</v>
      </c>
      <c r="M214" s="4">
        <f t="shared" si="29"/>
        <v>12094175.830000002</v>
      </c>
    </row>
    <row r="215" spans="1:17" ht="17.45" customHeight="1" x14ac:dyDescent="0.2">
      <c r="A215" t="s">
        <v>282</v>
      </c>
      <c r="B215" t="s">
        <v>283</v>
      </c>
      <c r="C215" s="1">
        <f>DATE(2009,1,1)</f>
        <v>39814</v>
      </c>
      <c r="D215" s="1">
        <f>DATE(2009,1,1)</f>
        <v>39814</v>
      </c>
      <c r="E215" s="3">
        <v>6197.51</v>
      </c>
      <c r="F215" t="s">
        <v>20</v>
      </c>
      <c r="G215" s="2">
        <v>7</v>
      </c>
      <c r="H215" s="2">
        <v>0</v>
      </c>
      <c r="I215" s="1">
        <f>DATE(2015,12,31)</f>
        <v>42369</v>
      </c>
      <c r="J215" s="3">
        <v>0</v>
      </c>
      <c r="K215" s="3">
        <v>0</v>
      </c>
      <c r="L215" s="3">
        <v>6197.51</v>
      </c>
      <c r="M215" s="3">
        <v>0</v>
      </c>
      <c r="N215" t="s">
        <v>284</v>
      </c>
      <c r="O215" t="s">
        <v>18</v>
      </c>
      <c r="P215" t="s">
        <v>19</v>
      </c>
      <c r="Q215" t="s">
        <v>285</v>
      </c>
    </row>
    <row r="216" spans="1:17" ht="17.45" customHeight="1" x14ac:dyDescent="0.2">
      <c r="A216" t="s">
        <v>286</v>
      </c>
      <c r="B216" t="s">
        <v>30</v>
      </c>
      <c r="C216" s="1">
        <f>DATE(2009,1,1)</f>
        <v>39814</v>
      </c>
      <c r="D216" s="1">
        <f>DATE(2009,1,1)</f>
        <v>39814</v>
      </c>
      <c r="E216" s="3">
        <v>1208.45</v>
      </c>
      <c r="F216" t="s">
        <v>20</v>
      </c>
      <c r="G216" s="2">
        <v>5</v>
      </c>
      <c r="H216" s="2">
        <v>0</v>
      </c>
      <c r="I216" s="1">
        <f>DATE(2014,6,30)</f>
        <v>41820</v>
      </c>
      <c r="J216" s="3">
        <v>0</v>
      </c>
      <c r="K216" s="3">
        <v>0</v>
      </c>
      <c r="L216" s="3">
        <v>1208.45</v>
      </c>
      <c r="M216" s="3">
        <v>0</v>
      </c>
      <c r="N216" t="s">
        <v>287</v>
      </c>
      <c r="O216" t="s">
        <v>18</v>
      </c>
      <c r="P216" t="s">
        <v>19</v>
      </c>
      <c r="Q216" t="s">
        <v>285</v>
      </c>
    </row>
    <row r="217" spans="1:17" ht="17.45" customHeight="1" x14ac:dyDescent="0.2">
      <c r="A217" t="s">
        <v>288</v>
      </c>
      <c r="B217" t="s">
        <v>289</v>
      </c>
      <c r="C217" s="1">
        <f>DATE(2009,3,1)</f>
        <v>39873</v>
      </c>
      <c r="D217" s="1">
        <f>DATE(2009,3,1)</f>
        <v>39873</v>
      </c>
      <c r="E217" s="3">
        <v>1850</v>
      </c>
      <c r="F217" t="s">
        <v>21</v>
      </c>
      <c r="G217" s="2">
        <v>25</v>
      </c>
      <c r="H217" s="2">
        <v>0</v>
      </c>
      <c r="I217" s="1">
        <f>DATE(2022,12,31)</f>
        <v>44926</v>
      </c>
      <c r="J217" s="3">
        <v>2.56</v>
      </c>
      <c r="K217" s="3">
        <v>31.27</v>
      </c>
      <c r="L217" s="3">
        <v>1500.73</v>
      </c>
      <c r="M217" s="3">
        <v>349.27</v>
      </c>
      <c r="N217" t="s">
        <v>290</v>
      </c>
      <c r="O217" t="s">
        <v>18</v>
      </c>
      <c r="P217" t="s">
        <v>19</v>
      </c>
      <c r="Q217" t="s">
        <v>285</v>
      </c>
    </row>
    <row r="218" spans="1:17" ht="17.45" customHeight="1" x14ac:dyDescent="0.2">
      <c r="A218" t="s">
        <v>291</v>
      </c>
      <c r="B218" t="s">
        <v>292</v>
      </c>
      <c r="C218" s="1">
        <f>DATE(2009,8,1)</f>
        <v>40026</v>
      </c>
      <c r="D218" s="1">
        <f>DATE(2009,8,1)</f>
        <v>40026</v>
      </c>
      <c r="E218" s="3">
        <v>31528</v>
      </c>
      <c r="F218" t="s">
        <v>20</v>
      </c>
      <c r="G218" s="2">
        <v>40</v>
      </c>
      <c r="H218" s="2">
        <v>0</v>
      </c>
      <c r="I218" s="1">
        <f>DATE(2022,12,31)</f>
        <v>44926</v>
      </c>
      <c r="J218" s="3">
        <v>65.72</v>
      </c>
      <c r="K218" s="3">
        <v>788.2</v>
      </c>
      <c r="L218" s="3">
        <v>10575.02</v>
      </c>
      <c r="M218" s="3">
        <v>20952.98</v>
      </c>
      <c r="N218" t="s">
        <v>293</v>
      </c>
      <c r="O218" t="s">
        <v>18</v>
      </c>
      <c r="P218" t="s">
        <v>19</v>
      </c>
      <c r="Q218" t="s">
        <v>285</v>
      </c>
    </row>
    <row r="219" spans="1:17" ht="17.45" customHeight="1" x14ac:dyDescent="0.2">
      <c r="A219" t="s">
        <v>294</v>
      </c>
      <c r="B219" t="s">
        <v>295</v>
      </c>
      <c r="C219" s="1">
        <f>DATE(2009,1,1)</f>
        <v>39814</v>
      </c>
      <c r="D219" s="1">
        <f>DATE(2009,1,1)</f>
        <v>39814</v>
      </c>
      <c r="E219" s="3">
        <v>95071.15</v>
      </c>
      <c r="F219" t="s">
        <v>20</v>
      </c>
      <c r="G219" s="2">
        <v>50</v>
      </c>
      <c r="H219" s="2">
        <v>0</v>
      </c>
      <c r="I219" s="1">
        <f>DATE(2022,12,31)</f>
        <v>44926</v>
      </c>
      <c r="J219" s="3">
        <v>158.47</v>
      </c>
      <c r="K219" s="3">
        <v>1901.42</v>
      </c>
      <c r="L219" s="3">
        <v>26619.88</v>
      </c>
      <c r="M219" s="3">
        <v>68451.27</v>
      </c>
      <c r="N219" t="s">
        <v>284</v>
      </c>
      <c r="O219" t="s">
        <v>18</v>
      </c>
      <c r="P219" t="s">
        <v>19</v>
      </c>
      <c r="Q219" t="s">
        <v>285</v>
      </c>
    </row>
    <row r="220" spans="1:17" ht="17.45" customHeight="1" x14ac:dyDescent="0.2">
      <c r="A220" t="s">
        <v>296</v>
      </c>
      <c r="B220" t="s">
        <v>297</v>
      </c>
      <c r="C220" s="1">
        <f>DATE(2010,4,30)</f>
        <v>40298</v>
      </c>
      <c r="D220" s="1">
        <f>DATE(2010,4,30)</f>
        <v>40298</v>
      </c>
      <c r="E220" s="3">
        <v>136258.28</v>
      </c>
      <c r="F220" t="s">
        <v>20</v>
      </c>
      <c r="G220" s="2">
        <v>15</v>
      </c>
      <c r="H220" s="2">
        <v>0</v>
      </c>
      <c r="I220" s="1">
        <f>DATE(2022,12,31)</f>
        <v>44926</v>
      </c>
      <c r="J220" s="3">
        <v>757</v>
      </c>
      <c r="K220" s="3">
        <v>9083.89</v>
      </c>
      <c r="L220" s="3">
        <v>115062.6</v>
      </c>
      <c r="M220" s="3">
        <v>21195.68</v>
      </c>
      <c r="N220" t="s">
        <v>284</v>
      </c>
      <c r="O220" t="s">
        <v>18</v>
      </c>
      <c r="P220" t="s">
        <v>19</v>
      </c>
      <c r="Q220" t="s">
        <v>285</v>
      </c>
    </row>
    <row r="221" spans="1:17" ht="17.45" customHeight="1" x14ac:dyDescent="0.2">
      <c r="A221" t="s">
        <v>298</v>
      </c>
      <c r="B221" t="s">
        <v>299</v>
      </c>
      <c r="C221" s="1">
        <f>DATE(2010,9,30)</f>
        <v>40451</v>
      </c>
      <c r="D221" s="1">
        <f>DATE(2010,9,30)</f>
        <v>40451</v>
      </c>
      <c r="E221" s="3">
        <v>5900</v>
      </c>
      <c r="F221" t="s">
        <v>20</v>
      </c>
      <c r="G221" s="2">
        <v>10</v>
      </c>
      <c r="H221" s="2">
        <v>0</v>
      </c>
      <c r="I221" s="1">
        <f>DATE(2020,9,30)</f>
        <v>44104</v>
      </c>
      <c r="J221" s="3">
        <v>0</v>
      </c>
      <c r="K221" s="3">
        <v>0</v>
      </c>
      <c r="L221" s="3">
        <v>5900</v>
      </c>
      <c r="M221" s="3">
        <v>0</v>
      </c>
      <c r="N221" t="s">
        <v>300</v>
      </c>
      <c r="O221" t="s">
        <v>18</v>
      </c>
      <c r="P221" t="s">
        <v>19</v>
      </c>
      <c r="Q221" t="s">
        <v>285</v>
      </c>
    </row>
    <row r="222" spans="1:17" ht="17.45" customHeight="1" x14ac:dyDescent="0.2">
      <c r="A222" t="s">
        <v>301</v>
      </c>
      <c r="B222" t="s">
        <v>302</v>
      </c>
      <c r="C222" s="1">
        <f t="shared" ref="C222:D225" si="30">DATE(2011,1,1)</f>
        <v>40544</v>
      </c>
      <c r="D222" s="1">
        <f t="shared" si="30"/>
        <v>40544</v>
      </c>
      <c r="E222" s="3">
        <v>15017.48</v>
      </c>
      <c r="F222" t="s">
        <v>20</v>
      </c>
      <c r="G222" s="2">
        <v>15</v>
      </c>
      <c r="H222" s="2">
        <v>0</v>
      </c>
      <c r="I222" s="1">
        <f t="shared" ref="I222:I235" si="31">DATE(2022,12,31)</f>
        <v>44926</v>
      </c>
      <c r="J222" s="3">
        <v>83.44</v>
      </c>
      <c r="K222" s="3">
        <v>1001.17</v>
      </c>
      <c r="L222" s="3">
        <v>12014.04</v>
      </c>
      <c r="M222" s="3">
        <v>3003.44</v>
      </c>
      <c r="N222" t="s">
        <v>284</v>
      </c>
      <c r="O222" t="s">
        <v>18</v>
      </c>
      <c r="P222" t="s">
        <v>19</v>
      </c>
      <c r="Q222" t="s">
        <v>285</v>
      </c>
    </row>
    <row r="223" spans="1:17" ht="17.45" customHeight="1" x14ac:dyDescent="0.2">
      <c r="A223" t="s">
        <v>303</v>
      </c>
      <c r="B223" t="s">
        <v>304</v>
      </c>
      <c r="C223" s="1">
        <f t="shared" si="30"/>
        <v>40544</v>
      </c>
      <c r="D223" s="1">
        <f t="shared" si="30"/>
        <v>40544</v>
      </c>
      <c r="E223" s="3">
        <v>26113.25</v>
      </c>
      <c r="F223" t="s">
        <v>20</v>
      </c>
      <c r="G223" s="2">
        <v>20</v>
      </c>
      <c r="H223" s="2">
        <v>0</v>
      </c>
      <c r="I223" s="1">
        <f t="shared" si="31"/>
        <v>44926</v>
      </c>
      <c r="J223" s="3">
        <v>108.75</v>
      </c>
      <c r="K223" s="3">
        <v>1305.6600000000001</v>
      </c>
      <c r="L223" s="3">
        <v>15667.92</v>
      </c>
      <c r="M223" s="3">
        <v>10445.33</v>
      </c>
      <c r="N223" t="s">
        <v>305</v>
      </c>
      <c r="O223" t="s">
        <v>18</v>
      </c>
      <c r="P223" t="s">
        <v>19</v>
      </c>
      <c r="Q223" t="s">
        <v>285</v>
      </c>
    </row>
    <row r="224" spans="1:17" ht="17.45" customHeight="1" x14ac:dyDescent="0.2">
      <c r="A224" t="s">
        <v>306</v>
      </c>
      <c r="B224" t="s">
        <v>307</v>
      </c>
      <c r="C224" s="1">
        <f t="shared" si="30"/>
        <v>40544</v>
      </c>
      <c r="D224" s="1">
        <f t="shared" si="30"/>
        <v>40544</v>
      </c>
      <c r="E224" s="3">
        <v>117771.78</v>
      </c>
      <c r="F224" t="s">
        <v>20</v>
      </c>
      <c r="G224" s="2">
        <v>50</v>
      </c>
      <c r="H224" s="2">
        <v>0</v>
      </c>
      <c r="I224" s="1">
        <f t="shared" si="31"/>
        <v>44926</v>
      </c>
      <c r="J224" s="3">
        <v>196.25</v>
      </c>
      <c r="K224" s="3">
        <v>2355.44</v>
      </c>
      <c r="L224" s="3">
        <v>28265.279999999999</v>
      </c>
      <c r="M224" s="3">
        <v>89506.5</v>
      </c>
      <c r="N224" t="s">
        <v>284</v>
      </c>
      <c r="O224" t="s">
        <v>18</v>
      </c>
      <c r="P224" t="s">
        <v>19</v>
      </c>
      <c r="Q224" t="s">
        <v>285</v>
      </c>
    </row>
    <row r="225" spans="1:17" ht="17.45" customHeight="1" x14ac:dyDescent="0.2">
      <c r="A225" t="s">
        <v>308</v>
      </c>
      <c r="B225" t="s">
        <v>309</v>
      </c>
      <c r="C225" s="1">
        <f t="shared" si="30"/>
        <v>40544</v>
      </c>
      <c r="D225" s="1">
        <f t="shared" si="30"/>
        <v>40544</v>
      </c>
      <c r="E225" s="3">
        <v>13578.12</v>
      </c>
      <c r="F225" t="s">
        <v>20</v>
      </c>
      <c r="G225" s="2">
        <v>50</v>
      </c>
      <c r="H225" s="2">
        <v>0</v>
      </c>
      <c r="I225" s="1">
        <f t="shared" si="31"/>
        <v>44926</v>
      </c>
      <c r="J225" s="3">
        <v>22.63</v>
      </c>
      <c r="K225" s="3">
        <v>271.56</v>
      </c>
      <c r="L225" s="3">
        <v>3258.72</v>
      </c>
      <c r="M225" s="3">
        <v>10319.4</v>
      </c>
      <c r="N225" t="s">
        <v>293</v>
      </c>
      <c r="O225" t="s">
        <v>18</v>
      </c>
      <c r="P225" t="s">
        <v>19</v>
      </c>
      <c r="Q225" t="s">
        <v>285</v>
      </c>
    </row>
    <row r="226" spans="1:17" ht="17.45" customHeight="1" x14ac:dyDescent="0.2">
      <c r="A226" t="s">
        <v>310</v>
      </c>
      <c r="B226" t="s">
        <v>311</v>
      </c>
      <c r="C226" s="1">
        <f>DATE(2013,5,1)</f>
        <v>41395</v>
      </c>
      <c r="D226" s="1">
        <f>DATE(2013,5,1)</f>
        <v>41395</v>
      </c>
      <c r="E226" s="3">
        <v>35676.22</v>
      </c>
      <c r="F226" t="s">
        <v>21</v>
      </c>
      <c r="G226" s="2">
        <v>25</v>
      </c>
      <c r="H226" s="2">
        <v>0</v>
      </c>
      <c r="I226" s="1">
        <f t="shared" si="31"/>
        <v>44926</v>
      </c>
      <c r="J226" s="3">
        <v>113.71</v>
      </c>
      <c r="K226" s="3">
        <v>1364.19</v>
      </c>
      <c r="L226" s="3">
        <v>14749.97</v>
      </c>
      <c r="M226" s="3">
        <v>20926.25</v>
      </c>
      <c r="N226" t="s">
        <v>290</v>
      </c>
      <c r="O226" t="s">
        <v>18</v>
      </c>
      <c r="P226" t="s">
        <v>19</v>
      </c>
      <c r="Q226" t="s">
        <v>285</v>
      </c>
    </row>
    <row r="227" spans="1:17" ht="17.45" customHeight="1" x14ac:dyDescent="0.2">
      <c r="A227" t="s">
        <v>312</v>
      </c>
      <c r="B227" t="s">
        <v>313</v>
      </c>
      <c r="C227" s="1">
        <f>DATE(2013,5,1)</f>
        <v>41395</v>
      </c>
      <c r="D227" s="1">
        <f>DATE(2013,5,1)</f>
        <v>41395</v>
      </c>
      <c r="E227" s="3">
        <v>13388.09</v>
      </c>
      <c r="F227" t="s">
        <v>20</v>
      </c>
      <c r="G227" s="2">
        <v>10</v>
      </c>
      <c r="H227" s="2">
        <v>0</v>
      </c>
      <c r="I227" s="1">
        <f t="shared" si="31"/>
        <v>44926</v>
      </c>
      <c r="J227" s="3">
        <v>111.54</v>
      </c>
      <c r="K227" s="3">
        <v>1338.81</v>
      </c>
      <c r="L227" s="3">
        <v>12941.83</v>
      </c>
      <c r="M227" s="3">
        <v>446.26</v>
      </c>
      <c r="N227" t="s">
        <v>300</v>
      </c>
      <c r="O227" t="s">
        <v>18</v>
      </c>
      <c r="P227" t="s">
        <v>19</v>
      </c>
      <c r="Q227" t="s">
        <v>285</v>
      </c>
    </row>
    <row r="228" spans="1:17" ht="17.45" customHeight="1" x14ac:dyDescent="0.2">
      <c r="A228" t="s">
        <v>314</v>
      </c>
      <c r="B228" t="s">
        <v>315</v>
      </c>
      <c r="C228" s="1">
        <f>DATE(2013,12,31)</f>
        <v>41639</v>
      </c>
      <c r="D228" s="1">
        <f>DATE(2013,12,31)</f>
        <v>41639</v>
      </c>
      <c r="E228" s="3">
        <v>5890.43</v>
      </c>
      <c r="F228" t="s">
        <v>20</v>
      </c>
      <c r="G228" s="2">
        <v>10</v>
      </c>
      <c r="H228" s="2">
        <v>0</v>
      </c>
      <c r="I228" s="1">
        <f t="shared" si="31"/>
        <v>44926</v>
      </c>
      <c r="J228" s="3">
        <v>49.05</v>
      </c>
      <c r="K228" s="3">
        <v>589.04</v>
      </c>
      <c r="L228" s="3">
        <v>5301.36</v>
      </c>
      <c r="M228" s="3">
        <v>589.07000000000005</v>
      </c>
      <c r="N228" t="s">
        <v>300</v>
      </c>
      <c r="O228" t="s">
        <v>18</v>
      </c>
      <c r="P228" t="s">
        <v>19</v>
      </c>
      <c r="Q228" t="s">
        <v>285</v>
      </c>
    </row>
    <row r="229" spans="1:17" ht="17.45" customHeight="1" x14ac:dyDescent="0.2">
      <c r="A229" t="s">
        <v>316</v>
      </c>
      <c r="B229" t="s">
        <v>317</v>
      </c>
      <c r="C229" s="1">
        <f>DATE(2013,12,31)</f>
        <v>41639</v>
      </c>
      <c r="D229" s="1">
        <f>DATE(2013,12,31)</f>
        <v>41639</v>
      </c>
      <c r="E229" s="3">
        <v>115360.54</v>
      </c>
      <c r="F229" t="s">
        <v>20</v>
      </c>
      <c r="G229" s="2">
        <v>15</v>
      </c>
      <c r="H229" s="2">
        <v>0</v>
      </c>
      <c r="I229" s="1">
        <f t="shared" si="31"/>
        <v>44926</v>
      </c>
      <c r="J229" s="3">
        <v>640.91</v>
      </c>
      <c r="K229" s="3">
        <v>7690.7</v>
      </c>
      <c r="L229" s="3">
        <v>69216.3</v>
      </c>
      <c r="M229" s="3">
        <v>46144.24</v>
      </c>
      <c r="N229" t="s">
        <v>284</v>
      </c>
      <c r="O229" t="s">
        <v>18</v>
      </c>
      <c r="P229" t="s">
        <v>19</v>
      </c>
      <c r="Q229" t="s">
        <v>285</v>
      </c>
    </row>
    <row r="230" spans="1:17" ht="17.45" customHeight="1" x14ac:dyDescent="0.2">
      <c r="A230" t="s">
        <v>698</v>
      </c>
      <c r="B230" t="s">
        <v>699</v>
      </c>
      <c r="C230" s="1">
        <f>DATE(2015,12,31)</f>
        <v>42369</v>
      </c>
      <c r="D230" s="1">
        <f>DATE(2015,12,31)</f>
        <v>42369</v>
      </c>
      <c r="E230" s="3">
        <v>6100</v>
      </c>
      <c r="F230" t="s">
        <v>20</v>
      </c>
      <c r="G230" s="2">
        <v>10</v>
      </c>
      <c r="H230" s="2">
        <v>0</v>
      </c>
      <c r="I230" s="1">
        <f t="shared" si="31"/>
        <v>44926</v>
      </c>
      <c r="J230" s="3">
        <v>50.87</v>
      </c>
      <c r="K230" s="3">
        <v>610</v>
      </c>
      <c r="L230" s="3">
        <v>4270</v>
      </c>
      <c r="M230" s="3">
        <v>1830</v>
      </c>
      <c r="N230" t="s">
        <v>284</v>
      </c>
      <c r="O230" t="s">
        <v>18</v>
      </c>
      <c r="P230" t="s">
        <v>19</v>
      </c>
      <c r="Q230" t="s">
        <v>285</v>
      </c>
    </row>
    <row r="231" spans="1:17" ht="17.45" customHeight="1" x14ac:dyDescent="0.2">
      <c r="A231" t="s">
        <v>804</v>
      </c>
      <c r="B231" t="s">
        <v>805</v>
      </c>
      <c r="C231" s="1">
        <f>DATE(2016,9,30)</f>
        <v>42643</v>
      </c>
      <c r="D231" s="1">
        <f>DATE(2016,9,30)</f>
        <v>42643</v>
      </c>
      <c r="E231" s="3">
        <v>17074.810000000001</v>
      </c>
      <c r="F231" t="s">
        <v>20</v>
      </c>
      <c r="G231" s="2">
        <v>10</v>
      </c>
      <c r="H231" s="2">
        <v>0</v>
      </c>
      <c r="I231" s="1">
        <f t="shared" si="31"/>
        <v>44926</v>
      </c>
      <c r="J231" s="3">
        <v>142.29</v>
      </c>
      <c r="K231" s="3">
        <v>1707.48</v>
      </c>
      <c r="L231" s="3">
        <v>10671.75</v>
      </c>
      <c r="M231" s="3">
        <v>6403.06</v>
      </c>
      <c r="N231" t="s">
        <v>284</v>
      </c>
      <c r="O231" t="s">
        <v>18</v>
      </c>
      <c r="P231" t="s">
        <v>19</v>
      </c>
      <c r="Q231" t="s">
        <v>285</v>
      </c>
    </row>
    <row r="232" spans="1:17" ht="17.45" customHeight="1" x14ac:dyDescent="0.2">
      <c r="A232" t="s">
        <v>884</v>
      </c>
      <c r="B232" t="s">
        <v>885</v>
      </c>
      <c r="C232" s="1">
        <f>DATE(2018,10,31)</f>
        <v>43404</v>
      </c>
      <c r="D232" s="1">
        <f>DATE(2018,10,31)</f>
        <v>43404</v>
      </c>
      <c r="E232" s="3">
        <v>39472.22</v>
      </c>
      <c r="F232" t="s">
        <v>20</v>
      </c>
      <c r="G232" s="2">
        <v>35</v>
      </c>
      <c r="H232" s="2">
        <v>0</v>
      </c>
      <c r="I232" s="1">
        <f t="shared" si="31"/>
        <v>44926</v>
      </c>
      <c r="J232" s="3">
        <v>94</v>
      </c>
      <c r="K232" s="3">
        <v>1127.78</v>
      </c>
      <c r="L232" s="3">
        <v>4699.08</v>
      </c>
      <c r="M232" s="3">
        <v>34773.14</v>
      </c>
      <c r="N232" t="s">
        <v>300</v>
      </c>
      <c r="O232" t="s">
        <v>18</v>
      </c>
      <c r="P232" t="s">
        <v>19</v>
      </c>
      <c r="Q232" t="s">
        <v>285</v>
      </c>
    </row>
    <row r="233" spans="1:17" ht="17.45" customHeight="1" x14ac:dyDescent="0.2">
      <c r="A233" t="s">
        <v>976</v>
      </c>
      <c r="B233" t="s">
        <v>977</v>
      </c>
      <c r="C233" s="1">
        <f>DATE(2020,2,29)</f>
        <v>43890</v>
      </c>
      <c r="D233" s="1">
        <f>DATE(2020,2,29)</f>
        <v>43890</v>
      </c>
      <c r="E233" s="3">
        <v>777300.71</v>
      </c>
      <c r="F233" t="s">
        <v>20</v>
      </c>
      <c r="G233" s="2">
        <v>10</v>
      </c>
      <c r="H233" s="2">
        <v>0</v>
      </c>
      <c r="I233" s="1">
        <f t="shared" si="31"/>
        <v>44926</v>
      </c>
      <c r="J233" s="3">
        <v>6477.46</v>
      </c>
      <c r="K233" s="3">
        <v>77730.070000000007</v>
      </c>
      <c r="L233" s="3">
        <v>220235.2</v>
      </c>
      <c r="M233" s="3">
        <v>557065.51</v>
      </c>
      <c r="N233" t="s">
        <v>284</v>
      </c>
      <c r="O233" t="s">
        <v>18</v>
      </c>
      <c r="P233" t="s">
        <v>19</v>
      </c>
      <c r="Q233" t="s">
        <v>285</v>
      </c>
    </row>
    <row r="234" spans="1:17" ht="17.45" customHeight="1" x14ac:dyDescent="0.2">
      <c r="A234" t="s">
        <v>1084</v>
      </c>
      <c r="B234" t="s">
        <v>1085</v>
      </c>
      <c r="C234" s="1">
        <f>DATE(2022,7,31)</f>
        <v>44773</v>
      </c>
      <c r="D234" s="1">
        <f>DATE(2022,7,31)</f>
        <v>44773</v>
      </c>
      <c r="E234" s="3">
        <v>4830.66</v>
      </c>
      <c r="F234" t="s">
        <v>20</v>
      </c>
      <c r="G234" s="2">
        <v>10</v>
      </c>
      <c r="H234" s="2">
        <v>0</v>
      </c>
      <c r="I234" s="1">
        <f t="shared" si="31"/>
        <v>44926</v>
      </c>
      <c r="J234" s="3">
        <v>40.24</v>
      </c>
      <c r="K234" s="3">
        <v>201.28</v>
      </c>
      <c r="L234" s="3">
        <v>201.28</v>
      </c>
      <c r="M234" s="3">
        <v>4629.38</v>
      </c>
      <c r="N234" t="s">
        <v>284</v>
      </c>
      <c r="O234" t="s">
        <v>18</v>
      </c>
      <c r="P234" t="s">
        <v>19</v>
      </c>
      <c r="Q234" t="s">
        <v>285</v>
      </c>
    </row>
    <row r="235" spans="1:17" ht="17.45" customHeight="1" x14ac:dyDescent="0.2">
      <c r="A235" t="s">
        <v>1138</v>
      </c>
      <c r="B235" t="s">
        <v>1139</v>
      </c>
      <c r="C235" s="1">
        <f>DATE(2018,5,31)</f>
        <v>43251</v>
      </c>
      <c r="D235" s="1">
        <f>DATE(2018,5,31)</f>
        <v>43251</v>
      </c>
      <c r="E235" s="3">
        <v>4875</v>
      </c>
      <c r="F235" t="s">
        <v>20</v>
      </c>
      <c r="G235" s="2">
        <v>20</v>
      </c>
      <c r="H235" s="2">
        <v>0</v>
      </c>
      <c r="I235" s="1">
        <f t="shared" si="31"/>
        <v>44926</v>
      </c>
      <c r="J235" s="3">
        <v>20.34</v>
      </c>
      <c r="K235" s="3">
        <v>243.75</v>
      </c>
      <c r="L235" s="3">
        <v>1117.19</v>
      </c>
      <c r="M235" s="3">
        <v>3757.81</v>
      </c>
      <c r="N235" t="s">
        <v>284</v>
      </c>
      <c r="O235" t="s">
        <v>18</v>
      </c>
      <c r="P235" t="s">
        <v>19</v>
      </c>
      <c r="Q235" t="s">
        <v>285</v>
      </c>
    </row>
    <row r="236" spans="1:17" ht="17.45" customHeight="1" x14ac:dyDescent="0.2">
      <c r="E236" s="4">
        <f>SUM(E215:E235)</f>
        <v>1470462.7</v>
      </c>
      <c r="J236" s="4">
        <f t="shared" ref="J236:M236" si="32">SUM(J215:J235)</f>
        <v>9135.23</v>
      </c>
      <c r="K236" s="4">
        <f t="shared" si="32"/>
        <v>109341.71</v>
      </c>
      <c r="L236" s="4">
        <f t="shared" si="32"/>
        <v>569674.11</v>
      </c>
      <c r="M236" s="4">
        <f t="shared" si="32"/>
        <v>900788.5900000002</v>
      </c>
    </row>
    <row r="237" spans="1:17" ht="17.45" customHeight="1" x14ac:dyDescent="0.2">
      <c r="A237" t="s">
        <v>318</v>
      </c>
      <c r="B237" t="s">
        <v>319</v>
      </c>
      <c r="C237" s="1">
        <f>DATE(1974,1,1)</f>
        <v>27030</v>
      </c>
      <c r="D237" s="1">
        <f>DATE(1974,1,1)</f>
        <v>27030</v>
      </c>
      <c r="E237" s="3">
        <v>64070.02</v>
      </c>
      <c r="F237" t="s">
        <v>21</v>
      </c>
      <c r="G237" s="2">
        <v>40</v>
      </c>
      <c r="H237" s="2">
        <v>0</v>
      </c>
      <c r="I237" s="1">
        <f>DATE(2014,6,30)</f>
        <v>41820</v>
      </c>
      <c r="J237" s="3">
        <v>0</v>
      </c>
      <c r="K237" s="3">
        <v>0</v>
      </c>
      <c r="L237" s="3">
        <v>64070.02</v>
      </c>
      <c r="M237" s="3">
        <v>0</v>
      </c>
      <c r="N237" t="s">
        <v>320</v>
      </c>
      <c r="O237" t="s">
        <v>18</v>
      </c>
      <c r="P237" t="s">
        <v>19</v>
      </c>
      <c r="Q237" t="s">
        <v>321</v>
      </c>
    </row>
    <row r="238" spans="1:17" ht="17.45" customHeight="1" x14ac:dyDescent="0.2">
      <c r="A238" t="s">
        <v>322</v>
      </c>
      <c r="B238" t="s">
        <v>323</v>
      </c>
      <c r="C238" s="1">
        <f>DATE(1975,1,1)</f>
        <v>27395</v>
      </c>
      <c r="D238" s="1">
        <f>DATE(1975,1,1)</f>
        <v>27395</v>
      </c>
      <c r="E238" s="3">
        <v>85929.98</v>
      </c>
      <c r="F238" t="s">
        <v>21</v>
      </c>
      <c r="G238" s="2">
        <v>40</v>
      </c>
      <c r="H238" s="2">
        <v>0</v>
      </c>
      <c r="I238" s="1">
        <f>DATE(2014,12,31)</f>
        <v>42004</v>
      </c>
      <c r="J238" s="3">
        <v>0</v>
      </c>
      <c r="K238" s="3">
        <v>0</v>
      </c>
      <c r="L238" s="3">
        <v>85929.98</v>
      </c>
      <c r="M238" s="3">
        <v>0</v>
      </c>
      <c r="N238" t="s">
        <v>324</v>
      </c>
      <c r="O238" t="s">
        <v>18</v>
      </c>
      <c r="P238" t="s">
        <v>19</v>
      </c>
      <c r="Q238" t="s">
        <v>321</v>
      </c>
    </row>
    <row r="239" spans="1:17" ht="17.45" customHeight="1" x14ac:dyDescent="0.2">
      <c r="E239" s="4">
        <f>SUM(E237:E238)</f>
        <v>150000</v>
      </c>
      <c r="J239" s="4">
        <f t="shared" ref="J239:M239" si="33">SUM(J237:J238)</f>
        <v>0</v>
      </c>
      <c r="K239" s="4">
        <f t="shared" si="33"/>
        <v>0</v>
      </c>
      <c r="L239" s="4">
        <f t="shared" si="33"/>
        <v>150000</v>
      </c>
      <c r="M239" s="4">
        <f t="shared" si="33"/>
        <v>0</v>
      </c>
    </row>
    <row r="240" spans="1:17" ht="17.45" customHeight="1" x14ac:dyDescent="0.2">
      <c r="A240" t="s">
        <v>325</v>
      </c>
      <c r="B240" t="s">
        <v>326</v>
      </c>
      <c r="C240" s="1">
        <f>DATE(2009,1,1)</f>
        <v>39814</v>
      </c>
      <c r="D240" s="1">
        <f>DATE(2009,1,1)</f>
        <v>39814</v>
      </c>
      <c r="E240" s="3">
        <v>3356.5</v>
      </c>
      <c r="F240" t="s">
        <v>20</v>
      </c>
      <c r="G240" s="2">
        <v>7</v>
      </c>
      <c r="H240" s="2">
        <v>0</v>
      </c>
      <c r="I240" s="1">
        <f>DATE(2015,12,31)</f>
        <v>42369</v>
      </c>
      <c r="J240" s="3">
        <v>0</v>
      </c>
      <c r="K240" s="3">
        <v>0</v>
      </c>
      <c r="L240" s="3">
        <v>3356.5</v>
      </c>
      <c r="M240" s="3">
        <v>0</v>
      </c>
      <c r="N240" t="s">
        <v>327</v>
      </c>
      <c r="O240" t="s">
        <v>18</v>
      </c>
      <c r="P240" t="s">
        <v>19</v>
      </c>
      <c r="Q240" t="s">
        <v>328</v>
      </c>
    </row>
    <row r="241" spans="1:17" ht="17.45" customHeight="1" x14ac:dyDescent="0.2">
      <c r="A241" t="s">
        <v>329</v>
      </c>
      <c r="B241" t="s">
        <v>330</v>
      </c>
      <c r="C241" s="1">
        <f>DATE(2009,1,1)</f>
        <v>39814</v>
      </c>
      <c r="D241" s="1">
        <f>DATE(2009,1,1)</f>
        <v>39814</v>
      </c>
      <c r="E241" s="3">
        <v>1150</v>
      </c>
      <c r="F241" t="s">
        <v>20</v>
      </c>
      <c r="G241" s="2">
        <v>7</v>
      </c>
      <c r="H241" s="2">
        <v>0</v>
      </c>
      <c r="I241" s="1">
        <f>DATE(2015,12,31)</f>
        <v>42369</v>
      </c>
      <c r="J241" s="3">
        <v>0</v>
      </c>
      <c r="K241" s="3">
        <v>0</v>
      </c>
      <c r="L241" s="3">
        <v>1150</v>
      </c>
      <c r="M241" s="3">
        <v>0</v>
      </c>
      <c r="N241" t="s">
        <v>327</v>
      </c>
      <c r="O241" t="s">
        <v>18</v>
      </c>
      <c r="P241" t="s">
        <v>19</v>
      </c>
      <c r="Q241" t="s">
        <v>328</v>
      </c>
    </row>
    <row r="242" spans="1:17" ht="17.45" customHeight="1" x14ac:dyDescent="0.2">
      <c r="A242" t="s">
        <v>331</v>
      </c>
      <c r="B242" t="s">
        <v>332</v>
      </c>
      <c r="C242" s="1">
        <f>DATE(2009,4,30)</f>
        <v>39933</v>
      </c>
      <c r="D242" s="1">
        <f>DATE(2009,4,30)</f>
        <v>39933</v>
      </c>
      <c r="E242" s="3">
        <v>1253.44</v>
      </c>
      <c r="F242" t="s">
        <v>20</v>
      </c>
      <c r="G242" s="2">
        <v>7</v>
      </c>
      <c r="H242" s="2">
        <v>0</v>
      </c>
      <c r="I242" s="1">
        <f>DATE(2016,4,30)</f>
        <v>42490</v>
      </c>
      <c r="J242" s="3">
        <v>0</v>
      </c>
      <c r="K242" s="3">
        <v>0</v>
      </c>
      <c r="L242" s="3">
        <v>1253.44</v>
      </c>
      <c r="M242" s="3">
        <v>0</v>
      </c>
      <c r="N242" t="s">
        <v>333</v>
      </c>
      <c r="O242" t="s">
        <v>18</v>
      </c>
      <c r="P242" t="s">
        <v>19</v>
      </c>
      <c r="Q242" t="s">
        <v>328</v>
      </c>
    </row>
    <row r="243" spans="1:17" ht="17.45" customHeight="1" x14ac:dyDescent="0.2">
      <c r="A243" t="s">
        <v>334</v>
      </c>
      <c r="B243" t="s">
        <v>335</v>
      </c>
      <c r="C243" s="1">
        <f>DATE(2009,4,1)</f>
        <v>39904</v>
      </c>
      <c r="D243" s="1">
        <f>DATE(2009,4,1)</f>
        <v>39904</v>
      </c>
      <c r="E243" s="3">
        <v>3657.54</v>
      </c>
      <c r="F243" t="s">
        <v>20</v>
      </c>
      <c r="G243" s="2">
        <v>10</v>
      </c>
      <c r="H243" s="2">
        <v>0</v>
      </c>
      <c r="I243" s="1">
        <f>DATE(2019,3,31)</f>
        <v>43555</v>
      </c>
      <c r="J243" s="3">
        <v>0</v>
      </c>
      <c r="K243" s="3">
        <v>0</v>
      </c>
      <c r="L243" s="3">
        <v>3657.54</v>
      </c>
      <c r="M243" s="3">
        <v>0</v>
      </c>
      <c r="N243" t="s">
        <v>336</v>
      </c>
      <c r="O243" t="s">
        <v>18</v>
      </c>
      <c r="P243" t="s">
        <v>19</v>
      </c>
      <c r="Q243" t="s">
        <v>328</v>
      </c>
    </row>
    <row r="244" spans="1:17" ht="17.45" customHeight="1" x14ac:dyDescent="0.2">
      <c r="A244" t="s">
        <v>337</v>
      </c>
      <c r="B244" t="s">
        <v>338</v>
      </c>
      <c r="C244" s="1">
        <f>DATE(2009,5,1)</f>
        <v>39934</v>
      </c>
      <c r="D244" s="1">
        <f>DATE(2009,5,1)</f>
        <v>39934</v>
      </c>
      <c r="E244" s="3">
        <v>1745.34</v>
      </c>
      <c r="F244" t="s">
        <v>20</v>
      </c>
      <c r="G244" s="2">
        <v>30</v>
      </c>
      <c r="H244" s="2">
        <v>0</v>
      </c>
      <c r="I244" s="1">
        <f>DATE(2022,12,31)</f>
        <v>44926</v>
      </c>
      <c r="J244" s="3">
        <v>4.83</v>
      </c>
      <c r="K244" s="3">
        <v>58.18</v>
      </c>
      <c r="L244" s="3">
        <v>795.13</v>
      </c>
      <c r="M244" s="3">
        <v>950.21</v>
      </c>
      <c r="N244" t="s">
        <v>336</v>
      </c>
      <c r="O244" t="s">
        <v>18</v>
      </c>
      <c r="P244" t="s">
        <v>19</v>
      </c>
      <c r="Q244" t="s">
        <v>328</v>
      </c>
    </row>
    <row r="245" spans="1:17" ht="17.45" customHeight="1" x14ac:dyDescent="0.2">
      <c r="A245" t="s">
        <v>339</v>
      </c>
      <c r="B245" t="s">
        <v>340</v>
      </c>
      <c r="C245" s="1">
        <f>DATE(2009,5,31)</f>
        <v>39964</v>
      </c>
      <c r="D245" s="1">
        <f>DATE(2009,5,31)</f>
        <v>39964</v>
      </c>
      <c r="E245" s="3">
        <v>407.88</v>
      </c>
      <c r="F245" t="s">
        <v>20</v>
      </c>
      <c r="G245" s="2">
        <v>7</v>
      </c>
      <c r="H245" s="2">
        <v>0</v>
      </c>
      <c r="I245" s="1">
        <f>DATE(2016,5,31)</f>
        <v>42521</v>
      </c>
      <c r="J245" s="3">
        <v>0</v>
      </c>
      <c r="K245" s="3">
        <v>0</v>
      </c>
      <c r="L245" s="3">
        <v>407.88</v>
      </c>
      <c r="M245" s="3">
        <v>0</v>
      </c>
      <c r="N245" t="s">
        <v>336</v>
      </c>
      <c r="O245" t="s">
        <v>18</v>
      </c>
      <c r="P245" t="s">
        <v>19</v>
      </c>
      <c r="Q245" t="s">
        <v>328</v>
      </c>
    </row>
    <row r="246" spans="1:17" ht="17.45" customHeight="1" x14ac:dyDescent="0.2">
      <c r="A246" t="s">
        <v>342</v>
      </c>
      <c r="B246" t="s">
        <v>343</v>
      </c>
      <c r="C246" s="1">
        <f>DATE(2010,3,31)</f>
        <v>40268</v>
      </c>
      <c r="D246" s="1">
        <f>DATE(2010,3,31)</f>
        <v>40268</v>
      </c>
      <c r="E246" s="3">
        <v>1405.65</v>
      </c>
      <c r="F246" t="s">
        <v>20</v>
      </c>
      <c r="G246" s="2">
        <v>7</v>
      </c>
      <c r="H246" s="2">
        <v>0</v>
      </c>
      <c r="I246" s="1">
        <f>DATE(2017,3,31)</f>
        <v>42825</v>
      </c>
      <c r="J246" s="3">
        <v>0</v>
      </c>
      <c r="K246" s="3">
        <v>0</v>
      </c>
      <c r="L246" s="3">
        <v>1405.65</v>
      </c>
      <c r="M246" s="3">
        <v>0</v>
      </c>
      <c r="N246" t="s">
        <v>327</v>
      </c>
      <c r="O246" t="s">
        <v>18</v>
      </c>
      <c r="P246" t="s">
        <v>19</v>
      </c>
      <c r="Q246" t="s">
        <v>328</v>
      </c>
    </row>
    <row r="247" spans="1:17" ht="17.45" customHeight="1" x14ac:dyDescent="0.2">
      <c r="A247" t="s">
        <v>344</v>
      </c>
      <c r="B247" t="s">
        <v>345</v>
      </c>
      <c r="C247" s="1">
        <f>DATE(2010,10,31)</f>
        <v>40482</v>
      </c>
      <c r="D247" s="1">
        <f>DATE(2010,10,31)</f>
        <v>40482</v>
      </c>
      <c r="E247" s="3">
        <v>700</v>
      </c>
      <c r="F247" t="s">
        <v>20</v>
      </c>
      <c r="G247" s="2">
        <v>35</v>
      </c>
      <c r="H247" s="2">
        <v>0</v>
      </c>
      <c r="I247" s="1">
        <f>DATE(2022,12,31)</f>
        <v>44926</v>
      </c>
      <c r="J247" s="3">
        <v>1.63</v>
      </c>
      <c r="K247" s="3">
        <v>20</v>
      </c>
      <c r="L247" s="3">
        <v>243.33</v>
      </c>
      <c r="M247" s="3">
        <v>456.67</v>
      </c>
      <c r="N247" t="s">
        <v>341</v>
      </c>
      <c r="O247" t="s">
        <v>18</v>
      </c>
      <c r="P247" t="s">
        <v>19</v>
      </c>
      <c r="Q247" t="s">
        <v>328</v>
      </c>
    </row>
    <row r="248" spans="1:17" ht="17.45" customHeight="1" x14ac:dyDescent="0.2">
      <c r="A248" t="s">
        <v>346</v>
      </c>
      <c r="B248" t="s">
        <v>347</v>
      </c>
      <c r="C248" s="1">
        <f>DATE(2010,12,1)</f>
        <v>40513</v>
      </c>
      <c r="D248" s="1">
        <f>DATE(2010,12,1)</f>
        <v>40513</v>
      </c>
      <c r="E248" s="3">
        <v>2284.85</v>
      </c>
      <c r="F248" t="s">
        <v>20</v>
      </c>
      <c r="G248" s="2">
        <v>10</v>
      </c>
      <c r="H248" s="2">
        <v>0</v>
      </c>
      <c r="I248" s="1">
        <f>DATE(2020,11,30)</f>
        <v>44165</v>
      </c>
      <c r="J248" s="3">
        <v>0</v>
      </c>
      <c r="K248" s="3">
        <v>0</v>
      </c>
      <c r="L248" s="3">
        <v>2284.85</v>
      </c>
      <c r="M248" s="3">
        <v>0</v>
      </c>
      <c r="N248" t="s">
        <v>341</v>
      </c>
      <c r="O248" t="s">
        <v>18</v>
      </c>
      <c r="P248" t="s">
        <v>19</v>
      </c>
      <c r="Q248" t="s">
        <v>328</v>
      </c>
    </row>
    <row r="249" spans="1:17" ht="17.45" customHeight="1" x14ac:dyDescent="0.2">
      <c r="A249" t="s">
        <v>348</v>
      </c>
      <c r="B249" t="s">
        <v>349</v>
      </c>
      <c r="C249" s="1">
        <f>DATE(2012,8,31)</f>
        <v>41152</v>
      </c>
      <c r="D249" s="1">
        <f>DATE(2012,8,31)</f>
        <v>41152</v>
      </c>
      <c r="E249" s="3">
        <v>3034.5</v>
      </c>
      <c r="F249" t="s">
        <v>20</v>
      </c>
      <c r="G249" s="2">
        <v>35</v>
      </c>
      <c r="H249" s="2">
        <v>0</v>
      </c>
      <c r="I249" s="1">
        <f>DATE(2022,12,31)</f>
        <v>44926</v>
      </c>
      <c r="J249" s="3">
        <v>7.17</v>
      </c>
      <c r="K249" s="3">
        <v>86.7</v>
      </c>
      <c r="L249" s="3">
        <v>895.9</v>
      </c>
      <c r="M249" s="3">
        <v>2138.6</v>
      </c>
      <c r="N249" t="s">
        <v>336</v>
      </c>
      <c r="O249" t="s">
        <v>18</v>
      </c>
      <c r="P249" t="s">
        <v>19</v>
      </c>
      <c r="Q249" t="s">
        <v>328</v>
      </c>
    </row>
    <row r="250" spans="1:17" ht="17.45" customHeight="1" x14ac:dyDescent="0.2">
      <c r="A250" t="s">
        <v>576</v>
      </c>
      <c r="B250" t="s">
        <v>577</v>
      </c>
      <c r="C250" s="1">
        <f>DATE(2014,7,31)</f>
        <v>41851</v>
      </c>
      <c r="D250" s="1">
        <f>DATE(2014,7,31)</f>
        <v>41851</v>
      </c>
      <c r="E250" s="3">
        <v>1569.71</v>
      </c>
      <c r="F250" t="s">
        <v>20</v>
      </c>
      <c r="G250" s="2">
        <v>7</v>
      </c>
      <c r="H250" s="2">
        <v>0</v>
      </c>
      <c r="I250" s="1">
        <f>DATE(2021,7,31)</f>
        <v>44408</v>
      </c>
      <c r="J250" s="3">
        <v>0</v>
      </c>
      <c r="K250" s="3">
        <v>0</v>
      </c>
      <c r="L250" s="3">
        <v>1569.71</v>
      </c>
      <c r="M250" s="3">
        <v>0</v>
      </c>
      <c r="N250" t="s">
        <v>327</v>
      </c>
      <c r="O250" t="s">
        <v>18</v>
      </c>
      <c r="P250" t="s">
        <v>19</v>
      </c>
      <c r="Q250" t="s">
        <v>328</v>
      </c>
    </row>
    <row r="251" spans="1:17" ht="17.45" customHeight="1" x14ac:dyDescent="0.2">
      <c r="A251" t="s">
        <v>586</v>
      </c>
      <c r="B251" t="s">
        <v>577</v>
      </c>
      <c r="C251" s="1">
        <f>DATE(2014,8,31)</f>
        <v>41882</v>
      </c>
      <c r="D251" s="1">
        <f>DATE(2014,8,31)</f>
        <v>41882</v>
      </c>
      <c r="E251" s="3">
        <v>1187.1199999999999</v>
      </c>
      <c r="F251" t="s">
        <v>20</v>
      </c>
      <c r="G251" s="2">
        <v>7</v>
      </c>
      <c r="H251" s="2">
        <v>0</v>
      </c>
      <c r="I251" s="1">
        <f>DATE(2021,8,31)</f>
        <v>44439</v>
      </c>
      <c r="J251" s="3">
        <v>0</v>
      </c>
      <c r="K251" s="3">
        <v>0</v>
      </c>
      <c r="L251" s="3">
        <v>1187.1199999999999</v>
      </c>
      <c r="M251" s="3">
        <v>0</v>
      </c>
      <c r="N251" t="s">
        <v>327</v>
      </c>
      <c r="O251" t="s">
        <v>18</v>
      </c>
      <c r="P251" t="s">
        <v>19</v>
      </c>
      <c r="Q251" t="s">
        <v>328</v>
      </c>
    </row>
    <row r="252" spans="1:17" ht="17.45" customHeight="1" x14ac:dyDescent="0.2">
      <c r="A252" t="s">
        <v>596</v>
      </c>
      <c r="B252" t="s">
        <v>597</v>
      </c>
      <c r="C252" s="1">
        <f>DATE(2014,9,1)</f>
        <v>41883</v>
      </c>
      <c r="D252" s="1">
        <f>DATE(2014,9,1)</f>
        <v>41883</v>
      </c>
      <c r="E252" s="3">
        <v>1064.25</v>
      </c>
      <c r="F252" t="s">
        <v>20</v>
      </c>
      <c r="G252" s="2">
        <v>7</v>
      </c>
      <c r="H252" s="2">
        <v>0</v>
      </c>
      <c r="I252" s="1">
        <f>DATE(2021,8,31)</f>
        <v>44439</v>
      </c>
      <c r="J252" s="3">
        <v>0</v>
      </c>
      <c r="K252" s="3">
        <v>0</v>
      </c>
      <c r="L252" s="3">
        <v>1064.25</v>
      </c>
      <c r="M252" s="3">
        <v>0</v>
      </c>
      <c r="N252" t="s">
        <v>327</v>
      </c>
      <c r="O252" t="s">
        <v>18</v>
      </c>
      <c r="P252" t="s">
        <v>19</v>
      </c>
      <c r="Q252" t="s">
        <v>328</v>
      </c>
    </row>
    <row r="253" spans="1:17" ht="17.45" customHeight="1" x14ac:dyDescent="0.2">
      <c r="A253" t="s">
        <v>606</v>
      </c>
      <c r="B253" t="s">
        <v>607</v>
      </c>
      <c r="C253" s="1">
        <f>DATE(2014,10,31)</f>
        <v>41943</v>
      </c>
      <c r="D253" s="1">
        <f>DATE(2014,10,31)</f>
        <v>41943</v>
      </c>
      <c r="E253" s="3">
        <v>12786.74</v>
      </c>
      <c r="F253" t="s">
        <v>20</v>
      </c>
      <c r="G253" s="2">
        <v>20</v>
      </c>
      <c r="H253" s="2">
        <v>0</v>
      </c>
      <c r="I253" s="1">
        <f t="shared" ref="I253:I264" si="34">DATE(2022,12,31)</f>
        <v>44926</v>
      </c>
      <c r="J253" s="3">
        <v>53.26</v>
      </c>
      <c r="K253" s="3">
        <v>639.34</v>
      </c>
      <c r="L253" s="3">
        <v>5221.28</v>
      </c>
      <c r="M253" s="3">
        <v>7565.46</v>
      </c>
      <c r="N253" t="s">
        <v>608</v>
      </c>
      <c r="O253" t="s">
        <v>18</v>
      </c>
      <c r="P253" t="s">
        <v>19</v>
      </c>
      <c r="Q253" t="s">
        <v>328</v>
      </c>
    </row>
    <row r="254" spans="1:17" ht="17.45" customHeight="1" x14ac:dyDescent="0.2">
      <c r="A254" t="s">
        <v>644</v>
      </c>
      <c r="B254" t="s">
        <v>645</v>
      </c>
      <c r="C254" s="1">
        <f>DATE(2015,3,1)</f>
        <v>42064</v>
      </c>
      <c r="D254" s="1">
        <f>DATE(2015,3,1)</f>
        <v>42064</v>
      </c>
      <c r="E254" s="3">
        <v>3260.31</v>
      </c>
      <c r="F254" t="s">
        <v>20</v>
      </c>
      <c r="G254" s="2">
        <v>10</v>
      </c>
      <c r="H254" s="2">
        <v>0</v>
      </c>
      <c r="I254" s="1">
        <f t="shared" si="34"/>
        <v>44926</v>
      </c>
      <c r="J254" s="3">
        <v>27.16</v>
      </c>
      <c r="K254" s="3">
        <v>326.02999999999997</v>
      </c>
      <c r="L254" s="3">
        <v>2553.9</v>
      </c>
      <c r="M254" s="3">
        <v>706.41</v>
      </c>
      <c r="N254" t="s">
        <v>336</v>
      </c>
      <c r="O254" t="s">
        <v>18</v>
      </c>
      <c r="P254" t="s">
        <v>19</v>
      </c>
      <c r="Q254" t="s">
        <v>328</v>
      </c>
    </row>
    <row r="255" spans="1:17" ht="17.45" customHeight="1" x14ac:dyDescent="0.2">
      <c r="A255" t="s">
        <v>646</v>
      </c>
      <c r="B255" t="s">
        <v>647</v>
      </c>
      <c r="C255" s="1">
        <f>DATE(2015,3,1)</f>
        <v>42064</v>
      </c>
      <c r="D255" s="1">
        <f>DATE(2015,3,1)</f>
        <v>42064</v>
      </c>
      <c r="E255" s="3">
        <v>1082.71</v>
      </c>
      <c r="F255" t="s">
        <v>20</v>
      </c>
      <c r="G255" s="2">
        <v>20</v>
      </c>
      <c r="H255" s="2">
        <v>0</v>
      </c>
      <c r="I255" s="1">
        <f t="shared" si="34"/>
        <v>44926</v>
      </c>
      <c r="J255" s="3">
        <v>4.53</v>
      </c>
      <c r="K255" s="3">
        <v>54.14</v>
      </c>
      <c r="L255" s="3">
        <v>424.09</v>
      </c>
      <c r="M255" s="3">
        <v>658.62</v>
      </c>
      <c r="N255" t="s">
        <v>336</v>
      </c>
      <c r="O255" t="s">
        <v>18</v>
      </c>
      <c r="P255" t="s">
        <v>19</v>
      </c>
      <c r="Q255" t="s">
        <v>328</v>
      </c>
    </row>
    <row r="256" spans="1:17" ht="17.45" customHeight="1" x14ac:dyDescent="0.2">
      <c r="A256" t="s">
        <v>656</v>
      </c>
      <c r="B256" t="s">
        <v>657</v>
      </c>
      <c r="C256" s="1">
        <f>DATE(2015,6,30)</f>
        <v>42185</v>
      </c>
      <c r="D256" s="1">
        <f>DATE(2015,6,30)</f>
        <v>42185</v>
      </c>
      <c r="E256" s="3">
        <v>1135</v>
      </c>
      <c r="F256" t="s">
        <v>20</v>
      </c>
      <c r="G256" s="2">
        <v>35</v>
      </c>
      <c r="H256" s="2">
        <v>0</v>
      </c>
      <c r="I256" s="1">
        <f t="shared" si="34"/>
        <v>44926</v>
      </c>
      <c r="J256" s="3">
        <v>2.73</v>
      </c>
      <c r="K256" s="3">
        <v>32.43</v>
      </c>
      <c r="L256" s="3">
        <v>243.22</v>
      </c>
      <c r="M256" s="3">
        <v>891.78</v>
      </c>
      <c r="N256" t="s">
        <v>336</v>
      </c>
      <c r="O256" t="s">
        <v>18</v>
      </c>
      <c r="P256" t="s">
        <v>19</v>
      </c>
      <c r="Q256" t="s">
        <v>328</v>
      </c>
    </row>
    <row r="257" spans="1:17" ht="17.45" customHeight="1" x14ac:dyDescent="0.2">
      <c r="A257" t="s">
        <v>670</v>
      </c>
      <c r="B257" t="s">
        <v>671</v>
      </c>
      <c r="C257" s="1">
        <f>DATE(2015,8,31)</f>
        <v>42247</v>
      </c>
      <c r="D257" s="1">
        <f>DATE(2015,8,31)</f>
        <v>42247</v>
      </c>
      <c r="E257" s="3">
        <v>7221.88</v>
      </c>
      <c r="F257" t="s">
        <v>20</v>
      </c>
      <c r="G257" s="2">
        <v>10</v>
      </c>
      <c r="H257" s="2">
        <v>0</v>
      </c>
      <c r="I257" s="1">
        <f t="shared" si="34"/>
        <v>44926</v>
      </c>
      <c r="J257" s="3">
        <v>60.21</v>
      </c>
      <c r="K257" s="3">
        <v>722.19</v>
      </c>
      <c r="L257" s="3">
        <v>5296.06</v>
      </c>
      <c r="M257" s="3">
        <v>1925.82</v>
      </c>
      <c r="N257" t="s">
        <v>336</v>
      </c>
      <c r="O257" t="s">
        <v>18</v>
      </c>
      <c r="P257" t="s">
        <v>19</v>
      </c>
      <c r="Q257" t="s">
        <v>328</v>
      </c>
    </row>
    <row r="258" spans="1:17" ht="17.45" customHeight="1" x14ac:dyDescent="0.2">
      <c r="A258" t="s">
        <v>686</v>
      </c>
      <c r="B258" t="s">
        <v>687</v>
      </c>
      <c r="C258" s="1">
        <f>DATE(2015,9,30)</f>
        <v>42277</v>
      </c>
      <c r="D258" s="1">
        <f>DATE(2015,9,30)</f>
        <v>42277</v>
      </c>
      <c r="E258" s="3">
        <v>4864.5</v>
      </c>
      <c r="F258" t="s">
        <v>20</v>
      </c>
      <c r="G258" s="2">
        <v>10</v>
      </c>
      <c r="H258" s="2">
        <v>0</v>
      </c>
      <c r="I258" s="1">
        <f t="shared" si="34"/>
        <v>44926</v>
      </c>
      <c r="J258" s="3">
        <v>40.51</v>
      </c>
      <c r="K258" s="3">
        <v>486.45</v>
      </c>
      <c r="L258" s="3">
        <v>3526.76</v>
      </c>
      <c r="M258" s="3">
        <v>1337.74</v>
      </c>
      <c r="N258" t="s">
        <v>341</v>
      </c>
      <c r="O258" t="s">
        <v>18</v>
      </c>
      <c r="P258" t="s">
        <v>19</v>
      </c>
      <c r="Q258" t="s">
        <v>328</v>
      </c>
    </row>
    <row r="259" spans="1:17" ht="17.45" customHeight="1" x14ac:dyDescent="0.2">
      <c r="A259" t="s">
        <v>700</v>
      </c>
      <c r="B259" t="s">
        <v>701</v>
      </c>
      <c r="C259" s="1">
        <f>DATE(2015,12,31)</f>
        <v>42369</v>
      </c>
      <c r="D259" s="1">
        <f>DATE(2015,12,31)</f>
        <v>42369</v>
      </c>
      <c r="E259" s="3">
        <v>5659.11</v>
      </c>
      <c r="F259" t="s">
        <v>20</v>
      </c>
      <c r="G259" s="2">
        <v>10</v>
      </c>
      <c r="H259" s="2">
        <v>0</v>
      </c>
      <c r="I259" s="1">
        <f t="shared" si="34"/>
        <v>44926</v>
      </c>
      <c r="J259" s="3">
        <v>47.15</v>
      </c>
      <c r="K259" s="3">
        <v>565.91</v>
      </c>
      <c r="L259" s="3">
        <v>3961.37</v>
      </c>
      <c r="M259" s="3">
        <v>1697.74</v>
      </c>
      <c r="N259" t="s">
        <v>336</v>
      </c>
      <c r="O259" t="s">
        <v>18</v>
      </c>
      <c r="P259" t="s">
        <v>19</v>
      </c>
      <c r="Q259" t="s">
        <v>328</v>
      </c>
    </row>
    <row r="260" spans="1:17" ht="17.45" customHeight="1" x14ac:dyDescent="0.2">
      <c r="A260" t="s">
        <v>862</v>
      </c>
      <c r="B260" t="s">
        <v>863</v>
      </c>
      <c r="C260" s="1">
        <f>DATE(2017,12,31)</f>
        <v>43100</v>
      </c>
      <c r="D260" s="1">
        <f>DATE(2017,12,31)</f>
        <v>43100</v>
      </c>
      <c r="E260" s="3">
        <v>613.29999999999995</v>
      </c>
      <c r="F260" t="s">
        <v>20</v>
      </c>
      <c r="G260" s="2">
        <v>10</v>
      </c>
      <c r="H260" s="2">
        <v>0</v>
      </c>
      <c r="I260" s="1">
        <f t="shared" si="34"/>
        <v>44926</v>
      </c>
      <c r="J260" s="3">
        <v>5.12</v>
      </c>
      <c r="K260" s="3">
        <v>61.33</v>
      </c>
      <c r="L260" s="3">
        <v>306.64999999999998</v>
      </c>
      <c r="M260" s="3">
        <v>306.64999999999998</v>
      </c>
      <c r="N260" t="s">
        <v>336</v>
      </c>
      <c r="O260" t="s">
        <v>18</v>
      </c>
      <c r="P260" t="s">
        <v>19</v>
      </c>
      <c r="Q260" t="s">
        <v>328</v>
      </c>
    </row>
    <row r="261" spans="1:17" ht="17.45" customHeight="1" x14ac:dyDescent="0.2">
      <c r="A261" t="s">
        <v>906</v>
      </c>
      <c r="B261" t="s">
        <v>907</v>
      </c>
      <c r="C261" s="1">
        <f>DATE(2019,4,30)</f>
        <v>43585</v>
      </c>
      <c r="D261" s="1">
        <f>DATE(2019,4,30)</f>
        <v>43585</v>
      </c>
      <c r="E261" s="3">
        <v>931.5</v>
      </c>
      <c r="F261" t="s">
        <v>20</v>
      </c>
      <c r="G261" s="2">
        <v>10</v>
      </c>
      <c r="H261" s="2">
        <v>0</v>
      </c>
      <c r="I261" s="1">
        <f t="shared" si="34"/>
        <v>44926</v>
      </c>
      <c r="J261" s="3">
        <v>7.79</v>
      </c>
      <c r="K261" s="3">
        <v>93.15</v>
      </c>
      <c r="L261" s="3">
        <v>341.55</v>
      </c>
      <c r="M261" s="3">
        <v>589.95000000000005</v>
      </c>
      <c r="N261" t="s">
        <v>336</v>
      </c>
      <c r="O261" t="s">
        <v>18</v>
      </c>
      <c r="P261" t="s">
        <v>19</v>
      </c>
      <c r="Q261" t="s">
        <v>328</v>
      </c>
    </row>
    <row r="262" spans="1:17" ht="17.45" customHeight="1" x14ac:dyDescent="0.2">
      <c r="A262" t="s">
        <v>920</v>
      </c>
      <c r="B262" t="s">
        <v>921</v>
      </c>
      <c r="C262" s="1">
        <f>DATE(2019,6,30)</f>
        <v>43646</v>
      </c>
      <c r="D262" s="1">
        <f>DATE(2019,6,30)</f>
        <v>43646</v>
      </c>
      <c r="E262" s="3">
        <v>6385.25</v>
      </c>
      <c r="F262" t="s">
        <v>20</v>
      </c>
      <c r="G262" s="2">
        <v>10</v>
      </c>
      <c r="H262" s="2">
        <v>0</v>
      </c>
      <c r="I262" s="1">
        <f t="shared" si="34"/>
        <v>44926</v>
      </c>
      <c r="J262" s="3">
        <v>53.22</v>
      </c>
      <c r="K262" s="3">
        <v>638.53</v>
      </c>
      <c r="L262" s="3">
        <v>2234.85</v>
      </c>
      <c r="M262" s="3">
        <v>4150.3999999999996</v>
      </c>
      <c r="N262" t="s">
        <v>336</v>
      </c>
      <c r="O262" t="s">
        <v>18</v>
      </c>
      <c r="P262" t="s">
        <v>19</v>
      </c>
      <c r="Q262" t="s">
        <v>328</v>
      </c>
    </row>
    <row r="263" spans="1:17" ht="17.45" customHeight="1" x14ac:dyDescent="0.2">
      <c r="A263" t="s">
        <v>1008</v>
      </c>
      <c r="B263" t="s">
        <v>1009</v>
      </c>
      <c r="C263" s="1">
        <f>DATE(2020,7,31)</f>
        <v>44043</v>
      </c>
      <c r="D263" s="1">
        <f>DATE(2020,7,31)</f>
        <v>44043</v>
      </c>
      <c r="E263" s="3">
        <v>21378.65</v>
      </c>
      <c r="F263" t="s">
        <v>20</v>
      </c>
      <c r="G263" s="2">
        <v>35</v>
      </c>
      <c r="H263" s="2">
        <v>0</v>
      </c>
      <c r="I263" s="1">
        <f t="shared" si="34"/>
        <v>44926</v>
      </c>
      <c r="J263" s="3">
        <v>50.92</v>
      </c>
      <c r="K263" s="3">
        <v>610.82000000000005</v>
      </c>
      <c r="L263" s="3">
        <v>1476.15</v>
      </c>
      <c r="M263" s="3">
        <v>19902.5</v>
      </c>
      <c r="N263" t="s">
        <v>336</v>
      </c>
      <c r="O263" t="s">
        <v>18</v>
      </c>
      <c r="P263" t="s">
        <v>19</v>
      </c>
      <c r="Q263" t="s">
        <v>328</v>
      </c>
    </row>
    <row r="264" spans="1:17" ht="17.45" customHeight="1" x14ac:dyDescent="0.2">
      <c r="A264" t="s">
        <v>1068</v>
      </c>
      <c r="B264" t="s">
        <v>1069</v>
      </c>
      <c r="C264" s="1">
        <f>DATE(2022,5,31)</f>
        <v>44712</v>
      </c>
      <c r="D264" s="1">
        <f>DATE(2022,5,31)</f>
        <v>44712</v>
      </c>
      <c r="E264" s="3">
        <v>1118.5999999999999</v>
      </c>
      <c r="F264" t="s">
        <v>20</v>
      </c>
      <c r="G264" s="2">
        <v>10</v>
      </c>
      <c r="H264" s="2">
        <v>0</v>
      </c>
      <c r="I264" s="1">
        <f t="shared" si="34"/>
        <v>44926</v>
      </c>
      <c r="J264" s="3">
        <v>9.33</v>
      </c>
      <c r="K264" s="3">
        <v>65.25</v>
      </c>
      <c r="L264" s="3">
        <v>65.25</v>
      </c>
      <c r="M264" s="3">
        <v>1053.3499999999999</v>
      </c>
      <c r="N264" t="s">
        <v>336</v>
      </c>
      <c r="O264" t="s">
        <v>18</v>
      </c>
      <c r="P264" t="s">
        <v>19</v>
      </c>
      <c r="Q264" t="s">
        <v>328</v>
      </c>
    </row>
    <row r="265" spans="1:17" ht="17.45" customHeight="1" x14ac:dyDescent="0.2">
      <c r="E265" s="4">
        <f>SUM(E240:E264)</f>
        <v>89254.329999999987</v>
      </c>
      <c r="J265" s="4">
        <f t="shared" ref="J265:M265" si="35">SUM(J240:J264)</f>
        <v>375.56000000000006</v>
      </c>
      <c r="K265" s="4">
        <f t="shared" si="35"/>
        <v>4460.45</v>
      </c>
      <c r="L265" s="4">
        <f t="shared" si="35"/>
        <v>44922.430000000008</v>
      </c>
      <c r="M265" s="4">
        <f t="shared" si="35"/>
        <v>44331.9</v>
      </c>
    </row>
    <row r="266" spans="1:17" ht="17.45" customHeight="1" x14ac:dyDescent="0.2">
      <c r="A266" t="s">
        <v>350</v>
      </c>
      <c r="B266" t="s">
        <v>351</v>
      </c>
      <c r="C266" s="1">
        <f>DATE(2002,1,1)</f>
        <v>37257</v>
      </c>
      <c r="D266" s="1">
        <f>DATE(2002,1,1)</f>
        <v>37257</v>
      </c>
      <c r="E266" s="3">
        <v>3745</v>
      </c>
      <c r="F266" t="s">
        <v>20</v>
      </c>
      <c r="G266" s="2">
        <v>10</v>
      </c>
      <c r="H266" s="2">
        <v>0</v>
      </c>
      <c r="I266" s="1">
        <f>DATE(2014,6,30)</f>
        <v>41820</v>
      </c>
      <c r="J266" s="3">
        <v>0</v>
      </c>
      <c r="K266" s="3">
        <v>0</v>
      </c>
      <c r="L266" s="3">
        <v>3745</v>
      </c>
      <c r="M266" s="3">
        <v>0</v>
      </c>
      <c r="N266" t="s">
        <v>352</v>
      </c>
      <c r="O266" t="s">
        <v>18</v>
      </c>
      <c r="P266" t="s">
        <v>19</v>
      </c>
      <c r="Q266" t="s">
        <v>353</v>
      </c>
    </row>
    <row r="267" spans="1:17" ht="17.45" customHeight="1" x14ac:dyDescent="0.2">
      <c r="A267" t="s">
        <v>354</v>
      </c>
      <c r="B267" t="s">
        <v>351</v>
      </c>
      <c r="C267" s="1">
        <f>DATE(2002,1,1)</f>
        <v>37257</v>
      </c>
      <c r="D267" s="1">
        <f>DATE(2002,1,1)</f>
        <v>37257</v>
      </c>
      <c r="E267" s="3">
        <v>3745</v>
      </c>
      <c r="F267" t="s">
        <v>20</v>
      </c>
      <c r="G267" s="2">
        <v>10</v>
      </c>
      <c r="H267" s="2">
        <v>0</v>
      </c>
      <c r="I267" s="1">
        <f>DATE(2014,6,30)</f>
        <v>41820</v>
      </c>
      <c r="J267" s="3">
        <v>0</v>
      </c>
      <c r="K267" s="3">
        <v>0</v>
      </c>
      <c r="L267" s="3">
        <v>3745</v>
      </c>
      <c r="M267" s="3">
        <v>0</v>
      </c>
      <c r="N267" t="s">
        <v>352</v>
      </c>
      <c r="O267" t="s">
        <v>18</v>
      </c>
      <c r="P267" t="s">
        <v>19</v>
      </c>
      <c r="Q267" t="s">
        <v>353</v>
      </c>
    </row>
    <row r="268" spans="1:17" ht="17.45" customHeight="1" x14ac:dyDescent="0.2">
      <c r="A268" t="s">
        <v>355</v>
      </c>
      <c r="B268" t="s">
        <v>356</v>
      </c>
      <c r="C268" s="1">
        <f>DATE(2009,3,24)</f>
        <v>39896</v>
      </c>
      <c r="D268" s="1">
        <f>DATE(2009,3,24)</f>
        <v>39896</v>
      </c>
      <c r="E268" s="3">
        <v>2410</v>
      </c>
      <c r="F268" t="s">
        <v>20</v>
      </c>
      <c r="G268" s="2">
        <v>10</v>
      </c>
      <c r="H268" s="2">
        <v>0</v>
      </c>
      <c r="I268" s="1">
        <f>DATE(2019,3,31)</f>
        <v>43555</v>
      </c>
      <c r="J268" s="3">
        <v>0</v>
      </c>
      <c r="K268" s="3">
        <v>0</v>
      </c>
      <c r="L268" s="3">
        <v>2410</v>
      </c>
      <c r="M268" s="3">
        <v>0</v>
      </c>
      <c r="N268" t="s">
        <v>352</v>
      </c>
      <c r="O268" t="s">
        <v>18</v>
      </c>
      <c r="P268" t="s">
        <v>19</v>
      </c>
      <c r="Q268" t="s">
        <v>353</v>
      </c>
    </row>
    <row r="269" spans="1:17" ht="17.45" customHeight="1" x14ac:dyDescent="0.2">
      <c r="A269" t="s">
        <v>890</v>
      </c>
      <c r="B269" t="s">
        <v>891</v>
      </c>
      <c r="C269" s="1">
        <f>DATE(2018,12,31)</f>
        <v>43465</v>
      </c>
      <c r="D269" s="1">
        <f>DATE(2018,12,31)</f>
        <v>43465</v>
      </c>
      <c r="E269" s="3">
        <v>4276.34</v>
      </c>
      <c r="F269" t="s">
        <v>20</v>
      </c>
      <c r="G269" s="2">
        <v>10</v>
      </c>
      <c r="H269" s="2">
        <v>0</v>
      </c>
      <c r="I269" s="1">
        <f>DATE(2022,12,31)</f>
        <v>44926</v>
      </c>
      <c r="J269" s="3">
        <v>35.590000000000003</v>
      </c>
      <c r="K269" s="3">
        <v>427.63</v>
      </c>
      <c r="L269" s="3">
        <v>1710.52</v>
      </c>
      <c r="M269" s="3">
        <v>2565.8200000000002</v>
      </c>
      <c r="N269" t="s">
        <v>352</v>
      </c>
      <c r="O269" t="s">
        <v>18</v>
      </c>
      <c r="P269" t="s">
        <v>19</v>
      </c>
      <c r="Q269" t="s">
        <v>353</v>
      </c>
    </row>
    <row r="270" spans="1:17" ht="17.45" customHeight="1" x14ac:dyDescent="0.2">
      <c r="A270" t="s">
        <v>928</v>
      </c>
      <c r="B270" t="s">
        <v>929</v>
      </c>
      <c r="C270" s="1">
        <f>DATE(2019,8,31)</f>
        <v>43708</v>
      </c>
      <c r="D270" s="1">
        <f>DATE(2019,8,31)</f>
        <v>43708</v>
      </c>
      <c r="E270" s="3">
        <v>17995</v>
      </c>
      <c r="F270" t="s">
        <v>20</v>
      </c>
      <c r="G270" s="2">
        <v>10</v>
      </c>
      <c r="H270" s="2">
        <v>0</v>
      </c>
      <c r="I270" s="1">
        <f>DATE(2022,12,31)</f>
        <v>44926</v>
      </c>
      <c r="J270" s="3">
        <v>149.94</v>
      </c>
      <c r="K270" s="3">
        <v>1799.5</v>
      </c>
      <c r="L270" s="3">
        <v>5998.33</v>
      </c>
      <c r="M270" s="3">
        <v>11996.67</v>
      </c>
      <c r="N270" t="s">
        <v>352</v>
      </c>
      <c r="O270" t="s">
        <v>18</v>
      </c>
      <c r="P270" t="s">
        <v>19</v>
      </c>
      <c r="Q270" t="s">
        <v>353</v>
      </c>
    </row>
    <row r="271" spans="1:17" ht="17.45" customHeight="1" x14ac:dyDescent="0.2">
      <c r="A271" t="s">
        <v>1022</v>
      </c>
      <c r="B271" t="s">
        <v>1023</v>
      </c>
      <c r="C271" s="1">
        <f>DATE(2021,2,28)</f>
        <v>44255</v>
      </c>
      <c r="D271" s="1">
        <f>DATE(2021,2,28)</f>
        <v>44255</v>
      </c>
      <c r="E271" s="3">
        <v>8374.5</v>
      </c>
      <c r="F271" t="s">
        <v>20</v>
      </c>
      <c r="G271" s="2">
        <v>10</v>
      </c>
      <c r="H271" s="2">
        <v>0</v>
      </c>
      <c r="I271" s="1">
        <f>DATE(2022,12,31)</f>
        <v>44926</v>
      </c>
      <c r="J271" s="3">
        <v>69.760000000000005</v>
      </c>
      <c r="K271" s="3">
        <v>837.45</v>
      </c>
      <c r="L271" s="3">
        <v>1535.33</v>
      </c>
      <c r="M271" s="3">
        <v>6839.17</v>
      </c>
      <c r="N271" t="s">
        <v>352</v>
      </c>
      <c r="O271" t="s">
        <v>18</v>
      </c>
      <c r="P271" t="s">
        <v>19</v>
      </c>
      <c r="Q271" t="s">
        <v>353</v>
      </c>
    </row>
    <row r="272" spans="1:17" ht="17.45" customHeight="1" x14ac:dyDescent="0.2">
      <c r="A272" t="s">
        <v>1026</v>
      </c>
      <c r="B272" t="s">
        <v>1027</v>
      </c>
      <c r="C272" s="1">
        <f>DATE(2021,5,31)</f>
        <v>44347</v>
      </c>
      <c r="D272" s="1">
        <f>DATE(2021,5,31)</f>
        <v>44347</v>
      </c>
      <c r="E272" s="3">
        <v>20751.2</v>
      </c>
      <c r="F272" t="s">
        <v>20</v>
      </c>
      <c r="G272" s="2">
        <v>10</v>
      </c>
      <c r="H272" s="2">
        <v>0</v>
      </c>
      <c r="I272" s="1">
        <f>DATE(2022,12,31)</f>
        <v>44926</v>
      </c>
      <c r="J272" s="3">
        <v>172.89</v>
      </c>
      <c r="K272" s="3">
        <v>2075.12</v>
      </c>
      <c r="L272" s="3">
        <v>3285.61</v>
      </c>
      <c r="M272" s="3">
        <v>17465.59</v>
      </c>
      <c r="N272" t="s">
        <v>352</v>
      </c>
      <c r="O272" t="s">
        <v>18</v>
      </c>
      <c r="P272" t="s">
        <v>19</v>
      </c>
      <c r="Q272" t="s">
        <v>353</v>
      </c>
    </row>
    <row r="273" spans="1:17" ht="17.45" customHeight="1" x14ac:dyDescent="0.2">
      <c r="E273" s="4">
        <f>SUM(E266:E272)</f>
        <v>61297.039999999994</v>
      </c>
      <c r="J273" s="4">
        <f t="shared" ref="J273:M273" si="36">SUM(J266:J272)</f>
        <v>428.18</v>
      </c>
      <c r="K273" s="4">
        <f t="shared" si="36"/>
        <v>5139.7</v>
      </c>
      <c r="L273" s="4">
        <f t="shared" si="36"/>
        <v>22429.79</v>
      </c>
      <c r="M273" s="4">
        <f t="shared" si="36"/>
        <v>38867.25</v>
      </c>
    </row>
    <row r="274" spans="1:17" ht="17.45" customHeight="1" x14ac:dyDescent="0.2">
      <c r="A274" t="s">
        <v>357</v>
      </c>
      <c r="B274" t="s">
        <v>358</v>
      </c>
      <c r="C274" s="1">
        <f>DATE(2006,1,1)</f>
        <v>38718</v>
      </c>
      <c r="D274" s="1">
        <f>DATE(2006,1,1)</f>
        <v>38718</v>
      </c>
      <c r="E274" s="3">
        <v>28168</v>
      </c>
      <c r="F274" t="s">
        <v>20</v>
      </c>
      <c r="G274" s="2">
        <v>10</v>
      </c>
      <c r="H274" s="2">
        <v>0</v>
      </c>
      <c r="I274" s="1">
        <f>DATE(2015,12,31)</f>
        <v>42369</v>
      </c>
      <c r="J274" s="3">
        <v>0</v>
      </c>
      <c r="K274" s="3">
        <v>0</v>
      </c>
      <c r="L274" s="3">
        <v>28168</v>
      </c>
      <c r="M274" s="3">
        <v>0</v>
      </c>
      <c r="N274" t="s">
        <v>359</v>
      </c>
      <c r="O274" t="s">
        <v>18</v>
      </c>
      <c r="P274" t="s">
        <v>19</v>
      </c>
      <c r="Q274" t="s">
        <v>360</v>
      </c>
    </row>
    <row r="275" spans="1:17" ht="17.45" customHeight="1" x14ac:dyDescent="0.2">
      <c r="A275" t="s">
        <v>361</v>
      </c>
      <c r="B275" t="s">
        <v>362</v>
      </c>
      <c r="C275" s="1">
        <f t="shared" ref="C275:D278" si="37">DATE(2009,1,1)</f>
        <v>39814</v>
      </c>
      <c r="D275" s="1">
        <f t="shared" si="37"/>
        <v>39814</v>
      </c>
      <c r="E275" s="3">
        <v>5615.59</v>
      </c>
      <c r="F275" t="s">
        <v>20</v>
      </c>
      <c r="G275" s="2">
        <v>7</v>
      </c>
      <c r="H275" s="2">
        <v>0</v>
      </c>
      <c r="I275" s="1">
        <f>DATE(2015,12,31)</f>
        <v>42369</v>
      </c>
      <c r="J275" s="3">
        <v>0</v>
      </c>
      <c r="K275" s="3">
        <v>0</v>
      </c>
      <c r="L275" s="3">
        <v>5615.59</v>
      </c>
      <c r="M275" s="3">
        <v>0</v>
      </c>
      <c r="N275" t="s">
        <v>363</v>
      </c>
      <c r="O275" t="s">
        <v>18</v>
      </c>
      <c r="P275" t="s">
        <v>19</v>
      </c>
      <c r="Q275" t="s">
        <v>360</v>
      </c>
    </row>
    <row r="276" spans="1:17" ht="17.45" customHeight="1" x14ac:dyDescent="0.2">
      <c r="A276" t="s">
        <v>364</v>
      </c>
      <c r="B276" t="s">
        <v>365</v>
      </c>
      <c r="C276" s="1">
        <f t="shared" si="37"/>
        <v>39814</v>
      </c>
      <c r="D276" s="1">
        <f t="shared" si="37"/>
        <v>39814</v>
      </c>
      <c r="E276" s="3">
        <v>2316</v>
      </c>
      <c r="F276" t="s">
        <v>20</v>
      </c>
      <c r="G276" s="2">
        <v>7</v>
      </c>
      <c r="H276" s="2">
        <v>0</v>
      </c>
      <c r="I276" s="1">
        <f>DATE(2015,12,31)</f>
        <v>42369</v>
      </c>
      <c r="J276" s="3">
        <v>0</v>
      </c>
      <c r="K276" s="3">
        <v>0</v>
      </c>
      <c r="L276" s="3">
        <v>2316</v>
      </c>
      <c r="M276" s="3">
        <v>0</v>
      </c>
      <c r="N276" t="s">
        <v>363</v>
      </c>
      <c r="O276" t="s">
        <v>18</v>
      </c>
      <c r="P276" t="s">
        <v>19</v>
      </c>
      <c r="Q276" t="s">
        <v>360</v>
      </c>
    </row>
    <row r="277" spans="1:17" ht="17.45" customHeight="1" x14ac:dyDescent="0.2">
      <c r="A277" t="s">
        <v>366</v>
      </c>
      <c r="B277" t="s">
        <v>367</v>
      </c>
      <c r="C277" s="1">
        <f t="shared" si="37"/>
        <v>39814</v>
      </c>
      <c r="D277" s="1">
        <f t="shared" si="37"/>
        <v>39814</v>
      </c>
      <c r="E277" s="3">
        <v>1987.28</v>
      </c>
      <c r="F277" t="s">
        <v>21</v>
      </c>
      <c r="G277" s="2">
        <v>10</v>
      </c>
      <c r="H277" s="2">
        <v>0</v>
      </c>
      <c r="I277" s="1">
        <f>DATE(2018,12,31)</f>
        <v>43465</v>
      </c>
      <c r="J277" s="3">
        <v>0</v>
      </c>
      <c r="K277" s="3">
        <v>0</v>
      </c>
      <c r="L277" s="3">
        <v>1987.28</v>
      </c>
      <c r="M277" s="3">
        <v>0</v>
      </c>
      <c r="N277" t="s">
        <v>359</v>
      </c>
      <c r="O277" t="s">
        <v>18</v>
      </c>
      <c r="P277" t="s">
        <v>19</v>
      </c>
      <c r="Q277" t="s">
        <v>360</v>
      </c>
    </row>
    <row r="278" spans="1:17" ht="17.45" customHeight="1" x14ac:dyDescent="0.2">
      <c r="A278" t="s">
        <v>368</v>
      </c>
      <c r="B278" t="s">
        <v>369</v>
      </c>
      <c r="C278" s="1">
        <f t="shared" si="37"/>
        <v>39814</v>
      </c>
      <c r="D278" s="1">
        <f t="shared" si="37"/>
        <v>39814</v>
      </c>
      <c r="E278" s="3">
        <v>6785.94</v>
      </c>
      <c r="F278" t="s">
        <v>20</v>
      </c>
      <c r="G278" s="2">
        <v>7</v>
      </c>
      <c r="H278" s="2">
        <v>0</v>
      </c>
      <c r="I278" s="1">
        <f>DATE(2015,12,31)</f>
        <v>42369</v>
      </c>
      <c r="J278" s="3">
        <v>0</v>
      </c>
      <c r="K278" s="3">
        <v>0</v>
      </c>
      <c r="L278" s="3">
        <v>6785.94</v>
      </c>
      <c r="M278" s="3">
        <v>0</v>
      </c>
      <c r="N278" t="s">
        <v>363</v>
      </c>
      <c r="O278" t="s">
        <v>18</v>
      </c>
      <c r="P278" t="s">
        <v>19</v>
      </c>
      <c r="Q278" t="s">
        <v>360</v>
      </c>
    </row>
    <row r="279" spans="1:17" ht="17.45" customHeight="1" x14ac:dyDescent="0.2">
      <c r="A279" t="s">
        <v>370</v>
      </c>
      <c r="B279" t="s">
        <v>371</v>
      </c>
      <c r="C279" s="1">
        <f>DATE(2012,3,31)</f>
        <v>40999</v>
      </c>
      <c r="D279" s="1">
        <f>DATE(2012,3,31)</f>
        <v>40999</v>
      </c>
      <c r="E279" s="3">
        <v>120907.56</v>
      </c>
      <c r="F279" t="s">
        <v>20</v>
      </c>
      <c r="G279" s="2">
        <v>10</v>
      </c>
      <c r="H279" s="2">
        <v>0</v>
      </c>
      <c r="I279" s="1">
        <f>DATE(2022,3,31)</f>
        <v>44651</v>
      </c>
      <c r="J279" s="3">
        <v>0</v>
      </c>
      <c r="K279" s="3">
        <v>3022.67</v>
      </c>
      <c r="L279" s="3">
        <v>120907.56</v>
      </c>
      <c r="M279" s="3">
        <v>0</v>
      </c>
      <c r="N279" t="s">
        <v>359</v>
      </c>
      <c r="O279" t="s">
        <v>18</v>
      </c>
      <c r="P279" t="s">
        <v>19</v>
      </c>
      <c r="Q279" t="s">
        <v>360</v>
      </c>
    </row>
    <row r="280" spans="1:17" ht="17.45" customHeight="1" x14ac:dyDescent="0.2">
      <c r="A280" t="s">
        <v>372</v>
      </c>
      <c r="B280" t="s">
        <v>373</v>
      </c>
      <c r="C280" s="1">
        <f>DATE(2012,3,31)</f>
        <v>40999</v>
      </c>
      <c r="D280" s="1">
        <f>DATE(2012,3,31)</f>
        <v>40999</v>
      </c>
      <c r="E280" s="3">
        <v>24395.52</v>
      </c>
      <c r="F280" t="s">
        <v>20</v>
      </c>
      <c r="G280" s="2">
        <v>7</v>
      </c>
      <c r="H280" s="2">
        <v>0</v>
      </c>
      <c r="I280" s="1">
        <f>DATE(2019,3,31)</f>
        <v>43555</v>
      </c>
      <c r="J280" s="3">
        <v>0</v>
      </c>
      <c r="K280" s="3">
        <v>0</v>
      </c>
      <c r="L280" s="3">
        <v>24395.52</v>
      </c>
      <c r="M280" s="3">
        <v>0</v>
      </c>
      <c r="N280" t="s">
        <v>363</v>
      </c>
      <c r="O280" t="s">
        <v>18</v>
      </c>
      <c r="P280" t="s">
        <v>19</v>
      </c>
      <c r="Q280" t="s">
        <v>360</v>
      </c>
    </row>
    <row r="281" spans="1:17" ht="17.45" customHeight="1" x14ac:dyDescent="0.2">
      <c r="A281" t="s">
        <v>374</v>
      </c>
      <c r="B281" t="s">
        <v>375</v>
      </c>
      <c r="C281" s="1">
        <f>DATE(2012,8,31)</f>
        <v>41152</v>
      </c>
      <c r="D281" s="1">
        <f>DATE(2012,8,31)</f>
        <v>41152</v>
      </c>
      <c r="E281" s="3">
        <v>25758</v>
      </c>
      <c r="F281" t="s">
        <v>20</v>
      </c>
      <c r="G281" s="2">
        <v>10</v>
      </c>
      <c r="H281" s="2">
        <v>0</v>
      </c>
      <c r="I281" s="1">
        <f>DATE(2022,8,31)</f>
        <v>44804</v>
      </c>
      <c r="J281" s="3">
        <v>0</v>
      </c>
      <c r="K281" s="3">
        <v>1717.2</v>
      </c>
      <c r="L281" s="3">
        <v>25758</v>
      </c>
      <c r="M281" s="3">
        <v>0</v>
      </c>
      <c r="N281" t="s">
        <v>359</v>
      </c>
      <c r="O281" t="s">
        <v>18</v>
      </c>
      <c r="P281" t="s">
        <v>19</v>
      </c>
      <c r="Q281" t="s">
        <v>360</v>
      </c>
    </row>
    <row r="282" spans="1:17" ht="17.45" customHeight="1" x14ac:dyDescent="0.2">
      <c r="A282" t="s">
        <v>376</v>
      </c>
      <c r="B282" t="s">
        <v>377</v>
      </c>
      <c r="C282" s="1">
        <f>DATE(2012,12,31)</f>
        <v>41274</v>
      </c>
      <c r="D282" s="1">
        <f>DATE(2012,12,31)</f>
        <v>41274</v>
      </c>
      <c r="E282" s="3">
        <v>1352.34</v>
      </c>
      <c r="F282" t="s">
        <v>20</v>
      </c>
      <c r="G282" s="2">
        <v>7</v>
      </c>
      <c r="H282" s="2">
        <v>0</v>
      </c>
      <c r="I282" s="1">
        <f>DATE(2019,12,31)</f>
        <v>43830</v>
      </c>
      <c r="J282" s="3">
        <v>0</v>
      </c>
      <c r="K282" s="3">
        <v>0</v>
      </c>
      <c r="L282" s="3">
        <v>1352.34</v>
      </c>
      <c r="M282" s="3">
        <v>0</v>
      </c>
      <c r="N282" t="s">
        <v>363</v>
      </c>
      <c r="O282" t="s">
        <v>18</v>
      </c>
      <c r="P282" t="s">
        <v>19</v>
      </c>
      <c r="Q282" t="s">
        <v>360</v>
      </c>
    </row>
    <row r="283" spans="1:17" ht="17.45" customHeight="1" x14ac:dyDescent="0.2">
      <c r="A283" t="s">
        <v>378</v>
      </c>
      <c r="B283" t="s">
        <v>379</v>
      </c>
      <c r="C283" s="1">
        <f>DATE(2013,8,1)</f>
        <v>41487</v>
      </c>
      <c r="D283" s="1">
        <f>DATE(2013,8,1)</f>
        <v>41487</v>
      </c>
      <c r="E283" s="3">
        <v>59351.82</v>
      </c>
      <c r="F283" t="s">
        <v>20</v>
      </c>
      <c r="G283" s="2">
        <v>10</v>
      </c>
      <c r="H283" s="2">
        <v>0</v>
      </c>
      <c r="I283" s="1">
        <f>DATE(2022,12,31)</f>
        <v>44926</v>
      </c>
      <c r="J283" s="3">
        <v>494.58</v>
      </c>
      <c r="K283" s="3">
        <v>5935.18</v>
      </c>
      <c r="L283" s="3">
        <v>55889.61</v>
      </c>
      <c r="M283" s="3">
        <v>3462.21</v>
      </c>
      <c r="N283" t="s">
        <v>359</v>
      </c>
      <c r="O283" t="s">
        <v>18</v>
      </c>
      <c r="P283" t="s">
        <v>19</v>
      </c>
      <c r="Q283" t="s">
        <v>360</v>
      </c>
    </row>
    <row r="284" spans="1:17" ht="17.45" customHeight="1" x14ac:dyDescent="0.2">
      <c r="A284" t="s">
        <v>380</v>
      </c>
      <c r="B284" t="s">
        <v>381</v>
      </c>
      <c r="C284" s="1">
        <f>DATE(2013,8,1)</f>
        <v>41487</v>
      </c>
      <c r="D284" s="1">
        <f>DATE(2013,8,1)</f>
        <v>41487</v>
      </c>
      <c r="E284" s="3">
        <v>30683.48</v>
      </c>
      <c r="F284" t="s">
        <v>20</v>
      </c>
      <c r="G284" s="2">
        <v>7</v>
      </c>
      <c r="H284" s="2">
        <v>0</v>
      </c>
      <c r="I284" s="1">
        <f>DATE(2020,7,31)</f>
        <v>44043</v>
      </c>
      <c r="J284" s="3">
        <v>0</v>
      </c>
      <c r="K284" s="3">
        <v>0</v>
      </c>
      <c r="L284" s="3">
        <v>30683.48</v>
      </c>
      <c r="M284" s="3">
        <v>0</v>
      </c>
      <c r="N284" t="s">
        <v>363</v>
      </c>
      <c r="O284" t="s">
        <v>18</v>
      </c>
      <c r="P284" t="s">
        <v>19</v>
      </c>
      <c r="Q284" t="s">
        <v>360</v>
      </c>
    </row>
    <row r="285" spans="1:17" ht="17.45" customHeight="1" x14ac:dyDescent="0.2">
      <c r="A285" t="s">
        <v>382</v>
      </c>
      <c r="B285" t="s">
        <v>383</v>
      </c>
      <c r="C285" s="1">
        <f>DATE(2014,2,28)</f>
        <v>41698</v>
      </c>
      <c r="D285" s="1">
        <f>DATE(2014,2,28)</f>
        <v>41698</v>
      </c>
      <c r="E285" s="3">
        <v>4587.5</v>
      </c>
      <c r="F285" t="s">
        <v>20</v>
      </c>
      <c r="G285" s="2">
        <v>10</v>
      </c>
      <c r="H285" s="2">
        <v>0</v>
      </c>
      <c r="I285" s="1">
        <f>DATE(2022,12,31)</f>
        <v>44926</v>
      </c>
      <c r="J285" s="3">
        <v>38.22</v>
      </c>
      <c r="K285" s="3">
        <v>458.75</v>
      </c>
      <c r="L285" s="3">
        <v>4052.29</v>
      </c>
      <c r="M285" s="3">
        <v>535.21</v>
      </c>
      <c r="N285" t="s">
        <v>359</v>
      </c>
      <c r="O285" t="s">
        <v>18</v>
      </c>
      <c r="P285" t="s">
        <v>19</v>
      </c>
      <c r="Q285" t="s">
        <v>360</v>
      </c>
    </row>
    <row r="286" spans="1:17" ht="17.45" customHeight="1" x14ac:dyDescent="0.2">
      <c r="A286" t="s">
        <v>384</v>
      </c>
      <c r="B286" t="s">
        <v>385</v>
      </c>
      <c r="C286" s="1">
        <f>DATE(2014,4,30)</f>
        <v>41759</v>
      </c>
      <c r="D286" s="1">
        <f>DATE(2014,4,30)</f>
        <v>41759</v>
      </c>
      <c r="E286" s="3">
        <v>3625</v>
      </c>
      <c r="F286" t="s">
        <v>20</v>
      </c>
      <c r="G286" s="2">
        <v>10</v>
      </c>
      <c r="H286" s="2">
        <v>0</v>
      </c>
      <c r="I286" s="1">
        <f>DATE(2022,12,31)</f>
        <v>44926</v>
      </c>
      <c r="J286" s="3">
        <v>30.19</v>
      </c>
      <c r="K286" s="3">
        <v>362.5</v>
      </c>
      <c r="L286" s="3">
        <v>3141.67</v>
      </c>
      <c r="M286" s="3">
        <v>483.33</v>
      </c>
      <c r="N286" t="s">
        <v>359</v>
      </c>
      <c r="O286" t="s">
        <v>18</v>
      </c>
      <c r="P286" t="s">
        <v>19</v>
      </c>
      <c r="Q286" t="s">
        <v>360</v>
      </c>
    </row>
    <row r="287" spans="1:17" ht="17.45" customHeight="1" x14ac:dyDescent="0.2">
      <c r="A287" t="s">
        <v>386</v>
      </c>
      <c r="B287" t="s">
        <v>387</v>
      </c>
      <c r="C287" s="1">
        <f>DATE(2014,4,30)</f>
        <v>41759</v>
      </c>
      <c r="D287" s="1">
        <f>DATE(2014,4,30)</f>
        <v>41759</v>
      </c>
      <c r="E287" s="3">
        <v>4385</v>
      </c>
      <c r="F287" t="s">
        <v>20</v>
      </c>
      <c r="G287" s="2">
        <v>10</v>
      </c>
      <c r="H287" s="2">
        <v>0</v>
      </c>
      <c r="I287" s="1">
        <f>DATE(2022,12,31)</f>
        <v>44926</v>
      </c>
      <c r="J287" s="3">
        <v>36.56</v>
      </c>
      <c r="K287" s="3">
        <v>438.5</v>
      </c>
      <c r="L287" s="3">
        <v>3800.33</v>
      </c>
      <c r="M287" s="3">
        <v>584.66999999999996</v>
      </c>
      <c r="N287" t="s">
        <v>359</v>
      </c>
      <c r="O287" t="s">
        <v>18</v>
      </c>
      <c r="P287" t="s">
        <v>19</v>
      </c>
      <c r="Q287" t="s">
        <v>360</v>
      </c>
    </row>
    <row r="288" spans="1:17" ht="17.45" customHeight="1" x14ac:dyDescent="0.2">
      <c r="A288" t="s">
        <v>587</v>
      </c>
      <c r="B288" t="s">
        <v>588</v>
      </c>
      <c r="C288" s="1">
        <f>DATE(2014,8,31)</f>
        <v>41882</v>
      </c>
      <c r="D288" s="1">
        <f>DATE(2014,8,31)</f>
        <v>41882</v>
      </c>
      <c r="E288" s="3">
        <v>2918.49</v>
      </c>
      <c r="F288" t="s">
        <v>20</v>
      </c>
      <c r="G288" s="2">
        <v>5</v>
      </c>
      <c r="H288" s="2">
        <v>0</v>
      </c>
      <c r="I288" s="1">
        <f>DATE(2019,8,31)</f>
        <v>43708</v>
      </c>
      <c r="J288" s="3">
        <v>0</v>
      </c>
      <c r="K288" s="3">
        <v>0</v>
      </c>
      <c r="L288" s="3">
        <v>2918.49</v>
      </c>
      <c r="M288" s="3">
        <v>0</v>
      </c>
      <c r="N288" t="s">
        <v>359</v>
      </c>
      <c r="O288" t="s">
        <v>18</v>
      </c>
      <c r="P288" t="s">
        <v>19</v>
      </c>
      <c r="Q288" t="s">
        <v>360</v>
      </c>
    </row>
    <row r="289" spans="1:17" ht="17.45" customHeight="1" x14ac:dyDescent="0.2">
      <c r="A289" t="s">
        <v>589</v>
      </c>
      <c r="B289" t="s">
        <v>590</v>
      </c>
      <c r="C289" s="1">
        <f>DATE(2014,8,31)</f>
        <v>41882</v>
      </c>
      <c r="D289" s="1">
        <f>DATE(2014,8,31)</f>
        <v>41882</v>
      </c>
      <c r="E289" s="3">
        <v>10100</v>
      </c>
      <c r="F289" t="s">
        <v>20</v>
      </c>
      <c r="G289" s="2">
        <v>25</v>
      </c>
      <c r="H289" s="2">
        <v>0</v>
      </c>
      <c r="I289" s="1">
        <f t="shared" ref="I289:I317" si="38">DATE(2022,12,31)</f>
        <v>44926</v>
      </c>
      <c r="J289" s="3">
        <v>33.630000000000003</v>
      </c>
      <c r="K289" s="3">
        <v>404</v>
      </c>
      <c r="L289" s="3">
        <v>3366.67</v>
      </c>
      <c r="M289" s="3">
        <v>6733.33</v>
      </c>
      <c r="N289" t="s">
        <v>359</v>
      </c>
      <c r="O289" t="s">
        <v>18</v>
      </c>
      <c r="P289" t="s">
        <v>19</v>
      </c>
      <c r="Q289" t="s">
        <v>360</v>
      </c>
    </row>
    <row r="290" spans="1:17" ht="17.45" customHeight="1" x14ac:dyDescent="0.2">
      <c r="A290" t="s">
        <v>602</v>
      </c>
      <c r="B290" t="s">
        <v>603</v>
      </c>
      <c r="C290" s="1">
        <f>DATE(2014,10,31)</f>
        <v>41943</v>
      </c>
      <c r="D290" s="1">
        <f>DATE(2014,10,31)</f>
        <v>41943</v>
      </c>
      <c r="E290" s="3">
        <v>4585</v>
      </c>
      <c r="F290" t="s">
        <v>20</v>
      </c>
      <c r="G290" s="2">
        <v>10</v>
      </c>
      <c r="H290" s="2">
        <v>0</v>
      </c>
      <c r="I290" s="1">
        <f t="shared" si="38"/>
        <v>44926</v>
      </c>
      <c r="J290" s="3">
        <v>38.19</v>
      </c>
      <c r="K290" s="3">
        <v>458.5</v>
      </c>
      <c r="L290" s="3">
        <v>3744.42</v>
      </c>
      <c r="M290" s="3">
        <v>840.58</v>
      </c>
      <c r="N290" t="s">
        <v>359</v>
      </c>
      <c r="O290" t="s">
        <v>18</v>
      </c>
      <c r="P290" t="s">
        <v>19</v>
      </c>
      <c r="Q290" t="s">
        <v>360</v>
      </c>
    </row>
    <row r="291" spans="1:17" ht="17.45" customHeight="1" x14ac:dyDescent="0.2">
      <c r="A291" t="s">
        <v>604</v>
      </c>
      <c r="B291" t="s">
        <v>605</v>
      </c>
      <c r="C291" s="1">
        <f>DATE(2014,10,31)</f>
        <v>41943</v>
      </c>
      <c r="D291" s="1">
        <f>DATE(2014,10,31)</f>
        <v>41943</v>
      </c>
      <c r="E291" s="3">
        <v>1275</v>
      </c>
      <c r="F291" t="s">
        <v>20</v>
      </c>
      <c r="G291" s="2">
        <v>10</v>
      </c>
      <c r="H291" s="2">
        <v>0</v>
      </c>
      <c r="I291" s="1">
        <f t="shared" si="38"/>
        <v>44926</v>
      </c>
      <c r="J291" s="3">
        <v>10.57</v>
      </c>
      <c r="K291" s="3">
        <v>127.5</v>
      </c>
      <c r="L291" s="3">
        <v>1041.25</v>
      </c>
      <c r="M291" s="3">
        <v>233.75</v>
      </c>
      <c r="N291" t="s">
        <v>359</v>
      </c>
      <c r="O291" t="s">
        <v>18</v>
      </c>
      <c r="P291" t="s">
        <v>19</v>
      </c>
      <c r="Q291" t="s">
        <v>360</v>
      </c>
    </row>
    <row r="292" spans="1:17" ht="17.45" customHeight="1" x14ac:dyDescent="0.2">
      <c r="A292" t="s">
        <v>622</v>
      </c>
      <c r="B292" t="s">
        <v>623</v>
      </c>
      <c r="C292" s="1">
        <f>DATE(2014,12,31)</f>
        <v>42004</v>
      </c>
      <c r="D292" s="1">
        <f>DATE(2014,12,31)</f>
        <v>42004</v>
      </c>
      <c r="E292" s="3">
        <v>4294.6899999999996</v>
      </c>
      <c r="F292" t="s">
        <v>20</v>
      </c>
      <c r="G292" s="2">
        <v>10</v>
      </c>
      <c r="H292" s="2">
        <v>0</v>
      </c>
      <c r="I292" s="1">
        <f t="shared" si="38"/>
        <v>44926</v>
      </c>
      <c r="J292" s="3">
        <v>35.78</v>
      </c>
      <c r="K292" s="3">
        <v>429.47</v>
      </c>
      <c r="L292" s="3">
        <v>3435.76</v>
      </c>
      <c r="M292" s="3">
        <v>858.93</v>
      </c>
      <c r="N292" t="s">
        <v>359</v>
      </c>
      <c r="O292" t="s">
        <v>18</v>
      </c>
      <c r="P292" t="s">
        <v>19</v>
      </c>
      <c r="Q292" t="s">
        <v>360</v>
      </c>
    </row>
    <row r="293" spans="1:17" ht="17.45" customHeight="1" x14ac:dyDescent="0.2">
      <c r="A293" t="s">
        <v>624</v>
      </c>
      <c r="B293" t="s">
        <v>625</v>
      </c>
      <c r="C293" s="1">
        <f>DATE(2014,12,31)</f>
        <v>42004</v>
      </c>
      <c r="D293" s="1">
        <f>DATE(2014,12,31)</f>
        <v>42004</v>
      </c>
      <c r="E293" s="3">
        <v>101231.12</v>
      </c>
      <c r="F293" t="s">
        <v>20</v>
      </c>
      <c r="G293" s="2">
        <v>10</v>
      </c>
      <c r="H293" s="2">
        <v>0</v>
      </c>
      <c r="I293" s="1">
        <f t="shared" si="38"/>
        <v>44926</v>
      </c>
      <c r="J293" s="3">
        <v>843.62</v>
      </c>
      <c r="K293" s="3">
        <v>10123.11</v>
      </c>
      <c r="L293" s="3">
        <v>80984.88</v>
      </c>
      <c r="M293" s="3">
        <v>20246.240000000002</v>
      </c>
      <c r="N293" t="s">
        <v>359</v>
      </c>
      <c r="O293" t="s">
        <v>18</v>
      </c>
      <c r="P293" t="s">
        <v>19</v>
      </c>
      <c r="Q293" t="s">
        <v>360</v>
      </c>
    </row>
    <row r="294" spans="1:17" ht="17.45" customHeight="1" x14ac:dyDescent="0.2">
      <c r="A294" t="s">
        <v>650</v>
      </c>
      <c r="B294" t="s">
        <v>651</v>
      </c>
      <c r="C294" s="1">
        <f>DATE(2015,4,30)</f>
        <v>42124</v>
      </c>
      <c r="D294" s="1">
        <f>DATE(2015,4,30)</f>
        <v>42124</v>
      </c>
      <c r="E294" s="3">
        <v>13667.5</v>
      </c>
      <c r="F294" t="s">
        <v>20</v>
      </c>
      <c r="G294" s="2">
        <v>10</v>
      </c>
      <c r="H294" s="2">
        <v>0</v>
      </c>
      <c r="I294" s="1">
        <f t="shared" si="38"/>
        <v>44926</v>
      </c>
      <c r="J294" s="3">
        <v>113.85</v>
      </c>
      <c r="K294" s="3">
        <v>1366.75</v>
      </c>
      <c r="L294" s="3">
        <v>10478.42</v>
      </c>
      <c r="M294" s="3">
        <v>3189.08</v>
      </c>
      <c r="N294" t="s">
        <v>359</v>
      </c>
      <c r="O294" t="s">
        <v>18</v>
      </c>
      <c r="P294" t="s">
        <v>19</v>
      </c>
      <c r="Q294" t="s">
        <v>360</v>
      </c>
    </row>
    <row r="295" spans="1:17" ht="17.45" customHeight="1" x14ac:dyDescent="0.2">
      <c r="A295" t="s">
        <v>716</v>
      </c>
      <c r="B295" t="s">
        <v>717</v>
      </c>
      <c r="C295" s="1">
        <f>DATE(2016,1,31)</f>
        <v>42400</v>
      </c>
      <c r="D295" s="1">
        <f>DATE(2016,1,31)</f>
        <v>42400</v>
      </c>
      <c r="E295" s="3">
        <v>2185.81</v>
      </c>
      <c r="F295" t="s">
        <v>20</v>
      </c>
      <c r="G295" s="2">
        <v>10</v>
      </c>
      <c r="H295" s="2">
        <v>0</v>
      </c>
      <c r="I295" s="1">
        <f t="shared" si="38"/>
        <v>44926</v>
      </c>
      <c r="J295" s="3">
        <v>18.16</v>
      </c>
      <c r="K295" s="3">
        <v>218.58</v>
      </c>
      <c r="L295" s="3">
        <v>1511.85</v>
      </c>
      <c r="M295" s="3">
        <v>673.96</v>
      </c>
      <c r="N295" t="s">
        <v>359</v>
      </c>
      <c r="O295" t="s">
        <v>18</v>
      </c>
      <c r="P295" t="s">
        <v>19</v>
      </c>
      <c r="Q295" t="s">
        <v>360</v>
      </c>
    </row>
    <row r="296" spans="1:17" ht="17.45" customHeight="1" x14ac:dyDescent="0.2">
      <c r="A296" t="s">
        <v>726</v>
      </c>
      <c r="B296" t="s">
        <v>727</v>
      </c>
      <c r="C296" s="1">
        <f>DATE(2016,2,29)</f>
        <v>42429</v>
      </c>
      <c r="D296" s="1">
        <f>DATE(2016,2,29)</f>
        <v>42429</v>
      </c>
      <c r="E296" s="3">
        <v>2950</v>
      </c>
      <c r="F296" t="s">
        <v>20</v>
      </c>
      <c r="G296" s="2">
        <v>10</v>
      </c>
      <c r="H296" s="2">
        <v>0</v>
      </c>
      <c r="I296" s="1">
        <f t="shared" si="38"/>
        <v>44926</v>
      </c>
      <c r="J296" s="3">
        <v>24.62</v>
      </c>
      <c r="K296" s="3">
        <v>295</v>
      </c>
      <c r="L296" s="3">
        <v>2015.83</v>
      </c>
      <c r="M296" s="3">
        <v>934.17</v>
      </c>
      <c r="N296" t="s">
        <v>359</v>
      </c>
      <c r="O296" t="s">
        <v>18</v>
      </c>
      <c r="P296" t="s">
        <v>19</v>
      </c>
      <c r="Q296" t="s">
        <v>360</v>
      </c>
    </row>
    <row r="297" spans="1:17" ht="17.45" customHeight="1" x14ac:dyDescent="0.2">
      <c r="A297" t="s">
        <v>740</v>
      </c>
      <c r="B297" t="s">
        <v>741</v>
      </c>
      <c r="C297" s="1">
        <f>DATE(2016,3,31)</f>
        <v>42460</v>
      </c>
      <c r="D297" s="1">
        <f>DATE(2016,3,31)</f>
        <v>42460</v>
      </c>
      <c r="E297" s="3">
        <v>1765.19</v>
      </c>
      <c r="F297" t="s">
        <v>20</v>
      </c>
      <c r="G297" s="2">
        <v>10</v>
      </c>
      <c r="H297" s="2">
        <v>0</v>
      </c>
      <c r="I297" s="1">
        <f t="shared" si="38"/>
        <v>44926</v>
      </c>
      <c r="J297" s="3">
        <v>14.71</v>
      </c>
      <c r="K297" s="3">
        <v>176.52</v>
      </c>
      <c r="L297" s="3">
        <v>1191.51</v>
      </c>
      <c r="M297" s="3">
        <v>573.67999999999995</v>
      </c>
      <c r="N297" t="s">
        <v>359</v>
      </c>
      <c r="O297" t="s">
        <v>18</v>
      </c>
      <c r="P297" t="s">
        <v>19</v>
      </c>
      <c r="Q297" t="s">
        <v>360</v>
      </c>
    </row>
    <row r="298" spans="1:17" ht="17.45" customHeight="1" x14ac:dyDescent="0.2">
      <c r="A298" t="s">
        <v>812</v>
      </c>
      <c r="B298" t="s">
        <v>813</v>
      </c>
      <c r="C298" s="1">
        <f>DATE(2016,12,31)</f>
        <v>42735</v>
      </c>
      <c r="D298" s="1">
        <f>DATE(2016,12,31)</f>
        <v>42735</v>
      </c>
      <c r="E298" s="3">
        <v>179826.05</v>
      </c>
      <c r="F298" t="s">
        <v>20</v>
      </c>
      <c r="G298" s="2">
        <v>10</v>
      </c>
      <c r="H298" s="2">
        <v>0</v>
      </c>
      <c r="I298" s="1">
        <f t="shared" si="38"/>
        <v>44926</v>
      </c>
      <c r="J298" s="3">
        <v>1498.56</v>
      </c>
      <c r="K298" s="3">
        <v>17982.599999999999</v>
      </c>
      <c r="L298" s="3">
        <v>107895.6</v>
      </c>
      <c r="M298" s="3">
        <v>71930.45</v>
      </c>
      <c r="N298" t="s">
        <v>359</v>
      </c>
      <c r="O298" t="s">
        <v>18</v>
      </c>
      <c r="P298" t="s">
        <v>19</v>
      </c>
      <c r="Q298" t="s">
        <v>360</v>
      </c>
    </row>
    <row r="299" spans="1:17" ht="17.45" customHeight="1" x14ac:dyDescent="0.2">
      <c r="A299" t="s">
        <v>814</v>
      </c>
      <c r="B299" t="s">
        <v>815</v>
      </c>
      <c r="C299" s="1">
        <f>DATE(2016,12,31)</f>
        <v>42735</v>
      </c>
      <c r="D299" s="1">
        <f>DATE(2016,12,31)</f>
        <v>42735</v>
      </c>
      <c r="E299" s="3">
        <v>142936.13</v>
      </c>
      <c r="F299" t="s">
        <v>21</v>
      </c>
      <c r="G299" s="2">
        <v>35</v>
      </c>
      <c r="H299" s="2">
        <v>0</v>
      </c>
      <c r="I299" s="1">
        <f t="shared" si="38"/>
        <v>44926</v>
      </c>
      <c r="J299" s="3">
        <v>178.24</v>
      </c>
      <c r="K299" s="3">
        <v>2139.4299999999998</v>
      </c>
      <c r="L299" s="3">
        <v>80851.78</v>
      </c>
      <c r="M299" s="3">
        <v>62084.35</v>
      </c>
      <c r="N299" t="s">
        <v>363</v>
      </c>
      <c r="O299" t="s">
        <v>18</v>
      </c>
      <c r="P299" t="s">
        <v>19</v>
      </c>
      <c r="Q299" t="s">
        <v>360</v>
      </c>
    </row>
    <row r="300" spans="1:17" ht="17.45" customHeight="1" x14ac:dyDescent="0.2">
      <c r="A300" t="s">
        <v>856</v>
      </c>
      <c r="B300" t="s">
        <v>857</v>
      </c>
      <c r="C300" s="1">
        <f>DATE(2017,12,31)</f>
        <v>43100</v>
      </c>
      <c r="D300" s="1">
        <f>DATE(2017,12,31)</f>
        <v>43100</v>
      </c>
      <c r="E300" s="3">
        <v>172012.64</v>
      </c>
      <c r="F300" t="s">
        <v>20</v>
      </c>
      <c r="G300" s="2">
        <v>10</v>
      </c>
      <c r="H300" s="2">
        <v>0</v>
      </c>
      <c r="I300" s="1">
        <f t="shared" si="38"/>
        <v>44926</v>
      </c>
      <c r="J300" s="3">
        <v>1433.42</v>
      </c>
      <c r="K300" s="3">
        <v>17201.259999999998</v>
      </c>
      <c r="L300" s="3">
        <v>86006.3</v>
      </c>
      <c r="M300" s="3">
        <v>86006.34</v>
      </c>
      <c r="N300" t="s">
        <v>359</v>
      </c>
      <c r="O300" t="s">
        <v>18</v>
      </c>
      <c r="P300" t="s">
        <v>19</v>
      </c>
      <c r="Q300" t="s">
        <v>360</v>
      </c>
    </row>
    <row r="301" spans="1:17" ht="17.45" customHeight="1" x14ac:dyDescent="0.2">
      <c r="A301" t="s">
        <v>938</v>
      </c>
      <c r="B301" t="s">
        <v>939</v>
      </c>
      <c r="C301" s="1">
        <f>DATE(2019,11,30)</f>
        <v>43799</v>
      </c>
      <c r="D301" s="1">
        <f>DATE(2019,11,30)</f>
        <v>43799</v>
      </c>
      <c r="E301" s="3">
        <v>239309.28</v>
      </c>
      <c r="F301" t="s">
        <v>21</v>
      </c>
      <c r="G301" s="2">
        <v>35</v>
      </c>
      <c r="H301" s="2">
        <v>0</v>
      </c>
      <c r="I301" s="1">
        <f t="shared" si="38"/>
        <v>44926</v>
      </c>
      <c r="J301" s="3">
        <v>517.62</v>
      </c>
      <c r="K301" s="3">
        <v>6212.1</v>
      </c>
      <c r="L301" s="3">
        <v>40913.4</v>
      </c>
      <c r="M301" s="3">
        <v>198395.88</v>
      </c>
      <c r="N301" t="s">
        <v>363</v>
      </c>
      <c r="O301" t="s">
        <v>18</v>
      </c>
      <c r="P301" t="s">
        <v>19</v>
      </c>
      <c r="Q301" t="s">
        <v>360</v>
      </c>
    </row>
    <row r="302" spans="1:17" ht="17.45" customHeight="1" x14ac:dyDescent="0.2">
      <c r="A302" t="s">
        <v>944</v>
      </c>
      <c r="B302" t="s">
        <v>945</v>
      </c>
      <c r="C302" s="1">
        <f>DATE(2019,12,31)</f>
        <v>43830</v>
      </c>
      <c r="D302" s="1">
        <f>DATE(2019,12,31)</f>
        <v>43830</v>
      </c>
      <c r="E302" s="3">
        <v>335419.62</v>
      </c>
      <c r="F302" t="s">
        <v>20</v>
      </c>
      <c r="G302" s="2">
        <v>10</v>
      </c>
      <c r="H302" s="2">
        <v>0</v>
      </c>
      <c r="I302" s="1">
        <f t="shared" si="38"/>
        <v>44926</v>
      </c>
      <c r="J302" s="3">
        <v>2795.2</v>
      </c>
      <c r="K302" s="3">
        <v>33541.96</v>
      </c>
      <c r="L302" s="3">
        <v>100625.88</v>
      </c>
      <c r="M302" s="3">
        <v>234793.74</v>
      </c>
      <c r="N302" t="s">
        <v>359</v>
      </c>
      <c r="O302" t="s">
        <v>18</v>
      </c>
      <c r="P302" t="s">
        <v>19</v>
      </c>
      <c r="Q302" t="s">
        <v>360</v>
      </c>
    </row>
    <row r="303" spans="1:17" ht="17.45" customHeight="1" x14ac:dyDescent="0.2">
      <c r="A303" t="s">
        <v>946</v>
      </c>
      <c r="B303" t="s">
        <v>947</v>
      </c>
      <c r="C303" s="1">
        <f>DATE(2019,12,31)</f>
        <v>43830</v>
      </c>
      <c r="D303" s="1">
        <f>DATE(2019,12,31)</f>
        <v>43830</v>
      </c>
      <c r="E303" s="3">
        <v>127426.45</v>
      </c>
      <c r="F303" t="s">
        <v>21</v>
      </c>
      <c r="G303" s="2">
        <v>35</v>
      </c>
      <c r="H303" s="2">
        <v>0</v>
      </c>
      <c r="I303" s="1">
        <f t="shared" si="38"/>
        <v>44926</v>
      </c>
      <c r="J303" s="3">
        <v>278.64999999999998</v>
      </c>
      <c r="K303" s="3">
        <v>3344.13</v>
      </c>
      <c r="L303" s="3">
        <v>20341.080000000002</v>
      </c>
      <c r="M303" s="3">
        <v>107085.37</v>
      </c>
      <c r="N303" t="s">
        <v>363</v>
      </c>
      <c r="O303" t="s">
        <v>18</v>
      </c>
      <c r="P303" t="s">
        <v>19</v>
      </c>
      <c r="Q303" t="s">
        <v>360</v>
      </c>
    </row>
    <row r="304" spans="1:17" ht="17.45" customHeight="1" x14ac:dyDescent="0.2">
      <c r="A304" t="s">
        <v>958</v>
      </c>
      <c r="B304" t="s">
        <v>959</v>
      </c>
      <c r="C304" s="1">
        <f t="shared" ref="C304:D311" si="39">DATE(2020,2,29)</f>
        <v>43890</v>
      </c>
      <c r="D304" s="1">
        <f t="shared" si="39"/>
        <v>43890</v>
      </c>
      <c r="E304" s="3">
        <v>254543.84</v>
      </c>
      <c r="F304" t="s">
        <v>20</v>
      </c>
      <c r="G304" s="2">
        <v>10</v>
      </c>
      <c r="H304" s="2">
        <v>0</v>
      </c>
      <c r="I304" s="1">
        <f t="shared" si="38"/>
        <v>44926</v>
      </c>
      <c r="J304" s="3">
        <v>2121.1799999999998</v>
      </c>
      <c r="K304" s="3">
        <v>25454.38</v>
      </c>
      <c r="L304" s="3">
        <v>72120.75</v>
      </c>
      <c r="M304" s="3">
        <v>182423.09</v>
      </c>
      <c r="N304" t="s">
        <v>359</v>
      </c>
      <c r="O304" t="s">
        <v>18</v>
      </c>
      <c r="P304" t="s">
        <v>19</v>
      </c>
      <c r="Q304" t="s">
        <v>360</v>
      </c>
    </row>
    <row r="305" spans="1:17" ht="17.45" customHeight="1" x14ac:dyDescent="0.2">
      <c r="A305" t="s">
        <v>960</v>
      </c>
      <c r="B305" t="s">
        <v>961</v>
      </c>
      <c r="C305" s="1">
        <f t="shared" si="39"/>
        <v>43890</v>
      </c>
      <c r="D305" s="1">
        <f t="shared" si="39"/>
        <v>43890</v>
      </c>
      <c r="E305" s="3">
        <v>34946.17</v>
      </c>
      <c r="F305" t="s">
        <v>21</v>
      </c>
      <c r="G305" s="2">
        <v>35</v>
      </c>
      <c r="H305" s="2">
        <v>0</v>
      </c>
      <c r="I305" s="1">
        <f t="shared" si="38"/>
        <v>44926</v>
      </c>
      <c r="J305" s="3">
        <v>78.05</v>
      </c>
      <c r="K305" s="3">
        <v>937.04</v>
      </c>
      <c r="L305" s="3">
        <v>4786.29</v>
      </c>
      <c r="M305" s="3">
        <v>30159.88</v>
      </c>
      <c r="N305" t="s">
        <v>363</v>
      </c>
      <c r="O305" t="s">
        <v>18</v>
      </c>
      <c r="P305" t="s">
        <v>19</v>
      </c>
      <c r="Q305" t="s">
        <v>360</v>
      </c>
    </row>
    <row r="306" spans="1:17" ht="17.45" customHeight="1" x14ac:dyDescent="0.2">
      <c r="A306" t="s">
        <v>964</v>
      </c>
      <c r="B306" t="s">
        <v>965</v>
      </c>
      <c r="C306" s="1">
        <f t="shared" si="39"/>
        <v>43890</v>
      </c>
      <c r="D306" s="1">
        <f t="shared" si="39"/>
        <v>43890</v>
      </c>
      <c r="E306" s="3">
        <v>203122.84</v>
      </c>
      <c r="F306" t="s">
        <v>20</v>
      </c>
      <c r="G306" s="2">
        <v>10</v>
      </c>
      <c r="H306" s="2">
        <v>0</v>
      </c>
      <c r="I306" s="1">
        <f t="shared" si="38"/>
        <v>44926</v>
      </c>
      <c r="J306" s="3">
        <v>1692.69</v>
      </c>
      <c r="K306" s="3">
        <v>20312.28</v>
      </c>
      <c r="L306" s="3">
        <v>57551.46</v>
      </c>
      <c r="M306" s="3">
        <v>145571.38</v>
      </c>
      <c r="N306" t="s">
        <v>359</v>
      </c>
      <c r="O306" t="s">
        <v>18</v>
      </c>
      <c r="P306" t="s">
        <v>19</v>
      </c>
      <c r="Q306" t="s">
        <v>360</v>
      </c>
    </row>
    <row r="307" spans="1:17" ht="17.45" customHeight="1" x14ac:dyDescent="0.2">
      <c r="A307" t="s">
        <v>966</v>
      </c>
      <c r="B307" t="s">
        <v>967</v>
      </c>
      <c r="C307" s="1">
        <f t="shared" si="39"/>
        <v>43890</v>
      </c>
      <c r="D307" s="1">
        <f t="shared" si="39"/>
        <v>43890</v>
      </c>
      <c r="E307" s="3">
        <v>59904.99</v>
      </c>
      <c r="F307" t="s">
        <v>21</v>
      </c>
      <c r="G307" s="2">
        <v>35</v>
      </c>
      <c r="H307" s="2">
        <v>0</v>
      </c>
      <c r="I307" s="1">
        <f t="shared" si="38"/>
        <v>44926</v>
      </c>
      <c r="J307" s="3">
        <v>133.83000000000001</v>
      </c>
      <c r="K307" s="3">
        <v>1606.29</v>
      </c>
      <c r="L307" s="3">
        <v>8204.6200000000008</v>
      </c>
      <c r="M307" s="3">
        <v>51700.37</v>
      </c>
      <c r="N307" t="s">
        <v>363</v>
      </c>
      <c r="O307" t="s">
        <v>18</v>
      </c>
      <c r="P307" t="s">
        <v>19</v>
      </c>
      <c r="Q307" t="s">
        <v>360</v>
      </c>
    </row>
    <row r="308" spans="1:17" ht="17.45" customHeight="1" x14ac:dyDescent="0.2">
      <c r="A308" t="s">
        <v>974</v>
      </c>
      <c r="B308" t="s">
        <v>975</v>
      </c>
      <c r="C308" s="1">
        <f t="shared" si="39"/>
        <v>43890</v>
      </c>
      <c r="D308" s="1">
        <f t="shared" si="39"/>
        <v>43890</v>
      </c>
      <c r="E308" s="3">
        <v>27927.9</v>
      </c>
      <c r="F308" t="s">
        <v>21</v>
      </c>
      <c r="G308" s="2">
        <v>35</v>
      </c>
      <c r="H308" s="2">
        <v>0</v>
      </c>
      <c r="I308" s="1">
        <f t="shared" si="38"/>
        <v>44926</v>
      </c>
      <c r="J308" s="3">
        <v>62.45</v>
      </c>
      <c r="K308" s="3">
        <v>748.85</v>
      </c>
      <c r="L308" s="3">
        <v>3825.06</v>
      </c>
      <c r="M308" s="3">
        <v>24102.84</v>
      </c>
      <c r="N308" t="s">
        <v>363</v>
      </c>
      <c r="O308" t="s">
        <v>18</v>
      </c>
      <c r="P308" t="s">
        <v>19</v>
      </c>
      <c r="Q308" t="s">
        <v>360</v>
      </c>
    </row>
    <row r="309" spans="1:17" ht="17.45" customHeight="1" x14ac:dyDescent="0.2">
      <c r="A309" t="s">
        <v>978</v>
      </c>
      <c r="B309" t="s">
        <v>979</v>
      </c>
      <c r="C309" s="1">
        <f t="shared" si="39"/>
        <v>43890</v>
      </c>
      <c r="D309" s="1">
        <f t="shared" si="39"/>
        <v>43890</v>
      </c>
      <c r="E309" s="3">
        <v>458804.99</v>
      </c>
      <c r="F309" t="s">
        <v>21</v>
      </c>
      <c r="G309" s="2">
        <v>35</v>
      </c>
      <c r="H309" s="2">
        <v>0</v>
      </c>
      <c r="I309" s="1">
        <f t="shared" si="38"/>
        <v>44926</v>
      </c>
      <c r="J309" s="3">
        <v>1025.24</v>
      </c>
      <c r="K309" s="3">
        <v>12302.33</v>
      </c>
      <c r="L309" s="3">
        <v>62838.38</v>
      </c>
      <c r="M309" s="3">
        <v>395966.61</v>
      </c>
      <c r="N309" t="s">
        <v>363</v>
      </c>
      <c r="O309" t="s">
        <v>18</v>
      </c>
      <c r="P309" t="s">
        <v>19</v>
      </c>
      <c r="Q309" t="s">
        <v>360</v>
      </c>
    </row>
    <row r="310" spans="1:17" ht="17.45" customHeight="1" x14ac:dyDescent="0.2">
      <c r="A310" t="s">
        <v>980</v>
      </c>
      <c r="B310" t="s">
        <v>981</v>
      </c>
      <c r="C310" s="1">
        <f t="shared" si="39"/>
        <v>43890</v>
      </c>
      <c r="D310" s="1">
        <f t="shared" si="39"/>
        <v>43890</v>
      </c>
      <c r="E310" s="3">
        <v>352819.24</v>
      </c>
      <c r="F310" t="s">
        <v>20</v>
      </c>
      <c r="G310" s="2">
        <v>10</v>
      </c>
      <c r="H310" s="2">
        <v>0</v>
      </c>
      <c r="I310" s="1">
        <f t="shared" si="38"/>
        <v>44926</v>
      </c>
      <c r="J310" s="3">
        <v>2940.16</v>
      </c>
      <c r="K310" s="3">
        <v>35281.919999999998</v>
      </c>
      <c r="L310" s="3">
        <v>99965.440000000002</v>
      </c>
      <c r="M310" s="3">
        <v>252853.8</v>
      </c>
      <c r="N310" t="s">
        <v>359</v>
      </c>
      <c r="O310" t="s">
        <v>18</v>
      </c>
      <c r="P310" t="s">
        <v>19</v>
      </c>
      <c r="Q310" t="s">
        <v>360</v>
      </c>
    </row>
    <row r="311" spans="1:17" ht="17.45" customHeight="1" x14ac:dyDescent="0.2">
      <c r="A311" t="s">
        <v>982</v>
      </c>
      <c r="B311" t="s">
        <v>983</v>
      </c>
      <c r="C311" s="1">
        <f t="shared" si="39"/>
        <v>43890</v>
      </c>
      <c r="D311" s="1">
        <f t="shared" si="39"/>
        <v>43890</v>
      </c>
      <c r="E311" s="3">
        <v>465197.48</v>
      </c>
      <c r="F311" t="s">
        <v>21</v>
      </c>
      <c r="G311" s="2">
        <v>35</v>
      </c>
      <c r="H311" s="2">
        <v>0</v>
      </c>
      <c r="I311" s="1">
        <f t="shared" si="38"/>
        <v>44926</v>
      </c>
      <c r="J311" s="3">
        <v>1039.46</v>
      </c>
      <c r="K311" s="3">
        <v>12473.74</v>
      </c>
      <c r="L311" s="3">
        <v>63713.97</v>
      </c>
      <c r="M311" s="3">
        <v>401483.51</v>
      </c>
      <c r="N311" t="s">
        <v>363</v>
      </c>
      <c r="O311" t="s">
        <v>18</v>
      </c>
      <c r="P311" t="s">
        <v>19</v>
      </c>
      <c r="Q311" t="s">
        <v>360</v>
      </c>
    </row>
    <row r="312" spans="1:17" ht="17.45" customHeight="1" x14ac:dyDescent="0.2">
      <c r="A312" t="s">
        <v>996</v>
      </c>
      <c r="B312" t="s">
        <v>997</v>
      </c>
      <c r="C312" s="1">
        <f>DATE(2020,3,31)</f>
        <v>43921</v>
      </c>
      <c r="D312" s="1">
        <f>DATE(2020,3,31)</f>
        <v>43921</v>
      </c>
      <c r="E312" s="3">
        <v>160581.67000000001</v>
      </c>
      <c r="F312" t="s">
        <v>21</v>
      </c>
      <c r="G312" s="2">
        <v>35</v>
      </c>
      <c r="H312" s="2">
        <v>0</v>
      </c>
      <c r="I312" s="1">
        <f t="shared" si="38"/>
        <v>44926</v>
      </c>
      <c r="J312" s="3">
        <v>362.56</v>
      </c>
      <c r="K312" s="3">
        <v>4351.2700000000004</v>
      </c>
      <c r="L312" s="3">
        <v>20172.68</v>
      </c>
      <c r="M312" s="3">
        <v>140408.99</v>
      </c>
      <c r="N312" t="s">
        <v>363</v>
      </c>
      <c r="O312" t="s">
        <v>18</v>
      </c>
      <c r="P312" t="s">
        <v>19</v>
      </c>
      <c r="Q312" t="s">
        <v>360</v>
      </c>
    </row>
    <row r="313" spans="1:17" ht="17.45" customHeight="1" x14ac:dyDescent="0.2">
      <c r="A313" t="s">
        <v>1024</v>
      </c>
      <c r="B313" t="s">
        <v>1025</v>
      </c>
      <c r="C313" s="1">
        <f>DATE(2021,2,28)</f>
        <v>44255</v>
      </c>
      <c r="D313" s="1">
        <f>DATE(2021,2,28)</f>
        <v>44255</v>
      </c>
      <c r="E313" s="3">
        <v>20324.419999999998</v>
      </c>
      <c r="F313" t="s">
        <v>20</v>
      </c>
      <c r="G313" s="2">
        <v>35</v>
      </c>
      <c r="H313" s="2">
        <v>0</v>
      </c>
      <c r="I313" s="1">
        <f t="shared" si="38"/>
        <v>44926</v>
      </c>
      <c r="J313" s="3">
        <v>48.41</v>
      </c>
      <c r="K313" s="3">
        <v>580.70000000000005</v>
      </c>
      <c r="L313" s="3">
        <v>1064.6099999999999</v>
      </c>
      <c r="M313" s="3">
        <v>19259.810000000001</v>
      </c>
      <c r="N313" t="s">
        <v>363</v>
      </c>
      <c r="O313" t="s">
        <v>18</v>
      </c>
      <c r="P313" t="s">
        <v>19</v>
      </c>
      <c r="Q313" t="s">
        <v>360</v>
      </c>
    </row>
    <row r="314" spans="1:17" ht="17.45" customHeight="1" x14ac:dyDescent="0.2">
      <c r="A314" t="s">
        <v>1106</v>
      </c>
      <c r="B314" t="s">
        <v>1107</v>
      </c>
      <c r="C314" s="1">
        <f>DATE(2022,8,31)</f>
        <v>44804</v>
      </c>
      <c r="D314" s="1">
        <f>DATE(2022,8,31)</f>
        <v>44804</v>
      </c>
      <c r="E314" s="3">
        <v>34199</v>
      </c>
      <c r="F314" t="s">
        <v>20</v>
      </c>
      <c r="G314" s="2">
        <v>10</v>
      </c>
      <c r="H314" s="2">
        <v>0</v>
      </c>
      <c r="I314" s="1">
        <f t="shared" si="38"/>
        <v>44926</v>
      </c>
      <c r="J314" s="3">
        <v>285</v>
      </c>
      <c r="K314" s="3">
        <v>1139.97</v>
      </c>
      <c r="L314" s="3">
        <v>1139.97</v>
      </c>
      <c r="M314" s="3">
        <v>33059.03</v>
      </c>
      <c r="N314" t="s">
        <v>359</v>
      </c>
      <c r="O314" t="s">
        <v>18</v>
      </c>
      <c r="P314" t="s">
        <v>19</v>
      </c>
      <c r="Q314" t="s">
        <v>360</v>
      </c>
    </row>
    <row r="315" spans="1:17" ht="17.45" customHeight="1" x14ac:dyDescent="0.2">
      <c r="A315" t="s">
        <v>1110</v>
      </c>
      <c r="B315" t="s">
        <v>1111</v>
      </c>
      <c r="C315" s="1">
        <f>DATE(2022,9,30)</f>
        <v>44834</v>
      </c>
      <c r="D315" s="1">
        <f>DATE(2022,9,30)</f>
        <v>44834</v>
      </c>
      <c r="E315" s="3">
        <v>14323.25</v>
      </c>
      <c r="F315" t="s">
        <v>20</v>
      </c>
      <c r="G315" s="2">
        <v>35</v>
      </c>
      <c r="H315" s="2">
        <v>0</v>
      </c>
      <c r="I315" s="1">
        <f t="shared" si="38"/>
        <v>44926</v>
      </c>
      <c r="J315" s="3">
        <v>34.11</v>
      </c>
      <c r="K315" s="3">
        <v>102.31</v>
      </c>
      <c r="L315" s="3">
        <v>102.31</v>
      </c>
      <c r="M315" s="3">
        <v>14220.94</v>
      </c>
      <c r="N315" t="s">
        <v>363</v>
      </c>
      <c r="O315" t="s">
        <v>18</v>
      </c>
      <c r="P315" t="s">
        <v>19</v>
      </c>
      <c r="Q315" t="s">
        <v>360</v>
      </c>
    </row>
    <row r="316" spans="1:17" ht="17.45" customHeight="1" x14ac:dyDescent="0.2">
      <c r="A316" t="s">
        <v>1116</v>
      </c>
      <c r="B316" t="s">
        <v>1117</v>
      </c>
      <c r="C316" s="1">
        <f>DATE(2022,10,31)</f>
        <v>44865</v>
      </c>
      <c r="D316" s="1">
        <f>DATE(2022,10,31)</f>
        <v>44865</v>
      </c>
      <c r="E316" s="3">
        <v>18127.07</v>
      </c>
      <c r="F316" t="s">
        <v>20</v>
      </c>
      <c r="G316" s="2">
        <v>35</v>
      </c>
      <c r="H316" s="2">
        <v>0</v>
      </c>
      <c r="I316" s="1">
        <f t="shared" si="38"/>
        <v>44926</v>
      </c>
      <c r="J316" s="3">
        <v>43.16</v>
      </c>
      <c r="K316" s="3">
        <v>86.32</v>
      </c>
      <c r="L316" s="3">
        <v>86.32</v>
      </c>
      <c r="M316" s="3">
        <v>18040.75</v>
      </c>
      <c r="N316" t="s">
        <v>363</v>
      </c>
      <c r="O316" t="s">
        <v>18</v>
      </c>
      <c r="P316" t="s">
        <v>19</v>
      </c>
      <c r="Q316" t="s">
        <v>360</v>
      </c>
    </row>
    <row r="317" spans="1:17" ht="17.45" customHeight="1" x14ac:dyDescent="0.2">
      <c r="A317" t="s">
        <v>1118</v>
      </c>
      <c r="B317" t="s">
        <v>1119</v>
      </c>
      <c r="C317" s="1">
        <f>DATE(2022,10,31)</f>
        <v>44865</v>
      </c>
      <c r="D317" s="1">
        <f>DATE(2022,10,31)</f>
        <v>44865</v>
      </c>
      <c r="E317" s="3">
        <v>16567.009999999998</v>
      </c>
      <c r="F317" t="s">
        <v>20</v>
      </c>
      <c r="G317" s="2">
        <v>35</v>
      </c>
      <c r="H317" s="2">
        <v>0</v>
      </c>
      <c r="I317" s="1">
        <f t="shared" si="38"/>
        <v>44926</v>
      </c>
      <c r="J317" s="3">
        <v>39.44</v>
      </c>
      <c r="K317" s="3">
        <v>78.89</v>
      </c>
      <c r="L317" s="3">
        <v>78.89</v>
      </c>
      <c r="M317" s="3">
        <v>16488.12</v>
      </c>
      <c r="N317" t="s">
        <v>363</v>
      </c>
      <c r="O317" t="s">
        <v>18</v>
      </c>
      <c r="P317" t="s">
        <v>19</v>
      </c>
      <c r="Q317" t="s">
        <v>360</v>
      </c>
    </row>
    <row r="318" spans="1:17" ht="17.45" customHeight="1" x14ac:dyDescent="0.2">
      <c r="E318" s="4">
        <f>SUM(E274:E317)</f>
        <v>3783211.8699999992</v>
      </c>
      <c r="J318" s="4">
        <f t="shared" ref="J318:M318" si="40">SUM(J274:J317)</f>
        <v>18340.11</v>
      </c>
      <c r="K318" s="4">
        <f t="shared" si="40"/>
        <v>221412.00000000006</v>
      </c>
      <c r="L318" s="4">
        <f t="shared" si="40"/>
        <v>1257827.48</v>
      </c>
      <c r="M318" s="4">
        <f t="shared" si="40"/>
        <v>2525384.39</v>
      </c>
    </row>
    <row r="319" spans="1:17" ht="17.45" customHeight="1" x14ac:dyDescent="0.2">
      <c r="A319" t="s">
        <v>388</v>
      </c>
      <c r="B319" t="s">
        <v>389</v>
      </c>
      <c r="C319" s="1">
        <f>DATE(1998,1,1)</f>
        <v>35796</v>
      </c>
      <c r="D319" s="1">
        <f>DATE(2000,1,1)</f>
        <v>36526</v>
      </c>
      <c r="E319" s="3">
        <v>27810</v>
      </c>
      <c r="F319" t="s">
        <v>20</v>
      </c>
      <c r="G319" s="2">
        <v>10</v>
      </c>
      <c r="H319" s="2">
        <v>0</v>
      </c>
      <c r="I319" s="1">
        <f>DATE(2014,6,30)</f>
        <v>41820</v>
      </c>
      <c r="J319" s="3">
        <v>0</v>
      </c>
      <c r="K319" s="3">
        <v>0</v>
      </c>
      <c r="L319" s="3">
        <v>27810</v>
      </c>
      <c r="M319" s="3">
        <v>0</v>
      </c>
      <c r="N319" t="s">
        <v>390</v>
      </c>
      <c r="O319" t="s">
        <v>18</v>
      </c>
      <c r="P319" t="s">
        <v>19</v>
      </c>
      <c r="Q319" t="s">
        <v>391</v>
      </c>
    </row>
    <row r="320" spans="1:17" ht="17.45" customHeight="1" x14ac:dyDescent="0.2">
      <c r="E320" s="4">
        <f>SUM(E319)</f>
        <v>27810</v>
      </c>
      <c r="J320" s="4">
        <f t="shared" ref="J320:K320" si="41">SUM(J319)</f>
        <v>0</v>
      </c>
      <c r="K320" s="4">
        <f t="shared" si="41"/>
        <v>0</v>
      </c>
      <c r="L320" s="4">
        <f t="shared" ref="L320:M320" si="42">SUM(L319)</f>
        <v>27810</v>
      </c>
      <c r="M320" s="4">
        <f t="shared" si="42"/>
        <v>0</v>
      </c>
    </row>
    <row r="321" spans="1:17" ht="17.45" customHeight="1" x14ac:dyDescent="0.2">
      <c r="A321" t="s">
        <v>392</v>
      </c>
      <c r="B321" t="s">
        <v>393</v>
      </c>
      <c r="C321" s="1">
        <f>DATE(2004,1,1)</f>
        <v>37987</v>
      </c>
      <c r="D321" s="1">
        <f>DATE(2004,1,1)</f>
        <v>37987</v>
      </c>
      <c r="E321" s="3">
        <v>34600</v>
      </c>
      <c r="F321" t="s">
        <v>21</v>
      </c>
      <c r="G321" s="2">
        <v>21</v>
      </c>
      <c r="H321" s="2">
        <v>0</v>
      </c>
      <c r="I321" s="1">
        <f>DATE(2022,12,31)</f>
        <v>44926</v>
      </c>
      <c r="J321" s="3">
        <v>65.44</v>
      </c>
      <c r="K321" s="3">
        <v>785.72</v>
      </c>
      <c r="L321" s="3">
        <v>33026.42</v>
      </c>
      <c r="M321" s="3">
        <v>1573.58</v>
      </c>
      <c r="N321" t="s">
        <v>394</v>
      </c>
      <c r="O321" t="s">
        <v>18</v>
      </c>
      <c r="P321" t="s">
        <v>19</v>
      </c>
      <c r="Q321" t="s">
        <v>395</v>
      </c>
    </row>
    <row r="322" spans="1:17" ht="17.45" customHeight="1" x14ac:dyDescent="0.2">
      <c r="A322" t="s">
        <v>396</v>
      </c>
      <c r="B322" t="s">
        <v>397</v>
      </c>
      <c r="C322" s="1">
        <f>DATE(2004,1,1)</f>
        <v>37987</v>
      </c>
      <c r="D322" s="1">
        <f>DATE(2004,1,1)</f>
        <v>37987</v>
      </c>
      <c r="E322" s="3">
        <v>17000</v>
      </c>
      <c r="F322" t="s">
        <v>21</v>
      </c>
      <c r="G322" s="2">
        <v>21</v>
      </c>
      <c r="H322" s="2">
        <v>0</v>
      </c>
      <c r="I322" s="1">
        <f>DATE(2022,12,31)</f>
        <v>44926</v>
      </c>
      <c r="J322" s="3">
        <v>24.3</v>
      </c>
      <c r="K322" s="3">
        <v>291.93</v>
      </c>
      <c r="L322" s="3">
        <v>16415.330000000002</v>
      </c>
      <c r="M322" s="3">
        <v>584.66999999999996</v>
      </c>
      <c r="N322" t="s">
        <v>394</v>
      </c>
      <c r="O322" t="s">
        <v>18</v>
      </c>
      <c r="P322" t="s">
        <v>19</v>
      </c>
      <c r="Q322" t="s">
        <v>395</v>
      </c>
    </row>
    <row r="323" spans="1:17" ht="17.45" customHeight="1" x14ac:dyDescent="0.2">
      <c r="A323" t="s">
        <v>398</v>
      </c>
      <c r="B323" t="s">
        <v>399</v>
      </c>
      <c r="C323" s="1">
        <f>DATE(2000,1,1)</f>
        <v>36526</v>
      </c>
      <c r="D323" s="1">
        <f>DATE(2000,1,1)</f>
        <v>36526</v>
      </c>
      <c r="E323" s="3">
        <v>54454.01</v>
      </c>
      <c r="F323" t="s">
        <v>21</v>
      </c>
      <c r="G323" s="2">
        <v>15</v>
      </c>
      <c r="H323" s="2">
        <v>122</v>
      </c>
      <c r="I323" s="1">
        <f>DATE(2015,5,2)</f>
        <v>42126</v>
      </c>
      <c r="J323" s="3">
        <v>0</v>
      </c>
      <c r="K323" s="3">
        <v>0</v>
      </c>
      <c r="L323" s="3">
        <v>54454.01</v>
      </c>
      <c r="M323" s="3">
        <v>0</v>
      </c>
      <c r="N323" t="s">
        <v>394</v>
      </c>
      <c r="O323" t="s">
        <v>18</v>
      </c>
      <c r="P323" t="s">
        <v>19</v>
      </c>
      <c r="Q323" t="s">
        <v>395</v>
      </c>
    </row>
    <row r="324" spans="1:17" ht="17.45" customHeight="1" x14ac:dyDescent="0.2">
      <c r="A324" t="s">
        <v>400</v>
      </c>
      <c r="B324" t="s">
        <v>401</v>
      </c>
      <c r="C324" s="1">
        <f>DATE(2002,1,1)</f>
        <v>37257</v>
      </c>
      <c r="D324" s="1">
        <f>DATE(2002,1,1)</f>
        <v>37257</v>
      </c>
      <c r="E324" s="3">
        <v>11995</v>
      </c>
      <c r="F324" t="s">
        <v>20</v>
      </c>
      <c r="G324" s="2">
        <v>10</v>
      </c>
      <c r="H324" s="2">
        <v>0</v>
      </c>
      <c r="I324" s="1">
        <f>DATE(2014,6,30)</f>
        <v>41820</v>
      </c>
      <c r="J324" s="3">
        <v>0</v>
      </c>
      <c r="K324" s="3">
        <v>0</v>
      </c>
      <c r="L324" s="3">
        <v>11995</v>
      </c>
      <c r="M324" s="3">
        <v>0</v>
      </c>
      <c r="N324" t="s">
        <v>394</v>
      </c>
      <c r="O324" t="s">
        <v>18</v>
      </c>
      <c r="P324" t="s">
        <v>19</v>
      </c>
      <c r="Q324" t="s">
        <v>395</v>
      </c>
    </row>
    <row r="325" spans="1:17" ht="17.45" customHeight="1" x14ac:dyDescent="0.2">
      <c r="A325" t="s">
        <v>402</v>
      </c>
      <c r="B325" t="s">
        <v>403</v>
      </c>
      <c r="C325" s="1">
        <f>DATE(2008,1,1)</f>
        <v>39448</v>
      </c>
      <c r="D325" s="1">
        <f>DATE(2008,1,1)</f>
        <v>39448</v>
      </c>
      <c r="E325" s="3">
        <v>12217</v>
      </c>
      <c r="F325" t="s">
        <v>20</v>
      </c>
      <c r="G325" s="2">
        <v>10</v>
      </c>
      <c r="H325" s="2">
        <v>0</v>
      </c>
      <c r="I325" s="1">
        <f>DATE(2017,12,31)</f>
        <v>43100</v>
      </c>
      <c r="J325" s="3">
        <v>0</v>
      </c>
      <c r="K325" s="3">
        <v>0</v>
      </c>
      <c r="L325" s="3">
        <v>12217</v>
      </c>
      <c r="M325" s="3">
        <v>0</v>
      </c>
      <c r="N325" t="s">
        <v>394</v>
      </c>
      <c r="O325" t="s">
        <v>18</v>
      </c>
      <c r="P325" t="s">
        <v>19</v>
      </c>
      <c r="Q325" t="s">
        <v>395</v>
      </c>
    </row>
    <row r="326" spans="1:17" ht="17.45" customHeight="1" x14ac:dyDescent="0.2">
      <c r="A326" t="s">
        <v>404</v>
      </c>
      <c r="B326" t="s">
        <v>405</v>
      </c>
      <c r="C326" s="1">
        <f>DATE(2008,1,1)</f>
        <v>39448</v>
      </c>
      <c r="D326" s="1">
        <f>DATE(2008,1,1)</f>
        <v>39448</v>
      </c>
      <c r="E326" s="3">
        <v>8998</v>
      </c>
      <c r="F326" t="s">
        <v>20</v>
      </c>
      <c r="G326" s="2">
        <v>10</v>
      </c>
      <c r="H326" s="2">
        <v>0</v>
      </c>
      <c r="I326" s="1">
        <f>DATE(2017,12,31)</f>
        <v>43100</v>
      </c>
      <c r="J326" s="3">
        <v>0</v>
      </c>
      <c r="K326" s="3">
        <v>0</v>
      </c>
      <c r="L326" s="3">
        <v>8998</v>
      </c>
      <c r="M326" s="3">
        <v>0</v>
      </c>
      <c r="N326" t="s">
        <v>394</v>
      </c>
      <c r="O326" t="s">
        <v>18</v>
      </c>
      <c r="P326" t="s">
        <v>19</v>
      </c>
      <c r="Q326" t="s">
        <v>395</v>
      </c>
    </row>
    <row r="327" spans="1:17" ht="17.45" customHeight="1" x14ac:dyDescent="0.2">
      <c r="A327" t="s">
        <v>406</v>
      </c>
      <c r="B327" t="s">
        <v>407</v>
      </c>
      <c r="C327" s="1">
        <f t="shared" ref="C327:D329" si="43">DATE(2009,1,1)</f>
        <v>39814</v>
      </c>
      <c r="D327" s="1">
        <f t="shared" si="43"/>
        <v>39814</v>
      </c>
      <c r="E327" s="3">
        <v>2024.17</v>
      </c>
      <c r="F327" t="s">
        <v>20</v>
      </c>
      <c r="G327" s="2">
        <v>7</v>
      </c>
      <c r="H327" s="2">
        <v>0</v>
      </c>
      <c r="I327" s="1">
        <f>DATE(2015,12,31)</f>
        <v>42369</v>
      </c>
      <c r="J327" s="3">
        <v>0</v>
      </c>
      <c r="K327" s="3">
        <v>0</v>
      </c>
      <c r="L327" s="3">
        <v>2024.17</v>
      </c>
      <c r="M327" s="3">
        <v>0</v>
      </c>
      <c r="N327" t="s">
        <v>394</v>
      </c>
      <c r="O327" t="s">
        <v>18</v>
      </c>
      <c r="P327" t="s">
        <v>19</v>
      </c>
      <c r="Q327" t="s">
        <v>395</v>
      </c>
    </row>
    <row r="328" spans="1:17" ht="17.45" customHeight="1" x14ac:dyDescent="0.2">
      <c r="A328" t="s">
        <v>408</v>
      </c>
      <c r="B328" t="s">
        <v>409</v>
      </c>
      <c r="C328" s="1">
        <f t="shared" si="43"/>
        <v>39814</v>
      </c>
      <c r="D328" s="1">
        <f t="shared" si="43"/>
        <v>39814</v>
      </c>
      <c r="E328" s="3">
        <v>9024.27</v>
      </c>
      <c r="F328" t="s">
        <v>20</v>
      </c>
      <c r="G328" s="2">
        <v>7</v>
      </c>
      <c r="H328" s="2">
        <v>0</v>
      </c>
      <c r="I328" s="1">
        <f>DATE(2015,12,31)</f>
        <v>42369</v>
      </c>
      <c r="J328" s="3">
        <v>0</v>
      </c>
      <c r="K328" s="3">
        <v>0</v>
      </c>
      <c r="L328" s="3">
        <v>9024.27</v>
      </c>
      <c r="M328" s="3">
        <v>0</v>
      </c>
      <c r="N328" t="s">
        <v>394</v>
      </c>
      <c r="O328" t="s">
        <v>18</v>
      </c>
      <c r="P328" t="s">
        <v>19</v>
      </c>
      <c r="Q328" t="s">
        <v>395</v>
      </c>
    </row>
    <row r="329" spans="1:17" ht="17.45" customHeight="1" x14ac:dyDescent="0.2">
      <c r="A329" t="s">
        <v>410</v>
      </c>
      <c r="B329" t="s">
        <v>411</v>
      </c>
      <c r="C329" s="1">
        <f t="shared" si="43"/>
        <v>39814</v>
      </c>
      <c r="D329" s="1">
        <f t="shared" si="43"/>
        <v>39814</v>
      </c>
      <c r="E329" s="3">
        <v>7527</v>
      </c>
      <c r="F329" t="s">
        <v>20</v>
      </c>
      <c r="G329" s="2">
        <v>7</v>
      </c>
      <c r="H329" s="2">
        <v>0</v>
      </c>
      <c r="I329" s="1">
        <f>DATE(2015,12,31)</f>
        <v>42369</v>
      </c>
      <c r="J329" s="3">
        <v>0</v>
      </c>
      <c r="K329" s="3">
        <v>0</v>
      </c>
      <c r="L329" s="3">
        <v>7527</v>
      </c>
      <c r="M329" s="3">
        <v>0</v>
      </c>
      <c r="N329" t="s">
        <v>394</v>
      </c>
      <c r="O329" t="s">
        <v>18</v>
      </c>
      <c r="P329" t="s">
        <v>19</v>
      </c>
      <c r="Q329" t="s">
        <v>395</v>
      </c>
    </row>
    <row r="330" spans="1:17" ht="17.45" customHeight="1" x14ac:dyDescent="0.2">
      <c r="A330" t="s">
        <v>412</v>
      </c>
      <c r="B330" t="s">
        <v>413</v>
      </c>
      <c r="C330" s="1">
        <f>DATE(2009,7,15)</f>
        <v>40009</v>
      </c>
      <c r="D330" s="1">
        <f>DATE(2009,7,15)</f>
        <v>40009</v>
      </c>
      <c r="E330" s="3">
        <v>5991.61</v>
      </c>
      <c r="F330" t="s">
        <v>20</v>
      </c>
      <c r="G330" s="2">
        <v>7</v>
      </c>
      <c r="H330" s="2">
        <v>0</v>
      </c>
      <c r="I330" s="1">
        <f>DATE(2016,6,30)</f>
        <v>42551</v>
      </c>
      <c r="J330" s="3">
        <v>0</v>
      </c>
      <c r="K330" s="3">
        <v>0</v>
      </c>
      <c r="L330" s="3">
        <v>5991.61</v>
      </c>
      <c r="M330" s="3">
        <v>0</v>
      </c>
      <c r="N330" t="s">
        <v>394</v>
      </c>
      <c r="O330" t="s">
        <v>18</v>
      </c>
      <c r="P330" t="s">
        <v>19</v>
      </c>
      <c r="Q330" t="s">
        <v>395</v>
      </c>
    </row>
    <row r="331" spans="1:17" ht="17.45" customHeight="1" x14ac:dyDescent="0.2">
      <c r="A331" t="s">
        <v>414</v>
      </c>
      <c r="B331" t="s">
        <v>415</v>
      </c>
      <c r="C331" s="1">
        <f>DATE(2010,3,31)</f>
        <v>40268</v>
      </c>
      <c r="D331" s="1">
        <f>DATE(2010,3,31)</f>
        <v>40268</v>
      </c>
      <c r="E331" s="3">
        <v>1842.55</v>
      </c>
      <c r="F331" t="s">
        <v>20</v>
      </c>
      <c r="G331" s="2">
        <v>7</v>
      </c>
      <c r="H331" s="2">
        <v>0</v>
      </c>
      <c r="I331" s="1">
        <f>DATE(2017,3,31)</f>
        <v>42825</v>
      </c>
      <c r="J331" s="3">
        <v>0</v>
      </c>
      <c r="K331" s="3">
        <v>0</v>
      </c>
      <c r="L331" s="3">
        <v>1842.55</v>
      </c>
      <c r="M331" s="3">
        <v>0</v>
      </c>
      <c r="N331" t="s">
        <v>394</v>
      </c>
      <c r="O331" t="s">
        <v>18</v>
      </c>
      <c r="P331" t="s">
        <v>19</v>
      </c>
      <c r="Q331" t="s">
        <v>395</v>
      </c>
    </row>
    <row r="332" spans="1:17" ht="17.45" customHeight="1" x14ac:dyDescent="0.2">
      <c r="A332" t="s">
        <v>416</v>
      </c>
      <c r="B332" t="s">
        <v>417</v>
      </c>
      <c r="C332" s="1">
        <f>DATE(2010,5,31)</f>
        <v>40329</v>
      </c>
      <c r="D332" s="1">
        <f>DATE(2010,5,31)</f>
        <v>40329</v>
      </c>
      <c r="E332" s="3">
        <v>4444.01</v>
      </c>
      <c r="F332" t="s">
        <v>20</v>
      </c>
      <c r="G332" s="2">
        <v>10</v>
      </c>
      <c r="H332" s="2">
        <v>0</v>
      </c>
      <c r="I332" s="1">
        <f>DATE(2020,5,31)</f>
        <v>43982</v>
      </c>
      <c r="J332" s="3">
        <v>0</v>
      </c>
      <c r="K332" s="3">
        <v>0</v>
      </c>
      <c r="L332" s="3">
        <v>4444.01</v>
      </c>
      <c r="M332" s="3">
        <v>0</v>
      </c>
      <c r="N332" t="s">
        <v>394</v>
      </c>
      <c r="O332" t="s">
        <v>18</v>
      </c>
      <c r="P332" t="s">
        <v>19</v>
      </c>
      <c r="Q332" t="s">
        <v>395</v>
      </c>
    </row>
    <row r="333" spans="1:17" ht="17.45" customHeight="1" x14ac:dyDescent="0.2">
      <c r="A333" t="s">
        <v>418</v>
      </c>
      <c r="B333" t="s">
        <v>419</v>
      </c>
      <c r="C333" s="1">
        <f>DATE(2010,8,31)</f>
        <v>40421</v>
      </c>
      <c r="D333" s="1">
        <f>DATE(2010,8,31)</f>
        <v>40421</v>
      </c>
      <c r="E333" s="3">
        <v>17163.810000000001</v>
      </c>
      <c r="F333" t="s">
        <v>20</v>
      </c>
      <c r="G333" s="2">
        <v>10</v>
      </c>
      <c r="H333" s="2">
        <v>0</v>
      </c>
      <c r="I333" s="1">
        <f>DATE(2020,8,31)</f>
        <v>44074</v>
      </c>
      <c r="J333" s="3">
        <v>0</v>
      </c>
      <c r="K333" s="3">
        <v>0</v>
      </c>
      <c r="L333" s="3">
        <v>17163.810000000001</v>
      </c>
      <c r="M333" s="3">
        <v>0</v>
      </c>
      <c r="N333" t="s">
        <v>394</v>
      </c>
      <c r="O333" t="s">
        <v>18</v>
      </c>
      <c r="P333" t="s">
        <v>19</v>
      </c>
      <c r="Q333" t="s">
        <v>395</v>
      </c>
    </row>
    <row r="334" spans="1:17" ht="17.45" customHeight="1" x14ac:dyDescent="0.2">
      <c r="A334" t="s">
        <v>420</v>
      </c>
      <c r="B334" t="s">
        <v>421</v>
      </c>
      <c r="C334" s="1">
        <f>DATE(2010,8,31)</f>
        <v>40421</v>
      </c>
      <c r="D334" s="1">
        <f>DATE(2010,8,31)</f>
        <v>40421</v>
      </c>
      <c r="E334" s="3">
        <v>10939</v>
      </c>
      <c r="F334" t="s">
        <v>20</v>
      </c>
      <c r="G334" s="2">
        <v>10</v>
      </c>
      <c r="H334" s="2">
        <v>0</v>
      </c>
      <c r="I334" s="1">
        <f>DATE(2020,8,31)</f>
        <v>44074</v>
      </c>
      <c r="J334" s="3">
        <v>0</v>
      </c>
      <c r="K334" s="3">
        <v>0</v>
      </c>
      <c r="L334" s="3">
        <v>10939</v>
      </c>
      <c r="M334" s="3">
        <v>0</v>
      </c>
      <c r="N334" t="s">
        <v>394</v>
      </c>
      <c r="O334" t="s">
        <v>18</v>
      </c>
      <c r="P334" t="s">
        <v>19</v>
      </c>
      <c r="Q334" t="s">
        <v>395</v>
      </c>
    </row>
    <row r="335" spans="1:17" ht="17.45" customHeight="1" x14ac:dyDescent="0.2">
      <c r="A335" t="s">
        <v>422</v>
      </c>
      <c r="B335" t="s">
        <v>33</v>
      </c>
      <c r="C335" s="1">
        <f>DATE(2011,5,31)</f>
        <v>40694</v>
      </c>
      <c r="D335" s="1">
        <f>DATE(2011,5,31)</f>
        <v>40694</v>
      </c>
      <c r="E335" s="3">
        <v>798.5</v>
      </c>
      <c r="F335" t="s">
        <v>20</v>
      </c>
      <c r="G335" s="2">
        <v>7</v>
      </c>
      <c r="H335" s="2">
        <v>0</v>
      </c>
      <c r="I335" s="1">
        <f>DATE(2018,5,31)</f>
        <v>43251</v>
      </c>
      <c r="J335" s="3">
        <v>0</v>
      </c>
      <c r="K335" s="3">
        <v>0</v>
      </c>
      <c r="L335" s="3">
        <v>798.5</v>
      </c>
      <c r="M335" s="3">
        <v>0</v>
      </c>
      <c r="N335" t="s">
        <v>394</v>
      </c>
      <c r="O335" t="s">
        <v>18</v>
      </c>
      <c r="P335" t="s">
        <v>19</v>
      </c>
      <c r="Q335" t="s">
        <v>395</v>
      </c>
    </row>
    <row r="336" spans="1:17" ht="17.45" customHeight="1" x14ac:dyDescent="0.2">
      <c r="A336" t="s">
        <v>423</v>
      </c>
      <c r="B336" t="s">
        <v>424</v>
      </c>
      <c r="C336" s="1">
        <f>DATE(2011,8,31)</f>
        <v>40786</v>
      </c>
      <c r="D336" s="1">
        <f>DATE(2011,8,31)</f>
        <v>40786</v>
      </c>
      <c r="E336" s="3">
        <v>5075</v>
      </c>
      <c r="F336" t="s">
        <v>20</v>
      </c>
      <c r="G336" s="2">
        <v>15</v>
      </c>
      <c r="H336" s="2">
        <v>0</v>
      </c>
      <c r="I336" s="1">
        <f>DATE(2022,12,31)</f>
        <v>44926</v>
      </c>
      <c r="J336" s="3">
        <v>28.24</v>
      </c>
      <c r="K336" s="3">
        <v>338.33</v>
      </c>
      <c r="L336" s="3">
        <v>3834.41</v>
      </c>
      <c r="M336" s="3">
        <v>1240.5899999999999</v>
      </c>
      <c r="N336" t="s">
        <v>394</v>
      </c>
      <c r="O336" t="s">
        <v>18</v>
      </c>
      <c r="P336" t="s">
        <v>19</v>
      </c>
      <c r="Q336" t="s">
        <v>395</v>
      </c>
    </row>
    <row r="337" spans="1:17" ht="17.45" customHeight="1" x14ac:dyDescent="0.2">
      <c r="A337" t="s">
        <v>425</v>
      </c>
      <c r="B337" t="s">
        <v>426</v>
      </c>
      <c r="C337" s="1">
        <f>DATE(2012,3,31)</f>
        <v>40999</v>
      </c>
      <c r="D337" s="1">
        <f>DATE(2012,3,31)</f>
        <v>40999</v>
      </c>
      <c r="E337" s="3">
        <v>699.53</v>
      </c>
      <c r="F337" t="s">
        <v>20</v>
      </c>
      <c r="G337" s="2">
        <v>15</v>
      </c>
      <c r="H337" s="2">
        <v>0</v>
      </c>
      <c r="I337" s="1">
        <f>DATE(2022,12,31)</f>
        <v>44926</v>
      </c>
      <c r="J337" s="3">
        <v>3.85</v>
      </c>
      <c r="K337" s="3">
        <v>46.64</v>
      </c>
      <c r="L337" s="3">
        <v>501.38</v>
      </c>
      <c r="M337" s="3">
        <v>198.15</v>
      </c>
      <c r="N337" t="s">
        <v>394</v>
      </c>
      <c r="O337" t="s">
        <v>18</v>
      </c>
      <c r="P337" t="s">
        <v>19</v>
      </c>
      <c r="Q337" t="s">
        <v>395</v>
      </c>
    </row>
    <row r="338" spans="1:17" ht="17.45" customHeight="1" x14ac:dyDescent="0.2">
      <c r="A338" t="s">
        <v>427</v>
      </c>
      <c r="B338" t="s">
        <v>428</v>
      </c>
      <c r="C338" s="1">
        <f>DATE(2012,3,31)</f>
        <v>40999</v>
      </c>
      <c r="D338" s="1">
        <f>DATE(2012,3,31)</f>
        <v>40999</v>
      </c>
      <c r="E338" s="3">
        <v>610.5</v>
      </c>
      <c r="F338" t="s">
        <v>20</v>
      </c>
      <c r="G338" s="2">
        <v>15</v>
      </c>
      <c r="H338" s="2">
        <v>0</v>
      </c>
      <c r="I338" s="1">
        <f>DATE(2022,12,31)</f>
        <v>44926</v>
      </c>
      <c r="J338" s="3">
        <v>3.41</v>
      </c>
      <c r="K338" s="3">
        <v>40.700000000000003</v>
      </c>
      <c r="L338" s="3">
        <v>437.53</v>
      </c>
      <c r="M338" s="3">
        <v>172.97</v>
      </c>
      <c r="N338" t="s">
        <v>394</v>
      </c>
      <c r="O338" t="s">
        <v>18</v>
      </c>
      <c r="P338" t="s">
        <v>19</v>
      </c>
      <c r="Q338" t="s">
        <v>395</v>
      </c>
    </row>
    <row r="339" spans="1:17" ht="17.45" customHeight="1" x14ac:dyDescent="0.2">
      <c r="A339" t="s">
        <v>429</v>
      </c>
      <c r="B339" t="s">
        <v>430</v>
      </c>
      <c r="C339" s="1">
        <f>DATE(2012,5,31)</f>
        <v>41060</v>
      </c>
      <c r="D339" s="1">
        <f>DATE(2012,5,31)</f>
        <v>41060</v>
      </c>
      <c r="E339" s="3">
        <v>1400</v>
      </c>
      <c r="F339" t="s">
        <v>20</v>
      </c>
      <c r="G339" s="2">
        <v>10</v>
      </c>
      <c r="H339" s="2">
        <v>0</v>
      </c>
      <c r="I339" s="1">
        <f>DATE(2022,5,31)</f>
        <v>44712</v>
      </c>
      <c r="J339" s="3">
        <v>0</v>
      </c>
      <c r="K339" s="3">
        <v>58.33</v>
      </c>
      <c r="L339" s="3">
        <v>1400</v>
      </c>
      <c r="M339" s="3">
        <v>0</v>
      </c>
      <c r="N339" t="s">
        <v>394</v>
      </c>
      <c r="O339" t="s">
        <v>18</v>
      </c>
      <c r="P339" t="s">
        <v>19</v>
      </c>
      <c r="Q339" t="s">
        <v>395</v>
      </c>
    </row>
    <row r="340" spans="1:17" ht="17.45" customHeight="1" x14ac:dyDescent="0.2">
      <c r="A340" t="s">
        <v>431</v>
      </c>
      <c r="B340" t="s">
        <v>432</v>
      </c>
      <c r="C340" s="1">
        <f>DATE(2012,5,31)</f>
        <v>41060</v>
      </c>
      <c r="D340" s="1">
        <f>DATE(2012,5,31)</f>
        <v>41060</v>
      </c>
      <c r="E340" s="3">
        <v>1400</v>
      </c>
      <c r="F340" t="s">
        <v>20</v>
      </c>
      <c r="G340" s="2">
        <v>10</v>
      </c>
      <c r="H340" s="2">
        <v>0</v>
      </c>
      <c r="I340" s="1">
        <f>DATE(2022,5,31)</f>
        <v>44712</v>
      </c>
      <c r="J340" s="3">
        <v>0</v>
      </c>
      <c r="K340" s="3">
        <v>58.33</v>
      </c>
      <c r="L340" s="3">
        <v>1400</v>
      </c>
      <c r="M340" s="3">
        <v>0</v>
      </c>
      <c r="N340" t="s">
        <v>394</v>
      </c>
      <c r="O340" t="s">
        <v>18</v>
      </c>
      <c r="P340" t="s">
        <v>19</v>
      </c>
      <c r="Q340" t="s">
        <v>395</v>
      </c>
    </row>
    <row r="341" spans="1:17" ht="17.45" customHeight="1" x14ac:dyDescent="0.2">
      <c r="A341" t="s">
        <v>433</v>
      </c>
      <c r="B341" t="s">
        <v>434</v>
      </c>
      <c r="C341" s="1">
        <f>DATE(2012,6,30)</f>
        <v>41090</v>
      </c>
      <c r="D341" s="1">
        <f>DATE(2012,6,30)</f>
        <v>41090</v>
      </c>
      <c r="E341" s="3">
        <v>17980</v>
      </c>
      <c r="F341" t="s">
        <v>20</v>
      </c>
      <c r="G341" s="2">
        <v>10</v>
      </c>
      <c r="H341" s="2">
        <v>0</v>
      </c>
      <c r="I341" s="1">
        <f>DATE(2022,6,30)</f>
        <v>44742</v>
      </c>
      <c r="J341" s="3">
        <v>0</v>
      </c>
      <c r="K341" s="3">
        <v>899</v>
      </c>
      <c r="L341" s="3">
        <v>17980</v>
      </c>
      <c r="M341" s="3">
        <v>0</v>
      </c>
      <c r="N341" t="s">
        <v>394</v>
      </c>
      <c r="O341" t="s">
        <v>18</v>
      </c>
      <c r="P341" t="s">
        <v>19</v>
      </c>
      <c r="Q341" t="s">
        <v>395</v>
      </c>
    </row>
    <row r="342" spans="1:17" ht="17.45" customHeight="1" x14ac:dyDescent="0.2">
      <c r="A342" t="s">
        <v>435</v>
      </c>
      <c r="B342" t="s">
        <v>436</v>
      </c>
      <c r="C342" s="1">
        <f>DATE(2012,8,31)</f>
        <v>41152</v>
      </c>
      <c r="D342" s="1">
        <f>DATE(2012,8,31)</f>
        <v>41152</v>
      </c>
      <c r="E342" s="3">
        <v>3105.54</v>
      </c>
      <c r="F342" t="s">
        <v>20</v>
      </c>
      <c r="G342" s="2">
        <v>7</v>
      </c>
      <c r="H342" s="2">
        <v>0</v>
      </c>
      <c r="I342" s="1">
        <f>DATE(2019,8,31)</f>
        <v>43708</v>
      </c>
      <c r="J342" s="3">
        <v>0</v>
      </c>
      <c r="K342" s="3">
        <v>0</v>
      </c>
      <c r="L342" s="3">
        <v>3105.54</v>
      </c>
      <c r="M342" s="3">
        <v>0</v>
      </c>
      <c r="N342" t="s">
        <v>394</v>
      </c>
      <c r="O342" t="s">
        <v>18</v>
      </c>
      <c r="P342" t="s">
        <v>19</v>
      </c>
      <c r="Q342" t="s">
        <v>395</v>
      </c>
    </row>
    <row r="343" spans="1:17" ht="17.45" customHeight="1" x14ac:dyDescent="0.2">
      <c r="A343" t="s">
        <v>437</v>
      </c>
      <c r="B343" t="s">
        <v>438</v>
      </c>
      <c r="C343" s="1">
        <f>DATE(2012,12,31)</f>
        <v>41274</v>
      </c>
      <c r="D343" s="1">
        <f>DATE(2012,12,31)</f>
        <v>41274</v>
      </c>
      <c r="E343" s="3">
        <v>1011.2</v>
      </c>
      <c r="F343" t="s">
        <v>20</v>
      </c>
      <c r="G343" s="2">
        <v>10</v>
      </c>
      <c r="H343" s="2">
        <v>0</v>
      </c>
      <c r="I343" s="1">
        <f>DATE(2022,12,31)</f>
        <v>44926</v>
      </c>
      <c r="J343" s="3">
        <v>8.39</v>
      </c>
      <c r="K343" s="3">
        <v>101.12</v>
      </c>
      <c r="L343" s="3">
        <v>1011.2</v>
      </c>
      <c r="M343" s="3">
        <v>0</v>
      </c>
      <c r="N343" t="s">
        <v>394</v>
      </c>
      <c r="O343" t="s">
        <v>18</v>
      </c>
      <c r="P343" t="s">
        <v>19</v>
      </c>
      <c r="Q343" t="s">
        <v>395</v>
      </c>
    </row>
    <row r="344" spans="1:17" ht="17.45" customHeight="1" x14ac:dyDescent="0.2">
      <c r="A344" t="s">
        <v>439</v>
      </c>
      <c r="B344" t="s">
        <v>28</v>
      </c>
      <c r="C344" s="1">
        <f>DATE(2013,3,31)</f>
        <v>41364</v>
      </c>
      <c r="D344" s="1">
        <f>DATE(2013,3,31)</f>
        <v>41364</v>
      </c>
      <c r="E344" s="3">
        <v>224.64</v>
      </c>
      <c r="F344" t="s">
        <v>20</v>
      </c>
      <c r="G344" s="2">
        <v>5</v>
      </c>
      <c r="H344" s="2">
        <v>0</v>
      </c>
      <c r="I344" s="1">
        <f>DATE(2018,3,31)</f>
        <v>43190</v>
      </c>
      <c r="J344" s="3">
        <v>0</v>
      </c>
      <c r="K344" s="3">
        <v>0</v>
      </c>
      <c r="L344" s="3">
        <v>224.64</v>
      </c>
      <c r="M344" s="3">
        <v>0</v>
      </c>
      <c r="N344" t="s">
        <v>394</v>
      </c>
      <c r="O344" t="s">
        <v>18</v>
      </c>
      <c r="P344" t="s">
        <v>19</v>
      </c>
      <c r="Q344" t="s">
        <v>395</v>
      </c>
    </row>
    <row r="345" spans="1:17" ht="17.45" customHeight="1" x14ac:dyDescent="0.2">
      <c r="A345" t="s">
        <v>440</v>
      </c>
      <c r="B345" t="s">
        <v>441</v>
      </c>
      <c r="C345" s="1">
        <f>DATE(2013,4,30)</f>
        <v>41394</v>
      </c>
      <c r="D345" s="1">
        <f>DATE(2013,4,30)</f>
        <v>41394</v>
      </c>
      <c r="E345" s="3">
        <v>3199.36</v>
      </c>
      <c r="F345" t="s">
        <v>20</v>
      </c>
      <c r="G345" s="2">
        <v>10</v>
      </c>
      <c r="H345" s="2">
        <v>0</v>
      </c>
      <c r="I345" s="1">
        <f t="shared" ref="I345:I353" si="44">DATE(2022,12,31)</f>
        <v>44926</v>
      </c>
      <c r="J345" s="3">
        <v>26.68</v>
      </c>
      <c r="K345" s="3">
        <v>319.94</v>
      </c>
      <c r="L345" s="3">
        <v>3092.75</v>
      </c>
      <c r="M345" s="3">
        <v>106.61</v>
      </c>
      <c r="N345" t="s">
        <v>394</v>
      </c>
      <c r="O345" t="s">
        <v>18</v>
      </c>
      <c r="P345" t="s">
        <v>19</v>
      </c>
      <c r="Q345" t="s">
        <v>395</v>
      </c>
    </row>
    <row r="346" spans="1:17" ht="17.45" customHeight="1" x14ac:dyDescent="0.2">
      <c r="A346" t="s">
        <v>442</v>
      </c>
      <c r="B346" t="s">
        <v>443</v>
      </c>
      <c r="C346" s="1">
        <f>DATE(2013,5,1)</f>
        <v>41395</v>
      </c>
      <c r="D346" s="1">
        <f>DATE(2013,5,1)</f>
        <v>41395</v>
      </c>
      <c r="E346" s="3">
        <v>3765.41</v>
      </c>
      <c r="F346" t="s">
        <v>20</v>
      </c>
      <c r="G346" s="2">
        <v>10</v>
      </c>
      <c r="H346" s="2">
        <v>0</v>
      </c>
      <c r="I346" s="1">
        <f t="shared" si="44"/>
        <v>44926</v>
      </c>
      <c r="J346" s="3">
        <v>31.36</v>
      </c>
      <c r="K346" s="3">
        <v>376.54</v>
      </c>
      <c r="L346" s="3">
        <v>3639.89</v>
      </c>
      <c r="M346" s="3">
        <v>125.52</v>
      </c>
      <c r="N346" t="s">
        <v>394</v>
      </c>
      <c r="O346" t="s">
        <v>18</v>
      </c>
      <c r="P346" t="s">
        <v>19</v>
      </c>
      <c r="Q346" t="s">
        <v>395</v>
      </c>
    </row>
    <row r="347" spans="1:17" ht="17.45" customHeight="1" x14ac:dyDescent="0.2">
      <c r="A347" t="s">
        <v>444</v>
      </c>
      <c r="B347" t="s">
        <v>445</v>
      </c>
      <c r="C347" s="1">
        <f>DATE(2013,7,31)</f>
        <v>41486</v>
      </c>
      <c r="D347" s="1">
        <f>DATE(2013,7,31)</f>
        <v>41486</v>
      </c>
      <c r="E347" s="3">
        <v>3339.58</v>
      </c>
      <c r="F347" t="s">
        <v>20</v>
      </c>
      <c r="G347" s="2">
        <v>10</v>
      </c>
      <c r="H347" s="2">
        <v>0</v>
      </c>
      <c r="I347" s="1">
        <f t="shared" si="44"/>
        <v>44926</v>
      </c>
      <c r="J347" s="3">
        <v>27.83</v>
      </c>
      <c r="K347" s="3">
        <v>333.96</v>
      </c>
      <c r="L347" s="3">
        <v>3144.79</v>
      </c>
      <c r="M347" s="3">
        <v>194.79</v>
      </c>
      <c r="N347" t="s">
        <v>394</v>
      </c>
      <c r="O347" t="s">
        <v>18</v>
      </c>
      <c r="P347" t="s">
        <v>19</v>
      </c>
      <c r="Q347" t="s">
        <v>395</v>
      </c>
    </row>
    <row r="348" spans="1:17" ht="17.45" customHeight="1" x14ac:dyDescent="0.2">
      <c r="A348" t="s">
        <v>446</v>
      </c>
      <c r="B348" t="s">
        <v>447</v>
      </c>
      <c r="C348" s="1">
        <f>DATE(2013,8,31)</f>
        <v>41517</v>
      </c>
      <c r="D348" s="1">
        <f>DATE(2013,8,31)</f>
        <v>41517</v>
      </c>
      <c r="E348" s="3">
        <v>11423.54</v>
      </c>
      <c r="F348" t="s">
        <v>20</v>
      </c>
      <c r="G348" s="2">
        <v>10</v>
      </c>
      <c r="H348" s="2">
        <v>0</v>
      </c>
      <c r="I348" s="1">
        <f t="shared" si="44"/>
        <v>44926</v>
      </c>
      <c r="J348" s="3">
        <v>95.15</v>
      </c>
      <c r="K348" s="3">
        <v>1142.3499999999999</v>
      </c>
      <c r="L348" s="3">
        <v>10661.94</v>
      </c>
      <c r="M348" s="3">
        <v>761.6</v>
      </c>
      <c r="N348" t="s">
        <v>394</v>
      </c>
      <c r="O348" t="s">
        <v>18</v>
      </c>
      <c r="P348" t="s">
        <v>19</v>
      </c>
      <c r="Q348" t="s">
        <v>395</v>
      </c>
    </row>
    <row r="349" spans="1:17" ht="17.45" customHeight="1" x14ac:dyDescent="0.2">
      <c r="A349" t="s">
        <v>578</v>
      </c>
      <c r="B349" t="s">
        <v>579</v>
      </c>
      <c r="C349" s="1">
        <f>DATE(2014,7,31)</f>
        <v>41851</v>
      </c>
      <c r="D349" s="1">
        <f>DATE(2014,7,31)</f>
        <v>41851</v>
      </c>
      <c r="E349" s="3">
        <v>395</v>
      </c>
      <c r="F349" t="s">
        <v>20</v>
      </c>
      <c r="G349" s="2">
        <v>10</v>
      </c>
      <c r="H349" s="2">
        <v>0</v>
      </c>
      <c r="I349" s="1">
        <f t="shared" si="44"/>
        <v>44926</v>
      </c>
      <c r="J349" s="3">
        <v>3.31</v>
      </c>
      <c r="K349" s="3">
        <v>39.5</v>
      </c>
      <c r="L349" s="3">
        <v>332.46</v>
      </c>
      <c r="M349" s="3">
        <v>62.54</v>
      </c>
      <c r="N349" t="s">
        <v>394</v>
      </c>
      <c r="O349" t="s">
        <v>18</v>
      </c>
      <c r="P349" t="s">
        <v>19</v>
      </c>
      <c r="Q349" t="s">
        <v>395</v>
      </c>
    </row>
    <row r="350" spans="1:17" ht="17.45" customHeight="1" x14ac:dyDescent="0.2">
      <c r="A350" t="s">
        <v>591</v>
      </c>
      <c r="B350" t="s">
        <v>592</v>
      </c>
      <c r="C350" s="1">
        <f>DATE(2014,8,31)</f>
        <v>41882</v>
      </c>
      <c r="D350" s="1">
        <f>DATE(2014,8,31)</f>
        <v>41882</v>
      </c>
      <c r="E350" s="3">
        <v>11525.53</v>
      </c>
      <c r="F350" t="s">
        <v>20</v>
      </c>
      <c r="G350" s="2">
        <v>10</v>
      </c>
      <c r="H350" s="2">
        <v>0</v>
      </c>
      <c r="I350" s="1">
        <f t="shared" si="44"/>
        <v>44926</v>
      </c>
      <c r="J350" s="3">
        <v>96</v>
      </c>
      <c r="K350" s="3">
        <v>1152.55</v>
      </c>
      <c r="L350" s="3">
        <v>9604.58</v>
      </c>
      <c r="M350" s="3">
        <v>1920.95</v>
      </c>
      <c r="N350" t="s">
        <v>394</v>
      </c>
      <c r="O350" t="s">
        <v>18</v>
      </c>
      <c r="P350" t="s">
        <v>19</v>
      </c>
      <c r="Q350" t="s">
        <v>395</v>
      </c>
    </row>
    <row r="351" spans="1:17" ht="17.45" customHeight="1" x14ac:dyDescent="0.2">
      <c r="A351" t="s">
        <v>598</v>
      </c>
      <c r="B351" t="s">
        <v>599</v>
      </c>
      <c r="C351" s="1">
        <f>DATE(2014,9,30)</f>
        <v>41912</v>
      </c>
      <c r="D351" s="1">
        <f>DATE(2014,9,30)</f>
        <v>41912</v>
      </c>
      <c r="E351" s="3">
        <v>15000</v>
      </c>
      <c r="F351" t="s">
        <v>20</v>
      </c>
      <c r="G351" s="2">
        <v>10</v>
      </c>
      <c r="H351" s="2">
        <v>0</v>
      </c>
      <c r="I351" s="1">
        <f t="shared" si="44"/>
        <v>44926</v>
      </c>
      <c r="J351" s="3">
        <v>125</v>
      </c>
      <c r="K351" s="3">
        <v>1500</v>
      </c>
      <c r="L351" s="3">
        <v>12375</v>
      </c>
      <c r="M351" s="3">
        <v>2625</v>
      </c>
      <c r="N351" t="s">
        <v>394</v>
      </c>
      <c r="O351" t="s">
        <v>18</v>
      </c>
      <c r="P351" t="s">
        <v>19</v>
      </c>
      <c r="Q351" t="s">
        <v>395</v>
      </c>
    </row>
    <row r="352" spans="1:17" ht="17.45" customHeight="1" x14ac:dyDescent="0.2">
      <c r="A352" t="s">
        <v>610</v>
      </c>
      <c r="B352" t="s">
        <v>611</v>
      </c>
      <c r="C352" s="1">
        <f>DATE(2014,11,30)</f>
        <v>41973</v>
      </c>
      <c r="D352" s="1">
        <f>DATE(2014,11,30)</f>
        <v>41973</v>
      </c>
      <c r="E352" s="3">
        <v>1895</v>
      </c>
      <c r="F352" t="s">
        <v>20</v>
      </c>
      <c r="G352" s="2">
        <v>10</v>
      </c>
      <c r="H352" s="2">
        <v>0</v>
      </c>
      <c r="I352" s="1">
        <f t="shared" si="44"/>
        <v>44926</v>
      </c>
      <c r="J352" s="3">
        <v>15.81</v>
      </c>
      <c r="K352" s="3">
        <v>189.5</v>
      </c>
      <c r="L352" s="3">
        <v>1531.79</v>
      </c>
      <c r="M352" s="3">
        <v>363.21</v>
      </c>
      <c r="N352" t="s">
        <v>394</v>
      </c>
      <c r="O352" t="s">
        <v>18</v>
      </c>
      <c r="P352" t="s">
        <v>19</v>
      </c>
      <c r="Q352" t="s">
        <v>395</v>
      </c>
    </row>
    <row r="353" spans="1:17" ht="17.45" customHeight="1" x14ac:dyDescent="0.2">
      <c r="A353" t="s">
        <v>626</v>
      </c>
      <c r="B353" t="s">
        <v>627</v>
      </c>
      <c r="C353" s="1">
        <f t="shared" ref="C353:D355" si="45">DATE(2014,12,31)</f>
        <v>42004</v>
      </c>
      <c r="D353" s="1">
        <f t="shared" si="45"/>
        <v>42004</v>
      </c>
      <c r="E353" s="3">
        <v>13352.51</v>
      </c>
      <c r="F353" t="s">
        <v>20</v>
      </c>
      <c r="G353" s="2">
        <v>10</v>
      </c>
      <c r="H353" s="2">
        <v>0</v>
      </c>
      <c r="I353" s="1">
        <f t="shared" si="44"/>
        <v>44926</v>
      </c>
      <c r="J353" s="3">
        <v>111.28</v>
      </c>
      <c r="K353" s="3">
        <v>1335.25</v>
      </c>
      <c r="L353" s="3">
        <v>10682</v>
      </c>
      <c r="M353" s="3">
        <v>2670.51</v>
      </c>
      <c r="N353" t="s">
        <v>394</v>
      </c>
      <c r="O353" t="s">
        <v>18</v>
      </c>
      <c r="P353" t="s">
        <v>19</v>
      </c>
      <c r="Q353" t="s">
        <v>395</v>
      </c>
    </row>
    <row r="354" spans="1:17" ht="17.45" customHeight="1" x14ac:dyDescent="0.2">
      <c r="A354" t="s">
        <v>628</v>
      </c>
      <c r="B354" t="s">
        <v>629</v>
      </c>
      <c r="C354" s="1">
        <f t="shared" si="45"/>
        <v>42004</v>
      </c>
      <c r="D354" s="1">
        <f t="shared" si="45"/>
        <v>42004</v>
      </c>
      <c r="E354" s="3">
        <v>18975</v>
      </c>
      <c r="F354" t="s">
        <v>20</v>
      </c>
      <c r="G354" s="2">
        <v>5</v>
      </c>
      <c r="H354" s="2">
        <v>0</v>
      </c>
      <c r="I354" s="1">
        <f>DATE(2019,12,31)</f>
        <v>43830</v>
      </c>
      <c r="J354" s="3">
        <v>0</v>
      </c>
      <c r="K354" s="3">
        <v>0</v>
      </c>
      <c r="L354" s="3">
        <v>18975</v>
      </c>
      <c r="M354" s="3">
        <v>0</v>
      </c>
      <c r="N354" t="s">
        <v>394</v>
      </c>
      <c r="O354" t="s">
        <v>18</v>
      </c>
      <c r="P354" t="s">
        <v>19</v>
      </c>
      <c r="Q354" t="s">
        <v>395</v>
      </c>
    </row>
    <row r="355" spans="1:17" ht="17.45" customHeight="1" x14ac:dyDescent="0.2">
      <c r="A355" t="s">
        <v>630</v>
      </c>
      <c r="B355" t="s">
        <v>631</v>
      </c>
      <c r="C355" s="1">
        <f t="shared" si="45"/>
        <v>42004</v>
      </c>
      <c r="D355" s="1">
        <f t="shared" si="45"/>
        <v>42004</v>
      </c>
      <c r="E355" s="3">
        <v>1041.8</v>
      </c>
      <c r="F355" t="s">
        <v>20</v>
      </c>
      <c r="G355" s="2">
        <v>5</v>
      </c>
      <c r="H355" s="2">
        <v>0</v>
      </c>
      <c r="I355" s="1">
        <f>DATE(2019,12,31)</f>
        <v>43830</v>
      </c>
      <c r="J355" s="3">
        <v>0</v>
      </c>
      <c r="K355" s="3">
        <v>0</v>
      </c>
      <c r="L355" s="3">
        <v>1041.8</v>
      </c>
      <c r="M355" s="3">
        <v>0</v>
      </c>
      <c r="N355" t="s">
        <v>394</v>
      </c>
      <c r="O355" t="s">
        <v>18</v>
      </c>
      <c r="P355" t="s">
        <v>19</v>
      </c>
      <c r="Q355" t="s">
        <v>395</v>
      </c>
    </row>
    <row r="356" spans="1:17" ht="17.45" customHeight="1" x14ac:dyDescent="0.2">
      <c r="A356" t="s">
        <v>674</v>
      </c>
      <c r="B356" t="s">
        <v>675</v>
      </c>
      <c r="C356" s="1">
        <f>DATE(2015,8,31)</f>
        <v>42247</v>
      </c>
      <c r="D356" s="1">
        <f>DATE(2015,8,31)</f>
        <v>42247</v>
      </c>
      <c r="E356" s="3">
        <v>44510</v>
      </c>
      <c r="F356" t="s">
        <v>20</v>
      </c>
      <c r="G356" s="2">
        <v>10</v>
      </c>
      <c r="H356" s="2">
        <v>0</v>
      </c>
      <c r="I356" s="1">
        <f>DATE(2022,12,31)</f>
        <v>44926</v>
      </c>
      <c r="J356" s="3">
        <v>370.88</v>
      </c>
      <c r="K356" s="3">
        <v>4451</v>
      </c>
      <c r="L356" s="3">
        <v>32640.67</v>
      </c>
      <c r="M356" s="3">
        <v>11869.33</v>
      </c>
      <c r="N356" t="s">
        <v>394</v>
      </c>
      <c r="O356" t="s">
        <v>18</v>
      </c>
      <c r="P356" t="s">
        <v>19</v>
      </c>
      <c r="Q356" t="s">
        <v>395</v>
      </c>
    </row>
    <row r="357" spans="1:17" ht="17.45" customHeight="1" x14ac:dyDescent="0.2">
      <c r="A357" t="s">
        <v>688</v>
      </c>
      <c r="B357" t="s">
        <v>689</v>
      </c>
      <c r="C357" s="1">
        <f>DATE(2015,9,30)</f>
        <v>42277</v>
      </c>
      <c r="D357" s="1">
        <f>DATE(2015,9,30)</f>
        <v>42277</v>
      </c>
      <c r="E357" s="3">
        <v>1228.95</v>
      </c>
      <c r="F357" t="s">
        <v>20</v>
      </c>
      <c r="G357" s="2">
        <v>15</v>
      </c>
      <c r="H357" s="2">
        <v>0</v>
      </c>
      <c r="I357" s="1">
        <f>DATE(2022,12,31)</f>
        <v>44926</v>
      </c>
      <c r="J357" s="3">
        <v>6.8</v>
      </c>
      <c r="K357" s="3">
        <v>81.93</v>
      </c>
      <c r="L357" s="3">
        <v>593.99</v>
      </c>
      <c r="M357" s="3">
        <v>634.96</v>
      </c>
      <c r="N357" t="s">
        <v>394</v>
      </c>
      <c r="O357" t="s">
        <v>18</v>
      </c>
      <c r="P357" t="s">
        <v>19</v>
      </c>
      <c r="Q357" t="s">
        <v>395</v>
      </c>
    </row>
    <row r="358" spans="1:17" ht="17.45" customHeight="1" x14ac:dyDescent="0.2">
      <c r="A358" t="s">
        <v>694</v>
      </c>
      <c r="B358" t="s">
        <v>695</v>
      </c>
      <c r="C358" s="1">
        <f>DATE(2015,11,30)</f>
        <v>42338</v>
      </c>
      <c r="D358" s="1">
        <f>DATE(2015,11,30)</f>
        <v>42338</v>
      </c>
      <c r="E358" s="3">
        <v>17870</v>
      </c>
      <c r="F358" t="s">
        <v>20</v>
      </c>
      <c r="G358" s="2">
        <v>5</v>
      </c>
      <c r="H358" s="2">
        <v>0</v>
      </c>
      <c r="I358" s="1">
        <f>DATE(2020,11,30)</f>
        <v>44165</v>
      </c>
      <c r="J358" s="3">
        <v>0</v>
      </c>
      <c r="K358" s="3">
        <v>0</v>
      </c>
      <c r="L358" s="3">
        <v>17870</v>
      </c>
      <c r="M358" s="3">
        <v>0</v>
      </c>
      <c r="N358" t="s">
        <v>394</v>
      </c>
      <c r="O358" t="s">
        <v>18</v>
      </c>
      <c r="P358" t="s">
        <v>19</v>
      </c>
      <c r="Q358" t="s">
        <v>395</v>
      </c>
    </row>
    <row r="359" spans="1:17" ht="17.45" customHeight="1" x14ac:dyDescent="0.2">
      <c r="A359" t="s">
        <v>702</v>
      </c>
      <c r="B359" t="s">
        <v>703</v>
      </c>
      <c r="C359" s="1">
        <f>DATE(2015,12,31)</f>
        <v>42369</v>
      </c>
      <c r="D359" s="1">
        <f>DATE(2015,12,31)</f>
        <v>42369</v>
      </c>
      <c r="E359" s="3">
        <v>26124.78</v>
      </c>
      <c r="F359" t="s">
        <v>20</v>
      </c>
      <c r="G359" s="2">
        <v>10</v>
      </c>
      <c r="H359" s="2">
        <v>0</v>
      </c>
      <c r="I359" s="1">
        <f>DATE(2022,12,31)</f>
        <v>44926</v>
      </c>
      <c r="J359" s="3">
        <v>217.67</v>
      </c>
      <c r="K359" s="3">
        <v>2612.48</v>
      </c>
      <c r="L359" s="3">
        <v>18287.36</v>
      </c>
      <c r="M359" s="3">
        <v>7837.42</v>
      </c>
      <c r="N359" t="s">
        <v>394</v>
      </c>
      <c r="O359" t="s">
        <v>18</v>
      </c>
      <c r="P359" t="s">
        <v>19</v>
      </c>
      <c r="Q359" t="s">
        <v>395</v>
      </c>
    </row>
    <row r="360" spans="1:17" ht="17.45" customHeight="1" x14ac:dyDescent="0.2">
      <c r="A360" t="s">
        <v>708</v>
      </c>
      <c r="B360" t="s">
        <v>709</v>
      </c>
      <c r="C360" s="1">
        <f>DATE(2016,1,31)</f>
        <v>42400</v>
      </c>
      <c r="D360" s="1">
        <f>DATE(2016,1,31)</f>
        <v>42400</v>
      </c>
      <c r="E360" s="3">
        <v>98</v>
      </c>
      <c r="F360" t="s">
        <v>20</v>
      </c>
      <c r="G360" s="2">
        <v>10</v>
      </c>
      <c r="H360" s="2">
        <v>0</v>
      </c>
      <c r="I360" s="1">
        <f>DATE(2022,12,31)</f>
        <v>44926</v>
      </c>
      <c r="J360" s="3">
        <v>0.78</v>
      </c>
      <c r="K360" s="3">
        <v>9.8000000000000007</v>
      </c>
      <c r="L360" s="3">
        <v>67.78</v>
      </c>
      <c r="M360" s="3">
        <v>30.22</v>
      </c>
      <c r="N360" t="s">
        <v>394</v>
      </c>
      <c r="O360" t="s">
        <v>18</v>
      </c>
      <c r="P360" t="s">
        <v>19</v>
      </c>
      <c r="Q360" t="s">
        <v>395</v>
      </c>
    </row>
    <row r="361" spans="1:17" ht="17.45" customHeight="1" x14ac:dyDescent="0.2">
      <c r="A361" t="s">
        <v>718</v>
      </c>
      <c r="B361" t="s">
        <v>719</v>
      </c>
      <c r="C361" s="1">
        <f>DATE(2016,1,31)</f>
        <v>42400</v>
      </c>
      <c r="D361" s="1">
        <f>DATE(2016,1,31)</f>
        <v>42400</v>
      </c>
      <c r="E361" s="3">
        <v>6316.93</v>
      </c>
      <c r="F361" t="s">
        <v>20</v>
      </c>
      <c r="G361" s="2">
        <v>10</v>
      </c>
      <c r="H361" s="2">
        <v>0</v>
      </c>
      <c r="I361" s="1">
        <f>DATE(2022,12,31)</f>
        <v>44926</v>
      </c>
      <c r="J361" s="3">
        <v>52.65</v>
      </c>
      <c r="K361" s="3">
        <v>631.69000000000005</v>
      </c>
      <c r="L361" s="3">
        <v>4369.1899999999996</v>
      </c>
      <c r="M361" s="3">
        <v>1947.74</v>
      </c>
      <c r="N361" t="s">
        <v>394</v>
      </c>
      <c r="O361" t="s">
        <v>18</v>
      </c>
      <c r="P361" t="s">
        <v>19</v>
      </c>
      <c r="Q361" t="s">
        <v>395</v>
      </c>
    </row>
    <row r="362" spans="1:17" ht="17.45" customHeight="1" x14ac:dyDescent="0.2">
      <c r="A362" t="s">
        <v>742</v>
      </c>
      <c r="B362" t="s">
        <v>743</v>
      </c>
      <c r="C362" s="1">
        <f>DATE(2016,3,1)</f>
        <v>42430</v>
      </c>
      <c r="D362" s="1">
        <f>DATE(2016,3,1)</f>
        <v>42430</v>
      </c>
      <c r="E362" s="3">
        <v>56586.29</v>
      </c>
      <c r="F362" t="s">
        <v>20</v>
      </c>
      <c r="G362" s="2">
        <v>5</v>
      </c>
      <c r="H362" s="2">
        <v>0</v>
      </c>
      <c r="I362" s="1">
        <f>DATE(2021,3,1)</f>
        <v>44256</v>
      </c>
      <c r="J362" s="3">
        <v>0</v>
      </c>
      <c r="K362" s="3">
        <v>0</v>
      </c>
      <c r="L362" s="3">
        <v>56586.29</v>
      </c>
      <c r="M362" s="3">
        <v>0</v>
      </c>
      <c r="N362" t="s">
        <v>744</v>
      </c>
      <c r="O362" t="s">
        <v>18</v>
      </c>
      <c r="P362" t="s">
        <v>19</v>
      </c>
      <c r="Q362" t="s">
        <v>395</v>
      </c>
    </row>
    <row r="363" spans="1:17" ht="17.45" customHeight="1" x14ac:dyDescent="0.2">
      <c r="A363" t="s">
        <v>745</v>
      </c>
      <c r="B363" t="s">
        <v>746</v>
      </c>
      <c r="C363" s="1">
        <f>DATE(2016,3,31)</f>
        <v>42460</v>
      </c>
      <c r="D363" s="1">
        <f>DATE(2016,3,31)</f>
        <v>42460</v>
      </c>
      <c r="E363" s="3">
        <v>14535.61</v>
      </c>
      <c r="F363" t="s">
        <v>20</v>
      </c>
      <c r="G363" s="2">
        <v>10</v>
      </c>
      <c r="H363" s="2">
        <v>0</v>
      </c>
      <c r="I363" s="1">
        <f t="shared" ref="I363:I373" si="46">DATE(2022,12,31)</f>
        <v>44926</v>
      </c>
      <c r="J363" s="3">
        <v>121.13</v>
      </c>
      <c r="K363" s="3">
        <v>1453.56</v>
      </c>
      <c r="L363" s="3">
        <v>9811.5300000000007</v>
      </c>
      <c r="M363" s="3">
        <v>4724.08</v>
      </c>
      <c r="N363" t="s">
        <v>394</v>
      </c>
      <c r="O363" t="s">
        <v>18</v>
      </c>
      <c r="P363" t="s">
        <v>19</v>
      </c>
      <c r="Q363" t="s">
        <v>395</v>
      </c>
    </row>
    <row r="364" spans="1:17" ht="17.45" customHeight="1" x14ac:dyDescent="0.2">
      <c r="A364" t="s">
        <v>828</v>
      </c>
      <c r="B364" t="s">
        <v>829</v>
      </c>
      <c r="C364" s="1">
        <f>DATE(2017,1,31)</f>
        <v>42766</v>
      </c>
      <c r="D364" s="1">
        <f>DATE(2017,1,31)</f>
        <v>42766</v>
      </c>
      <c r="E364" s="3">
        <v>1381.34</v>
      </c>
      <c r="F364" t="s">
        <v>20</v>
      </c>
      <c r="G364" s="2">
        <v>10</v>
      </c>
      <c r="H364" s="2">
        <v>0</v>
      </c>
      <c r="I364" s="1">
        <f t="shared" si="46"/>
        <v>44926</v>
      </c>
      <c r="J364" s="3">
        <v>11.52</v>
      </c>
      <c r="K364" s="3">
        <v>138.13</v>
      </c>
      <c r="L364" s="3">
        <v>817.27</v>
      </c>
      <c r="M364" s="3">
        <v>564.07000000000005</v>
      </c>
      <c r="N364" t="s">
        <v>394</v>
      </c>
      <c r="O364" t="s">
        <v>18</v>
      </c>
      <c r="P364" t="s">
        <v>19</v>
      </c>
      <c r="Q364" t="s">
        <v>395</v>
      </c>
    </row>
    <row r="365" spans="1:17" ht="17.45" customHeight="1" x14ac:dyDescent="0.2">
      <c r="A365" t="s">
        <v>834</v>
      </c>
      <c r="B365" t="s">
        <v>835</v>
      </c>
      <c r="C365" s="1">
        <f>DATE(2017,3,31)</f>
        <v>42825</v>
      </c>
      <c r="D365" s="1">
        <f>DATE(2017,3,31)</f>
        <v>42825</v>
      </c>
      <c r="E365" s="3">
        <v>2228.62</v>
      </c>
      <c r="F365" t="s">
        <v>20</v>
      </c>
      <c r="G365" s="2">
        <v>10</v>
      </c>
      <c r="H365" s="2">
        <v>0</v>
      </c>
      <c r="I365" s="1">
        <f t="shared" si="46"/>
        <v>44926</v>
      </c>
      <c r="J365" s="3">
        <v>18.59</v>
      </c>
      <c r="K365" s="3">
        <v>222.86</v>
      </c>
      <c r="L365" s="3">
        <v>1281.45</v>
      </c>
      <c r="M365" s="3">
        <v>947.17</v>
      </c>
      <c r="N365" t="s">
        <v>394</v>
      </c>
      <c r="O365" t="s">
        <v>18</v>
      </c>
      <c r="P365" t="s">
        <v>19</v>
      </c>
      <c r="Q365" t="s">
        <v>395</v>
      </c>
    </row>
    <row r="366" spans="1:17" ht="17.45" customHeight="1" x14ac:dyDescent="0.2">
      <c r="A366" t="s">
        <v>848</v>
      </c>
      <c r="B366" t="s">
        <v>849</v>
      </c>
      <c r="C366" s="1">
        <f>DATE(2017,10,31)</f>
        <v>43039</v>
      </c>
      <c r="D366" s="1">
        <f>DATE(2017,10,31)</f>
        <v>43039</v>
      </c>
      <c r="E366" s="3">
        <v>11299.31</v>
      </c>
      <c r="F366" t="s">
        <v>20</v>
      </c>
      <c r="G366" s="2">
        <v>10</v>
      </c>
      <c r="H366" s="2">
        <v>0</v>
      </c>
      <c r="I366" s="1">
        <f t="shared" si="46"/>
        <v>44926</v>
      </c>
      <c r="J366" s="3">
        <v>94.17</v>
      </c>
      <c r="K366" s="3">
        <v>1129.93</v>
      </c>
      <c r="L366" s="3">
        <v>5837.97</v>
      </c>
      <c r="M366" s="3">
        <v>5461.34</v>
      </c>
      <c r="N366" t="s">
        <v>394</v>
      </c>
      <c r="O366" t="s">
        <v>18</v>
      </c>
      <c r="P366" t="s">
        <v>19</v>
      </c>
      <c r="Q366" t="s">
        <v>395</v>
      </c>
    </row>
    <row r="367" spans="1:17" ht="17.45" customHeight="1" x14ac:dyDescent="0.2">
      <c r="A367" t="s">
        <v>868</v>
      </c>
      <c r="B367" t="s">
        <v>869</v>
      </c>
      <c r="C367" s="1">
        <f>DATE(2018,2,28)</f>
        <v>43159</v>
      </c>
      <c r="D367" s="1">
        <f>DATE(2018,2,28)</f>
        <v>43159</v>
      </c>
      <c r="E367" s="3">
        <v>1377</v>
      </c>
      <c r="F367" t="s">
        <v>20</v>
      </c>
      <c r="G367" s="2">
        <v>10</v>
      </c>
      <c r="H367" s="2">
        <v>0</v>
      </c>
      <c r="I367" s="1">
        <f t="shared" si="46"/>
        <v>44926</v>
      </c>
      <c r="J367" s="3">
        <v>11.42</v>
      </c>
      <c r="K367" s="3">
        <v>137.69999999999999</v>
      </c>
      <c r="L367" s="3">
        <v>665.55</v>
      </c>
      <c r="M367" s="3">
        <v>711.45</v>
      </c>
      <c r="N367" t="s">
        <v>394</v>
      </c>
      <c r="O367" t="s">
        <v>18</v>
      </c>
      <c r="P367" t="s">
        <v>19</v>
      </c>
      <c r="Q367" t="s">
        <v>395</v>
      </c>
    </row>
    <row r="368" spans="1:17" ht="17.45" customHeight="1" x14ac:dyDescent="0.2">
      <c r="A368" t="s">
        <v>892</v>
      </c>
      <c r="B368" t="s">
        <v>893</v>
      </c>
      <c r="C368" s="1">
        <f>DATE(2019,1,31)</f>
        <v>43496</v>
      </c>
      <c r="D368" s="1">
        <f>DATE(2019,1,31)</f>
        <v>43496</v>
      </c>
      <c r="E368" s="3">
        <v>2569.73</v>
      </c>
      <c r="F368" t="s">
        <v>20</v>
      </c>
      <c r="G368" s="2">
        <v>10</v>
      </c>
      <c r="H368" s="2">
        <v>0</v>
      </c>
      <c r="I368" s="1">
        <f t="shared" si="46"/>
        <v>44926</v>
      </c>
      <c r="J368" s="3">
        <v>21.46</v>
      </c>
      <c r="K368" s="3">
        <v>256.97000000000003</v>
      </c>
      <c r="L368" s="3">
        <v>1006.47</v>
      </c>
      <c r="M368" s="3">
        <v>1563.26</v>
      </c>
      <c r="N368" t="s">
        <v>394</v>
      </c>
      <c r="O368" t="s">
        <v>18</v>
      </c>
      <c r="P368" t="s">
        <v>19</v>
      </c>
      <c r="Q368" t="s">
        <v>395</v>
      </c>
    </row>
    <row r="369" spans="1:17" ht="17.45" customHeight="1" x14ac:dyDescent="0.2">
      <c r="A369" t="s">
        <v>902</v>
      </c>
      <c r="B369" t="s">
        <v>903</v>
      </c>
      <c r="C369" s="1">
        <f>DATE(2019,2,28)</f>
        <v>43524</v>
      </c>
      <c r="D369" s="1">
        <f>DATE(2019,2,28)</f>
        <v>43524</v>
      </c>
      <c r="E369" s="3">
        <v>7037.3</v>
      </c>
      <c r="F369" t="s">
        <v>20</v>
      </c>
      <c r="G369" s="2">
        <v>10</v>
      </c>
      <c r="H369" s="2">
        <v>0</v>
      </c>
      <c r="I369" s="1">
        <f t="shared" si="46"/>
        <v>44926</v>
      </c>
      <c r="J369" s="3">
        <v>58.69</v>
      </c>
      <c r="K369" s="3">
        <v>703.73</v>
      </c>
      <c r="L369" s="3">
        <v>2697.63</v>
      </c>
      <c r="M369" s="3">
        <v>4339.67</v>
      </c>
      <c r="N369" t="s">
        <v>394</v>
      </c>
      <c r="O369" t="s">
        <v>18</v>
      </c>
      <c r="P369" t="s">
        <v>19</v>
      </c>
      <c r="Q369" t="s">
        <v>395</v>
      </c>
    </row>
    <row r="370" spans="1:17" ht="17.45" customHeight="1" x14ac:dyDescent="0.2">
      <c r="A370" t="s">
        <v>904</v>
      </c>
      <c r="B370" t="s">
        <v>905</v>
      </c>
      <c r="C370" s="1">
        <f>DATE(2019,3,31)</f>
        <v>43555</v>
      </c>
      <c r="D370" s="1">
        <f>DATE(2019,3,31)</f>
        <v>43555</v>
      </c>
      <c r="E370" s="3">
        <v>1984.09</v>
      </c>
      <c r="F370" t="s">
        <v>20</v>
      </c>
      <c r="G370" s="2">
        <v>10</v>
      </c>
      <c r="H370" s="2">
        <v>0</v>
      </c>
      <c r="I370" s="1">
        <f t="shared" si="46"/>
        <v>44926</v>
      </c>
      <c r="J370" s="3">
        <v>16.579999999999998</v>
      </c>
      <c r="K370" s="3">
        <v>198.41</v>
      </c>
      <c r="L370" s="3">
        <v>744.04</v>
      </c>
      <c r="M370" s="3">
        <v>1240.05</v>
      </c>
      <c r="N370" t="s">
        <v>394</v>
      </c>
      <c r="O370" t="s">
        <v>18</v>
      </c>
      <c r="P370" t="s">
        <v>19</v>
      </c>
      <c r="Q370" t="s">
        <v>395</v>
      </c>
    </row>
    <row r="371" spans="1:17" ht="17.45" customHeight="1" x14ac:dyDescent="0.2">
      <c r="A371" t="s">
        <v>914</v>
      </c>
      <c r="B371" t="s">
        <v>915</v>
      </c>
      <c r="C371" s="1">
        <f>DATE(2019,5,31)</f>
        <v>43616</v>
      </c>
      <c r="D371" s="1">
        <f>DATE(2019,5,31)</f>
        <v>43616</v>
      </c>
      <c r="E371" s="3">
        <v>3085</v>
      </c>
      <c r="F371" t="s">
        <v>20</v>
      </c>
      <c r="G371" s="2">
        <v>10</v>
      </c>
      <c r="H371" s="2">
        <v>0</v>
      </c>
      <c r="I371" s="1">
        <f t="shared" si="46"/>
        <v>44926</v>
      </c>
      <c r="J371" s="3">
        <v>25.69</v>
      </c>
      <c r="K371" s="3">
        <v>308.5</v>
      </c>
      <c r="L371" s="3">
        <v>1105.46</v>
      </c>
      <c r="M371" s="3">
        <v>1979.54</v>
      </c>
      <c r="N371" t="s">
        <v>394</v>
      </c>
      <c r="O371" t="s">
        <v>18</v>
      </c>
      <c r="P371" t="s">
        <v>19</v>
      </c>
      <c r="Q371" t="s">
        <v>395</v>
      </c>
    </row>
    <row r="372" spans="1:17" ht="17.45" customHeight="1" x14ac:dyDescent="0.2">
      <c r="A372" t="s">
        <v>1002</v>
      </c>
      <c r="B372" t="s">
        <v>1003</v>
      </c>
      <c r="C372" s="1">
        <f>DATE(2020,3,31)</f>
        <v>43921</v>
      </c>
      <c r="D372" s="1">
        <f>DATE(2020,3,31)</f>
        <v>43921</v>
      </c>
      <c r="E372" s="3">
        <v>32862.32</v>
      </c>
      <c r="F372" t="s">
        <v>20</v>
      </c>
      <c r="G372" s="2">
        <v>10</v>
      </c>
      <c r="H372" s="2">
        <v>0</v>
      </c>
      <c r="I372" s="1">
        <f t="shared" si="46"/>
        <v>44926</v>
      </c>
      <c r="J372" s="3">
        <v>273.88</v>
      </c>
      <c r="K372" s="3">
        <v>3286.23</v>
      </c>
      <c r="L372" s="3">
        <v>9037.1299999999992</v>
      </c>
      <c r="M372" s="3">
        <v>23825.19</v>
      </c>
      <c r="N372" t="s">
        <v>394</v>
      </c>
      <c r="O372" t="s">
        <v>18</v>
      </c>
      <c r="P372" t="s">
        <v>19</v>
      </c>
      <c r="Q372" t="s">
        <v>395</v>
      </c>
    </row>
    <row r="373" spans="1:17" ht="17.45" customHeight="1" x14ac:dyDescent="0.2">
      <c r="A373" t="s">
        <v>1078</v>
      </c>
      <c r="B373" t="s">
        <v>1079</v>
      </c>
      <c r="C373" s="1">
        <f>DATE(2022,6,30)</f>
        <v>44742</v>
      </c>
      <c r="D373" s="1">
        <f>DATE(2022,6,30)</f>
        <v>44742</v>
      </c>
      <c r="E373" s="3">
        <v>3410</v>
      </c>
      <c r="F373" t="s">
        <v>20</v>
      </c>
      <c r="G373" s="2">
        <v>5</v>
      </c>
      <c r="H373" s="2">
        <v>0</v>
      </c>
      <c r="I373" s="1">
        <f t="shared" si="46"/>
        <v>44926</v>
      </c>
      <c r="J373" s="3">
        <v>56.85</v>
      </c>
      <c r="K373" s="3">
        <v>341</v>
      </c>
      <c r="L373" s="3">
        <v>341</v>
      </c>
      <c r="M373" s="3">
        <v>3069</v>
      </c>
      <c r="N373" t="s">
        <v>744</v>
      </c>
      <c r="O373" t="s">
        <v>18</v>
      </c>
      <c r="P373" t="s">
        <v>19</v>
      </c>
      <c r="Q373" t="s">
        <v>395</v>
      </c>
    </row>
    <row r="374" spans="1:17" ht="17.45" customHeight="1" x14ac:dyDescent="0.2">
      <c r="E374" s="4">
        <f>SUM(E321:E373)</f>
        <v>548943.34</v>
      </c>
      <c r="J374" s="4">
        <f t="shared" ref="J374:M374" si="47">SUM(J321:J373)</f>
        <v>2024.81</v>
      </c>
      <c r="K374" s="4">
        <f t="shared" si="47"/>
        <v>24973.61</v>
      </c>
      <c r="L374" s="4">
        <f t="shared" si="47"/>
        <v>465598.16</v>
      </c>
      <c r="M374" s="4">
        <f t="shared" si="47"/>
        <v>83345.180000000008</v>
      </c>
    </row>
    <row r="375" spans="1:17" ht="17.45" customHeight="1" x14ac:dyDescent="0.2">
      <c r="A375" t="s">
        <v>448</v>
      </c>
      <c r="B375" t="s">
        <v>449</v>
      </c>
      <c r="C375" s="1">
        <f>DATE(2002,1,1)</f>
        <v>37257</v>
      </c>
      <c r="D375" s="1">
        <f>DATE(2002,1,1)</f>
        <v>37257</v>
      </c>
      <c r="E375" s="3">
        <v>78324</v>
      </c>
      <c r="F375" t="s">
        <v>20</v>
      </c>
      <c r="G375" s="2">
        <v>35</v>
      </c>
      <c r="H375" s="2">
        <v>0</v>
      </c>
      <c r="I375" s="1">
        <f>DATE(2014,6,30)</f>
        <v>41820</v>
      </c>
      <c r="J375" s="3">
        <v>0</v>
      </c>
      <c r="K375" s="3">
        <v>0</v>
      </c>
      <c r="L375" s="3">
        <v>78324</v>
      </c>
      <c r="M375" s="3">
        <v>0</v>
      </c>
      <c r="N375" t="s">
        <v>450</v>
      </c>
      <c r="O375" t="s">
        <v>18</v>
      </c>
      <c r="P375" t="s">
        <v>19</v>
      </c>
      <c r="Q375" t="s">
        <v>451</v>
      </c>
    </row>
    <row r="376" spans="1:17" ht="17.45" customHeight="1" x14ac:dyDescent="0.2">
      <c r="A376" t="s">
        <v>452</v>
      </c>
      <c r="B376" t="s">
        <v>453</v>
      </c>
      <c r="C376" s="1">
        <f>DATE(2008,7,15)</f>
        <v>39644</v>
      </c>
      <c r="D376" s="1">
        <f>DATE(2008,7,15)</f>
        <v>39644</v>
      </c>
      <c r="E376" s="3">
        <v>1582.5</v>
      </c>
      <c r="F376" t="s">
        <v>20</v>
      </c>
      <c r="G376" s="2">
        <v>10</v>
      </c>
      <c r="H376" s="2">
        <v>0</v>
      </c>
      <c r="I376" s="1">
        <f>DATE(2018,6,30)</f>
        <v>43281</v>
      </c>
      <c r="J376" s="3">
        <v>0</v>
      </c>
      <c r="K376" s="3">
        <v>0</v>
      </c>
      <c r="L376" s="3">
        <v>1582.5</v>
      </c>
      <c r="M376" s="3">
        <v>0</v>
      </c>
      <c r="N376" t="s">
        <v>450</v>
      </c>
      <c r="O376" t="s">
        <v>18</v>
      </c>
      <c r="P376" t="s">
        <v>19</v>
      </c>
      <c r="Q376" t="s">
        <v>451</v>
      </c>
    </row>
    <row r="377" spans="1:17" ht="17.45" customHeight="1" x14ac:dyDescent="0.2">
      <c r="A377" t="s">
        <v>454</v>
      </c>
      <c r="B377" t="s">
        <v>455</v>
      </c>
      <c r="C377" s="1">
        <f>DATE(2009,1,1)</f>
        <v>39814</v>
      </c>
      <c r="D377" s="1">
        <f>DATE(2009,1,1)</f>
        <v>39814</v>
      </c>
      <c r="E377" s="3">
        <v>11614.96</v>
      </c>
      <c r="F377" t="s">
        <v>20</v>
      </c>
      <c r="G377" s="2">
        <v>25</v>
      </c>
      <c r="H377" s="2">
        <v>0</v>
      </c>
      <c r="I377" s="1">
        <f>DATE(2022,12,31)</f>
        <v>44926</v>
      </c>
      <c r="J377" s="3">
        <v>38.68</v>
      </c>
      <c r="K377" s="3">
        <v>464.6</v>
      </c>
      <c r="L377" s="3">
        <v>6504.4</v>
      </c>
      <c r="M377" s="3">
        <v>5110.5600000000004</v>
      </c>
      <c r="N377" t="s">
        <v>450</v>
      </c>
      <c r="O377" t="s">
        <v>18</v>
      </c>
      <c r="P377" t="s">
        <v>19</v>
      </c>
      <c r="Q377" t="s">
        <v>451</v>
      </c>
    </row>
    <row r="378" spans="1:17" ht="17.45" customHeight="1" x14ac:dyDescent="0.2">
      <c r="A378" t="s">
        <v>456</v>
      </c>
      <c r="B378" t="s">
        <v>457</v>
      </c>
      <c r="C378" s="1">
        <f>DATE(2010,2,1)</f>
        <v>40210</v>
      </c>
      <c r="D378" s="1">
        <f>DATE(2010,2,1)</f>
        <v>40210</v>
      </c>
      <c r="E378" s="3">
        <v>1017.24</v>
      </c>
      <c r="F378" t="s">
        <v>20</v>
      </c>
      <c r="G378" s="2">
        <v>5</v>
      </c>
      <c r="H378" s="2">
        <v>0</v>
      </c>
      <c r="I378" s="1">
        <f>DATE(2015,1,31)</f>
        <v>42035</v>
      </c>
      <c r="J378" s="3">
        <v>0</v>
      </c>
      <c r="K378" s="3">
        <v>0</v>
      </c>
      <c r="L378" s="3">
        <v>1017.24</v>
      </c>
      <c r="M378" s="3">
        <v>0</v>
      </c>
      <c r="N378" t="s">
        <v>450</v>
      </c>
      <c r="O378" t="s">
        <v>18</v>
      </c>
      <c r="P378" t="s">
        <v>19</v>
      </c>
      <c r="Q378" t="s">
        <v>451</v>
      </c>
    </row>
    <row r="379" spans="1:17" ht="17.45" customHeight="1" x14ac:dyDescent="0.2">
      <c r="A379" t="s">
        <v>458</v>
      </c>
      <c r="B379" t="s">
        <v>459</v>
      </c>
      <c r="C379" s="1">
        <f>DATE(2010,8,31)</f>
        <v>40421</v>
      </c>
      <c r="D379" s="1">
        <f>DATE(2010,8,31)</f>
        <v>40421</v>
      </c>
      <c r="E379" s="3">
        <v>6368.52</v>
      </c>
      <c r="F379" t="s">
        <v>20</v>
      </c>
      <c r="G379" s="2">
        <v>25</v>
      </c>
      <c r="H379" s="2">
        <v>0</v>
      </c>
      <c r="I379" s="1">
        <f t="shared" ref="I379:I384" si="48">DATE(2022,12,31)</f>
        <v>44926</v>
      </c>
      <c r="J379" s="3">
        <v>21.21</v>
      </c>
      <c r="K379" s="3">
        <v>254.74</v>
      </c>
      <c r="L379" s="3">
        <v>3141.79</v>
      </c>
      <c r="M379" s="3">
        <v>3226.73</v>
      </c>
      <c r="N379" t="s">
        <v>450</v>
      </c>
      <c r="O379" t="s">
        <v>18</v>
      </c>
      <c r="P379" t="s">
        <v>19</v>
      </c>
      <c r="Q379" t="s">
        <v>451</v>
      </c>
    </row>
    <row r="380" spans="1:17" ht="17.45" customHeight="1" x14ac:dyDescent="0.2">
      <c r="A380" t="s">
        <v>460</v>
      </c>
      <c r="B380" t="s">
        <v>461</v>
      </c>
      <c r="C380" s="1">
        <f>DATE(2011,5,31)</f>
        <v>40694</v>
      </c>
      <c r="D380" s="1">
        <f>DATE(2011,5,31)</f>
        <v>40694</v>
      </c>
      <c r="E380" s="3">
        <v>19044.150000000001</v>
      </c>
      <c r="F380" t="s">
        <v>20</v>
      </c>
      <c r="G380" s="2">
        <v>35</v>
      </c>
      <c r="H380" s="2">
        <v>0</v>
      </c>
      <c r="I380" s="1">
        <f t="shared" si="48"/>
        <v>44926</v>
      </c>
      <c r="J380" s="3">
        <v>45.38</v>
      </c>
      <c r="K380" s="3">
        <v>544.12</v>
      </c>
      <c r="L380" s="3">
        <v>6302.72</v>
      </c>
      <c r="M380" s="3">
        <v>12741.43</v>
      </c>
      <c r="N380" t="s">
        <v>450</v>
      </c>
      <c r="O380" t="s">
        <v>18</v>
      </c>
      <c r="P380" t="s">
        <v>19</v>
      </c>
      <c r="Q380" t="s">
        <v>451</v>
      </c>
    </row>
    <row r="381" spans="1:17" ht="17.45" customHeight="1" x14ac:dyDescent="0.2">
      <c r="A381" t="s">
        <v>858</v>
      </c>
      <c r="B381" t="s">
        <v>859</v>
      </c>
      <c r="C381" s="1">
        <f>DATE(2017,12,31)</f>
        <v>43100</v>
      </c>
      <c r="D381" s="1">
        <f>DATE(2017,12,31)</f>
        <v>43100</v>
      </c>
      <c r="E381" s="3">
        <v>424077.48</v>
      </c>
      <c r="F381" t="s">
        <v>20</v>
      </c>
      <c r="G381" s="2">
        <v>25</v>
      </c>
      <c r="H381" s="2">
        <v>0</v>
      </c>
      <c r="I381" s="1">
        <f t="shared" si="48"/>
        <v>44926</v>
      </c>
      <c r="J381" s="3">
        <v>1413.61</v>
      </c>
      <c r="K381" s="3">
        <v>16963.099999999999</v>
      </c>
      <c r="L381" s="3">
        <v>84815.5</v>
      </c>
      <c r="M381" s="3">
        <v>339261.98</v>
      </c>
      <c r="N381" t="s">
        <v>450</v>
      </c>
      <c r="O381" t="s">
        <v>18</v>
      </c>
      <c r="P381" t="s">
        <v>19</v>
      </c>
      <c r="Q381" t="s">
        <v>451</v>
      </c>
    </row>
    <row r="382" spans="1:17" ht="17.45" customHeight="1" x14ac:dyDescent="0.2">
      <c r="A382" t="s">
        <v>860</v>
      </c>
      <c r="B382" t="s">
        <v>861</v>
      </c>
      <c r="C382" s="1">
        <f>DATE(2017,12,31)</f>
        <v>43100</v>
      </c>
      <c r="D382" s="1">
        <f>DATE(2017,12,31)</f>
        <v>43100</v>
      </c>
      <c r="E382" s="3">
        <v>240434.88</v>
      </c>
      <c r="F382" t="s">
        <v>20</v>
      </c>
      <c r="G382" s="2">
        <v>25</v>
      </c>
      <c r="H382" s="2">
        <v>0</v>
      </c>
      <c r="I382" s="1">
        <f t="shared" si="48"/>
        <v>44926</v>
      </c>
      <c r="J382" s="3">
        <v>801.45</v>
      </c>
      <c r="K382" s="3">
        <v>9617.4</v>
      </c>
      <c r="L382" s="3">
        <v>48087</v>
      </c>
      <c r="M382" s="3">
        <v>192347.88</v>
      </c>
      <c r="N382" t="s">
        <v>450</v>
      </c>
      <c r="O382" t="s">
        <v>18</v>
      </c>
      <c r="P382" t="s">
        <v>19</v>
      </c>
      <c r="Q382" t="s">
        <v>451</v>
      </c>
    </row>
    <row r="383" spans="1:17" ht="17.45" customHeight="1" x14ac:dyDescent="0.2">
      <c r="A383" t="s">
        <v>1040</v>
      </c>
      <c r="B383" t="s">
        <v>1041</v>
      </c>
      <c r="C383" s="1">
        <f>DATE(2021,11,30)</f>
        <v>44530</v>
      </c>
      <c r="D383" s="1">
        <f>DATE(2021,11,30)</f>
        <v>44530</v>
      </c>
      <c r="E383" s="3">
        <v>44914.68</v>
      </c>
      <c r="F383" t="s">
        <v>20</v>
      </c>
      <c r="G383" s="2">
        <v>25</v>
      </c>
      <c r="H383" s="2">
        <v>0</v>
      </c>
      <c r="I383" s="1">
        <f t="shared" si="48"/>
        <v>44926</v>
      </c>
      <c r="J383" s="3">
        <v>149.66999999999999</v>
      </c>
      <c r="K383" s="3">
        <v>1796.59</v>
      </c>
      <c r="L383" s="3">
        <v>1946.31</v>
      </c>
      <c r="M383" s="3">
        <v>42968.37</v>
      </c>
      <c r="N383" t="s">
        <v>450</v>
      </c>
      <c r="O383" t="s">
        <v>18</v>
      </c>
      <c r="P383" t="s">
        <v>19</v>
      </c>
      <c r="Q383" t="s">
        <v>451</v>
      </c>
    </row>
    <row r="384" spans="1:17" ht="17.45" customHeight="1" x14ac:dyDescent="0.2">
      <c r="A384" t="s">
        <v>1056</v>
      </c>
      <c r="B384" t="s">
        <v>1057</v>
      </c>
      <c r="C384" s="1">
        <f>DATE(2022,2,28)</f>
        <v>44620</v>
      </c>
      <c r="D384" s="1">
        <f>DATE(2022,2,28)</f>
        <v>44620</v>
      </c>
      <c r="E384" s="3">
        <v>274219.55</v>
      </c>
      <c r="F384" t="s">
        <v>20</v>
      </c>
      <c r="G384" s="2">
        <v>25</v>
      </c>
      <c r="H384" s="2">
        <v>0</v>
      </c>
      <c r="I384" s="1">
        <f t="shared" si="48"/>
        <v>44926</v>
      </c>
      <c r="J384" s="3">
        <v>914.02</v>
      </c>
      <c r="K384" s="3">
        <v>9140.65</v>
      </c>
      <c r="L384" s="3">
        <v>9140.65</v>
      </c>
      <c r="M384" s="3">
        <v>265078.90000000002</v>
      </c>
      <c r="N384" t="s">
        <v>450</v>
      </c>
      <c r="O384" t="s">
        <v>18</v>
      </c>
      <c r="P384" t="s">
        <v>19</v>
      </c>
      <c r="Q384" t="s">
        <v>451</v>
      </c>
    </row>
    <row r="385" spans="1:17" ht="17.45" customHeight="1" x14ac:dyDescent="0.2">
      <c r="E385" s="4">
        <f>SUM(E375:E384)</f>
        <v>1101597.96</v>
      </c>
      <c r="J385" s="4">
        <f t="shared" ref="J385:M385" si="49">SUM(J375:J384)</f>
        <v>3384.02</v>
      </c>
      <c r="K385" s="4">
        <f t="shared" si="49"/>
        <v>38781.199999999997</v>
      </c>
      <c r="L385" s="4">
        <f t="shared" si="49"/>
        <v>240862.11</v>
      </c>
      <c r="M385" s="4">
        <f t="shared" si="49"/>
        <v>860735.85</v>
      </c>
    </row>
    <row r="386" spans="1:17" ht="17.45" customHeight="1" x14ac:dyDescent="0.2">
      <c r="A386" t="s">
        <v>462</v>
      </c>
      <c r="B386" t="s">
        <v>463</v>
      </c>
      <c r="C386" s="1">
        <f>DATE(2001,1,1)</f>
        <v>36892</v>
      </c>
      <c r="D386" s="1">
        <f>DATE(2001,1,1)</f>
        <v>36892</v>
      </c>
      <c r="E386" s="3">
        <v>4500</v>
      </c>
      <c r="F386" t="s">
        <v>21</v>
      </c>
      <c r="G386" s="2">
        <v>13</v>
      </c>
      <c r="H386" s="2">
        <v>274</v>
      </c>
      <c r="I386" s="1">
        <f>DATE(2014,10,1)</f>
        <v>41913</v>
      </c>
      <c r="J386" s="3">
        <v>0</v>
      </c>
      <c r="K386" s="3">
        <v>0</v>
      </c>
      <c r="L386" s="3">
        <v>4500</v>
      </c>
      <c r="M386" s="3">
        <v>0</v>
      </c>
      <c r="N386" t="s">
        <v>464</v>
      </c>
      <c r="O386" t="s">
        <v>18</v>
      </c>
      <c r="P386" t="s">
        <v>19</v>
      </c>
      <c r="Q386" t="s">
        <v>465</v>
      </c>
    </row>
    <row r="387" spans="1:17" ht="17.45" customHeight="1" x14ac:dyDescent="0.2">
      <c r="A387" t="s">
        <v>468</v>
      </c>
      <c r="B387" t="s">
        <v>469</v>
      </c>
      <c r="C387" s="1">
        <f>DATE(2008,11,30)</f>
        <v>39782</v>
      </c>
      <c r="D387" s="1">
        <f>DATE(2008,11,30)</f>
        <v>39782</v>
      </c>
      <c r="E387" s="3">
        <v>4878.8</v>
      </c>
      <c r="F387" t="s">
        <v>20</v>
      </c>
      <c r="G387" s="2">
        <v>10</v>
      </c>
      <c r="H387" s="2">
        <v>0</v>
      </c>
      <c r="I387" s="1">
        <f>DATE(2018,11,30)</f>
        <v>43434</v>
      </c>
      <c r="J387" s="3">
        <v>0</v>
      </c>
      <c r="K387" s="3">
        <v>0</v>
      </c>
      <c r="L387" s="3">
        <v>4878.8</v>
      </c>
      <c r="M387" s="3">
        <v>0</v>
      </c>
      <c r="N387" t="s">
        <v>467</v>
      </c>
      <c r="O387" t="s">
        <v>18</v>
      </c>
      <c r="P387" t="s">
        <v>19</v>
      </c>
      <c r="Q387" t="s">
        <v>465</v>
      </c>
    </row>
    <row r="388" spans="1:17" ht="17.45" customHeight="1" x14ac:dyDescent="0.2">
      <c r="A388" t="s">
        <v>470</v>
      </c>
      <c r="B388" t="s">
        <v>27</v>
      </c>
      <c r="C388" s="1">
        <f>DATE(2008,5,8)</f>
        <v>39576</v>
      </c>
      <c r="D388" s="1">
        <f>DATE(2008,5,8)</f>
        <v>39576</v>
      </c>
      <c r="E388" s="3">
        <v>4575</v>
      </c>
      <c r="F388" t="s">
        <v>20</v>
      </c>
      <c r="G388" s="2">
        <v>10</v>
      </c>
      <c r="H388" s="2">
        <v>0</v>
      </c>
      <c r="I388" s="1">
        <f>DATE(2018,4,30)</f>
        <v>43220</v>
      </c>
      <c r="J388" s="3">
        <v>0</v>
      </c>
      <c r="K388" s="3">
        <v>0</v>
      </c>
      <c r="L388" s="3">
        <v>4575</v>
      </c>
      <c r="M388" s="3">
        <v>0</v>
      </c>
      <c r="N388" t="s">
        <v>467</v>
      </c>
      <c r="O388" t="s">
        <v>18</v>
      </c>
      <c r="P388" t="s">
        <v>19</v>
      </c>
      <c r="Q388" t="s">
        <v>465</v>
      </c>
    </row>
    <row r="389" spans="1:17" ht="17.45" customHeight="1" x14ac:dyDescent="0.2">
      <c r="A389" t="s">
        <v>473</v>
      </c>
      <c r="B389" t="s">
        <v>474</v>
      </c>
      <c r="C389" s="1">
        <f>DATE(2005,3,1)</f>
        <v>38412</v>
      </c>
      <c r="D389" s="1">
        <f>DATE(2005,3,1)</f>
        <v>38412</v>
      </c>
      <c r="E389" s="3">
        <v>3009.57</v>
      </c>
      <c r="F389" t="s">
        <v>21</v>
      </c>
      <c r="G389" s="2">
        <v>20</v>
      </c>
      <c r="H389" s="2">
        <v>30</v>
      </c>
      <c r="I389" s="1">
        <f>DATE(2022,12,31)</f>
        <v>44926</v>
      </c>
      <c r="J389" s="3">
        <v>8.77</v>
      </c>
      <c r="K389" s="3">
        <v>105.79</v>
      </c>
      <c r="L389" s="3">
        <v>2771.89</v>
      </c>
      <c r="M389" s="3">
        <v>237.68</v>
      </c>
      <c r="N389" t="s">
        <v>464</v>
      </c>
      <c r="O389" t="s">
        <v>18</v>
      </c>
      <c r="P389" t="s">
        <v>19</v>
      </c>
      <c r="Q389" t="s">
        <v>465</v>
      </c>
    </row>
    <row r="390" spans="1:17" ht="17.45" customHeight="1" x14ac:dyDescent="0.2">
      <c r="A390" t="s">
        <v>475</v>
      </c>
      <c r="B390" t="s">
        <v>476</v>
      </c>
      <c r="C390" s="1">
        <f>DATE(2009,12,31)</f>
        <v>40178</v>
      </c>
      <c r="D390" s="1">
        <f>DATE(2009,12,31)</f>
        <v>40178</v>
      </c>
      <c r="E390" s="3">
        <v>460.51</v>
      </c>
      <c r="F390" t="s">
        <v>20</v>
      </c>
      <c r="G390" s="2">
        <v>10</v>
      </c>
      <c r="H390" s="2">
        <v>0</v>
      </c>
      <c r="I390" s="1">
        <f>DATE(2019,12,31)</f>
        <v>43830</v>
      </c>
      <c r="J390" s="3">
        <v>0</v>
      </c>
      <c r="K390" s="3">
        <v>0</v>
      </c>
      <c r="L390" s="3">
        <v>460.51</v>
      </c>
      <c r="M390" s="3">
        <v>0</v>
      </c>
      <c r="N390" t="s">
        <v>471</v>
      </c>
      <c r="O390" t="s">
        <v>18</v>
      </c>
      <c r="P390" t="s">
        <v>19</v>
      </c>
      <c r="Q390" t="s">
        <v>465</v>
      </c>
    </row>
    <row r="391" spans="1:17" ht="17.45" customHeight="1" x14ac:dyDescent="0.2">
      <c r="A391" t="s">
        <v>477</v>
      </c>
      <c r="B391" t="s">
        <v>478</v>
      </c>
      <c r="C391" s="1">
        <f>DATE(2010,1,1)</f>
        <v>40179</v>
      </c>
      <c r="D391" s="1">
        <f>DATE(2010,1,1)</f>
        <v>40179</v>
      </c>
      <c r="E391" s="3">
        <v>691.68</v>
      </c>
      <c r="F391" t="s">
        <v>20</v>
      </c>
      <c r="G391" s="2">
        <v>10</v>
      </c>
      <c r="H391" s="2">
        <v>0</v>
      </c>
      <c r="I391" s="1">
        <f>DATE(2019,12,31)</f>
        <v>43830</v>
      </c>
      <c r="J391" s="3">
        <v>0</v>
      </c>
      <c r="K391" s="3">
        <v>0</v>
      </c>
      <c r="L391" s="3">
        <v>691.68</v>
      </c>
      <c r="M391" s="3">
        <v>0</v>
      </c>
      <c r="N391" t="s">
        <v>471</v>
      </c>
      <c r="O391" t="s">
        <v>18</v>
      </c>
      <c r="P391" t="s">
        <v>19</v>
      </c>
      <c r="Q391" t="s">
        <v>465</v>
      </c>
    </row>
    <row r="392" spans="1:17" ht="17.45" customHeight="1" x14ac:dyDescent="0.2">
      <c r="A392" t="s">
        <v>479</v>
      </c>
      <c r="B392" t="s">
        <v>480</v>
      </c>
      <c r="C392" s="1">
        <f>DATE(2010,6,30)</f>
        <v>40359</v>
      </c>
      <c r="D392" s="1">
        <f>DATE(2010,6,30)</f>
        <v>40359</v>
      </c>
      <c r="E392" s="3">
        <v>287.52</v>
      </c>
      <c r="F392" t="s">
        <v>20</v>
      </c>
      <c r="G392" s="2">
        <v>5</v>
      </c>
      <c r="H392" s="2">
        <v>0</v>
      </c>
      <c r="I392" s="1">
        <f>DATE(2015,6,30)</f>
        <v>42185</v>
      </c>
      <c r="J392" s="3">
        <v>0</v>
      </c>
      <c r="K392" s="3">
        <v>0</v>
      </c>
      <c r="L392" s="3">
        <v>287.52</v>
      </c>
      <c r="M392" s="3">
        <v>0</v>
      </c>
      <c r="N392" t="s">
        <v>466</v>
      </c>
      <c r="O392" t="s">
        <v>18</v>
      </c>
      <c r="P392" t="s">
        <v>19</v>
      </c>
      <c r="Q392" t="s">
        <v>465</v>
      </c>
    </row>
    <row r="393" spans="1:17" ht="17.45" customHeight="1" x14ac:dyDescent="0.2">
      <c r="A393" t="s">
        <v>481</v>
      </c>
      <c r="B393" t="s">
        <v>482</v>
      </c>
      <c r="C393" s="1">
        <f>DATE(2010,7,30)</f>
        <v>40389</v>
      </c>
      <c r="D393" s="1">
        <f>DATE(2010,7,30)</f>
        <v>40389</v>
      </c>
      <c r="E393" s="3">
        <v>3850.34</v>
      </c>
      <c r="F393" t="s">
        <v>20</v>
      </c>
      <c r="G393" s="2">
        <v>10</v>
      </c>
      <c r="H393" s="2">
        <v>0</v>
      </c>
      <c r="I393" s="1">
        <f>DATE(2020,7,31)</f>
        <v>44043</v>
      </c>
      <c r="J393" s="3">
        <v>0</v>
      </c>
      <c r="K393" s="3">
        <v>0</v>
      </c>
      <c r="L393" s="3">
        <v>3850.34</v>
      </c>
      <c r="M393" s="3">
        <v>0</v>
      </c>
      <c r="N393" t="s">
        <v>467</v>
      </c>
      <c r="O393" t="s">
        <v>18</v>
      </c>
      <c r="P393" t="s">
        <v>19</v>
      </c>
      <c r="Q393" t="s">
        <v>465</v>
      </c>
    </row>
    <row r="394" spans="1:17" ht="17.45" customHeight="1" x14ac:dyDescent="0.2">
      <c r="A394" t="s">
        <v>483</v>
      </c>
      <c r="B394" t="s">
        <v>484</v>
      </c>
      <c r="C394" s="1">
        <f>DATE(2010,8,31)</f>
        <v>40421</v>
      </c>
      <c r="D394" s="1">
        <f>DATE(2010,8,31)</f>
        <v>40421</v>
      </c>
      <c r="E394" s="3">
        <v>1504</v>
      </c>
      <c r="F394" t="s">
        <v>20</v>
      </c>
      <c r="G394" s="2">
        <v>10</v>
      </c>
      <c r="H394" s="2">
        <v>0</v>
      </c>
      <c r="I394" s="1">
        <f>DATE(2020,8,31)</f>
        <v>44074</v>
      </c>
      <c r="J394" s="3">
        <v>0</v>
      </c>
      <c r="K394" s="3">
        <v>0</v>
      </c>
      <c r="L394" s="3">
        <v>1504</v>
      </c>
      <c r="M394" s="3">
        <v>0</v>
      </c>
      <c r="N394" t="s">
        <v>467</v>
      </c>
      <c r="O394" t="s">
        <v>18</v>
      </c>
      <c r="P394" t="s">
        <v>19</v>
      </c>
      <c r="Q394" t="s">
        <v>465</v>
      </c>
    </row>
    <row r="395" spans="1:17" ht="17.45" customHeight="1" x14ac:dyDescent="0.2">
      <c r="A395" t="s">
        <v>485</v>
      </c>
      <c r="B395" t="s">
        <v>486</v>
      </c>
      <c r="C395" s="1">
        <f>DATE(2010,12,31)</f>
        <v>40543</v>
      </c>
      <c r="D395" s="1">
        <f>DATE(2010,12,31)</f>
        <v>40543</v>
      </c>
      <c r="E395" s="3">
        <v>3701.25</v>
      </c>
      <c r="F395" t="s">
        <v>20</v>
      </c>
      <c r="G395" s="2">
        <v>10</v>
      </c>
      <c r="H395" s="2">
        <v>0</v>
      </c>
      <c r="I395" s="1">
        <f>DATE(2020,12,31)</f>
        <v>44196</v>
      </c>
      <c r="J395" s="3">
        <v>0</v>
      </c>
      <c r="K395" s="3">
        <v>0</v>
      </c>
      <c r="L395" s="3">
        <v>3701.25</v>
      </c>
      <c r="M395" s="3">
        <v>0</v>
      </c>
      <c r="N395" t="s">
        <v>467</v>
      </c>
      <c r="O395" t="s">
        <v>18</v>
      </c>
      <c r="P395" t="s">
        <v>19</v>
      </c>
      <c r="Q395" t="s">
        <v>465</v>
      </c>
    </row>
    <row r="396" spans="1:17" ht="17.45" customHeight="1" x14ac:dyDescent="0.2">
      <c r="A396" t="s">
        <v>487</v>
      </c>
      <c r="B396" t="s">
        <v>488</v>
      </c>
      <c r="C396" s="1">
        <f>DATE(2012,5,31)</f>
        <v>41060</v>
      </c>
      <c r="D396" s="1">
        <f>DATE(2012,5,31)</f>
        <v>41060</v>
      </c>
      <c r="E396" s="3">
        <v>263.52</v>
      </c>
      <c r="F396" t="s">
        <v>20</v>
      </c>
      <c r="G396" s="2">
        <v>5</v>
      </c>
      <c r="H396" s="2">
        <v>0</v>
      </c>
      <c r="I396" s="1">
        <f>DATE(2017,5,31)</f>
        <v>42886</v>
      </c>
      <c r="J396" s="3">
        <v>0</v>
      </c>
      <c r="K396" s="3">
        <v>0</v>
      </c>
      <c r="L396" s="3">
        <v>263.52</v>
      </c>
      <c r="M396" s="3">
        <v>0</v>
      </c>
      <c r="N396" t="s">
        <v>466</v>
      </c>
      <c r="O396" t="s">
        <v>18</v>
      </c>
      <c r="P396" t="s">
        <v>19</v>
      </c>
      <c r="Q396" t="s">
        <v>465</v>
      </c>
    </row>
    <row r="397" spans="1:17" ht="17.45" customHeight="1" x14ac:dyDescent="0.2">
      <c r="A397" t="s">
        <v>489</v>
      </c>
      <c r="B397" t="s">
        <v>490</v>
      </c>
      <c r="C397" s="1">
        <f>DATE(2012,7,31)</f>
        <v>41121</v>
      </c>
      <c r="D397" s="1">
        <f>DATE(2012,7,31)</f>
        <v>41121</v>
      </c>
      <c r="E397" s="3">
        <v>1590.63</v>
      </c>
      <c r="F397" t="s">
        <v>20</v>
      </c>
      <c r="G397" s="2">
        <v>10</v>
      </c>
      <c r="H397" s="2">
        <v>0</v>
      </c>
      <c r="I397" s="1">
        <f>DATE(2022,7,31)</f>
        <v>44773</v>
      </c>
      <c r="J397" s="3">
        <v>0</v>
      </c>
      <c r="K397" s="3">
        <v>92.81</v>
      </c>
      <c r="L397" s="3">
        <v>1590.63</v>
      </c>
      <c r="M397" s="3">
        <v>0</v>
      </c>
      <c r="N397" t="s">
        <v>472</v>
      </c>
      <c r="O397" t="s">
        <v>18</v>
      </c>
      <c r="P397" t="s">
        <v>19</v>
      </c>
      <c r="Q397" t="s">
        <v>465</v>
      </c>
    </row>
    <row r="398" spans="1:17" ht="17.45" customHeight="1" x14ac:dyDescent="0.2">
      <c r="A398" t="s">
        <v>491</v>
      </c>
      <c r="B398" t="s">
        <v>492</v>
      </c>
      <c r="C398" s="1">
        <f>DATE(2012,8,31)</f>
        <v>41152</v>
      </c>
      <c r="D398" s="1">
        <f>DATE(2012,8,31)</f>
        <v>41152</v>
      </c>
      <c r="E398" s="3">
        <v>710.15</v>
      </c>
      <c r="F398" t="s">
        <v>20</v>
      </c>
      <c r="G398" s="2">
        <v>10</v>
      </c>
      <c r="H398" s="2">
        <v>0</v>
      </c>
      <c r="I398" s="1">
        <f>DATE(2022,8,31)</f>
        <v>44804</v>
      </c>
      <c r="J398" s="3">
        <v>0</v>
      </c>
      <c r="K398" s="3">
        <v>47.3</v>
      </c>
      <c r="L398" s="3">
        <v>710.15</v>
      </c>
      <c r="M398" s="3">
        <v>0</v>
      </c>
      <c r="N398" t="s">
        <v>467</v>
      </c>
      <c r="O398" t="s">
        <v>18</v>
      </c>
      <c r="P398" t="s">
        <v>19</v>
      </c>
      <c r="Q398" t="s">
        <v>465</v>
      </c>
    </row>
    <row r="399" spans="1:17" ht="17.45" customHeight="1" x14ac:dyDescent="0.2">
      <c r="A399" t="s">
        <v>493</v>
      </c>
      <c r="B399" t="s">
        <v>492</v>
      </c>
      <c r="C399" s="1">
        <f>DATE(2012,8,31)</f>
        <v>41152</v>
      </c>
      <c r="D399" s="1">
        <f>DATE(2012,8,31)</f>
        <v>41152</v>
      </c>
      <c r="E399" s="3">
        <v>674.48</v>
      </c>
      <c r="F399" t="s">
        <v>20</v>
      </c>
      <c r="G399" s="2">
        <v>10</v>
      </c>
      <c r="H399" s="2">
        <v>0</v>
      </c>
      <c r="I399" s="1">
        <f>DATE(2022,8,31)</f>
        <v>44804</v>
      </c>
      <c r="J399" s="3">
        <v>0</v>
      </c>
      <c r="K399" s="3">
        <v>44.95</v>
      </c>
      <c r="L399" s="3">
        <v>674.48</v>
      </c>
      <c r="M399" s="3">
        <v>0</v>
      </c>
      <c r="N399" t="s">
        <v>467</v>
      </c>
      <c r="O399" t="s">
        <v>18</v>
      </c>
      <c r="P399" t="s">
        <v>19</v>
      </c>
      <c r="Q399" t="s">
        <v>465</v>
      </c>
    </row>
    <row r="400" spans="1:17" ht="17.45" customHeight="1" x14ac:dyDescent="0.2">
      <c r="A400" t="s">
        <v>494</v>
      </c>
      <c r="B400" t="s">
        <v>495</v>
      </c>
      <c r="C400" s="1">
        <f>DATE(2013,3,31)</f>
        <v>41364</v>
      </c>
      <c r="D400" s="1">
        <f>DATE(2013,3,31)</f>
        <v>41364</v>
      </c>
      <c r="E400" s="3">
        <v>371.4</v>
      </c>
      <c r="F400" t="s">
        <v>20</v>
      </c>
      <c r="G400" s="2">
        <v>5</v>
      </c>
      <c r="H400" s="2">
        <v>0</v>
      </c>
      <c r="I400" s="1">
        <f>DATE(2018,3,31)</f>
        <v>43190</v>
      </c>
      <c r="J400" s="3">
        <v>0</v>
      </c>
      <c r="K400" s="3">
        <v>0</v>
      </c>
      <c r="L400" s="3">
        <v>371.4</v>
      </c>
      <c r="M400" s="3">
        <v>0</v>
      </c>
      <c r="N400" t="s">
        <v>466</v>
      </c>
      <c r="O400" t="s">
        <v>18</v>
      </c>
      <c r="P400" t="s">
        <v>19</v>
      </c>
      <c r="Q400" t="s">
        <v>465</v>
      </c>
    </row>
    <row r="401" spans="1:17" ht="17.45" customHeight="1" x14ac:dyDescent="0.2">
      <c r="A401" t="s">
        <v>496</v>
      </c>
      <c r="B401" t="s">
        <v>497</v>
      </c>
      <c r="C401" s="1">
        <f>DATE(2013,3,31)</f>
        <v>41364</v>
      </c>
      <c r="D401" s="1">
        <f>DATE(2013,3,31)</f>
        <v>41364</v>
      </c>
      <c r="E401" s="3">
        <v>361.84</v>
      </c>
      <c r="F401" t="s">
        <v>20</v>
      </c>
      <c r="G401" s="2">
        <v>5</v>
      </c>
      <c r="H401" s="2">
        <v>0</v>
      </c>
      <c r="I401" s="1">
        <f>DATE(2018,3,31)</f>
        <v>43190</v>
      </c>
      <c r="J401" s="3">
        <v>0</v>
      </c>
      <c r="K401" s="3">
        <v>0</v>
      </c>
      <c r="L401" s="3">
        <v>361.84</v>
      </c>
      <c r="M401" s="3">
        <v>0</v>
      </c>
      <c r="N401" t="s">
        <v>466</v>
      </c>
      <c r="O401" t="s">
        <v>18</v>
      </c>
      <c r="P401" t="s">
        <v>19</v>
      </c>
      <c r="Q401" t="s">
        <v>465</v>
      </c>
    </row>
    <row r="402" spans="1:17" ht="17.45" customHeight="1" x14ac:dyDescent="0.2">
      <c r="A402" t="s">
        <v>498</v>
      </c>
      <c r="B402" t="s">
        <v>499</v>
      </c>
      <c r="C402" s="1">
        <f>DATE(2013,1,1)</f>
        <v>41275</v>
      </c>
      <c r="D402" s="1">
        <f>DATE(2013,1,1)</f>
        <v>41275</v>
      </c>
      <c r="E402" s="3">
        <v>1178.43</v>
      </c>
      <c r="F402" t="s">
        <v>20</v>
      </c>
      <c r="G402" s="2">
        <v>10</v>
      </c>
      <c r="H402" s="2">
        <v>0</v>
      </c>
      <c r="I402" s="1">
        <f t="shared" ref="I402:I408" si="50">DATE(2022,12,31)</f>
        <v>44926</v>
      </c>
      <c r="J402" s="3">
        <v>9.85</v>
      </c>
      <c r="K402" s="3">
        <v>117.87</v>
      </c>
      <c r="L402" s="3">
        <v>1178.43</v>
      </c>
      <c r="M402" s="3">
        <v>0</v>
      </c>
      <c r="N402" t="s">
        <v>472</v>
      </c>
      <c r="O402" t="s">
        <v>18</v>
      </c>
      <c r="P402" t="s">
        <v>19</v>
      </c>
      <c r="Q402" t="s">
        <v>465</v>
      </c>
    </row>
    <row r="403" spans="1:17" ht="17.45" customHeight="1" x14ac:dyDescent="0.2">
      <c r="A403" t="s">
        <v>500</v>
      </c>
      <c r="B403" t="s">
        <v>501</v>
      </c>
      <c r="C403" s="1">
        <f>DATE(2013,1,1)</f>
        <v>41275</v>
      </c>
      <c r="D403" s="1">
        <f>DATE(2013,1,1)</f>
        <v>41275</v>
      </c>
      <c r="E403" s="3">
        <v>22039.72</v>
      </c>
      <c r="F403" t="s">
        <v>20</v>
      </c>
      <c r="G403" s="2">
        <v>10</v>
      </c>
      <c r="H403" s="2">
        <v>0</v>
      </c>
      <c r="I403" s="1">
        <f t="shared" si="50"/>
        <v>44926</v>
      </c>
      <c r="J403" s="3">
        <v>183.62</v>
      </c>
      <c r="K403" s="3">
        <v>2203.9899999999998</v>
      </c>
      <c r="L403" s="3">
        <v>22039.72</v>
      </c>
      <c r="M403" s="3">
        <v>0</v>
      </c>
      <c r="N403" t="s">
        <v>467</v>
      </c>
      <c r="O403" t="s">
        <v>18</v>
      </c>
      <c r="P403" t="s">
        <v>19</v>
      </c>
      <c r="Q403" t="s">
        <v>465</v>
      </c>
    </row>
    <row r="404" spans="1:17" ht="17.45" customHeight="1" x14ac:dyDescent="0.2">
      <c r="A404" t="s">
        <v>502</v>
      </c>
      <c r="B404" t="s">
        <v>503</v>
      </c>
      <c r="C404" s="1">
        <f>DATE(2013,9,30)</f>
        <v>41547</v>
      </c>
      <c r="D404" s="1">
        <f>DATE(2013,9,30)</f>
        <v>41547</v>
      </c>
      <c r="E404" s="3">
        <v>720.32</v>
      </c>
      <c r="F404" t="s">
        <v>20</v>
      </c>
      <c r="G404" s="2">
        <v>10</v>
      </c>
      <c r="H404" s="2">
        <v>0</v>
      </c>
      <c r="I404" s="1">
        <f t="shared" si="50"/>
        <v>44926</v>
      </c>
      <c r="J404" s="3">
        <v>6.03</v>
      </c>
      <c r="K404" s="3">
        <v>72.03</v>
      </c>
      <c r="L404" s="3">
        <v>666.28</v>
      </c>
      <c r="M404" s="3">
        <v>54.04</v>
      </c>
      <c r="N404" t="s">
        <v>471</v>
      </c>
      <c r="O404" t="s">
        <v>18</v>
      </c>
      <c r="P404" t="s">
        <v>19</v>
      </c>
      <c r="Q404" t="s">
        <v>465</v>
      </c>
    </row>
    <row r="405" spans="1:17" ht="17.45" customHeight="1" x14ac:dyDescent="0.2">
      <c r="A405" t="s">
        <v>504</v>
      </c>
      <c r="B405" t="s">
        <v>505</v>
      </c>
      <c r="C405" s="1">
        <f>DATE(2013,12,31)</f>
        <v>41639</v>
      </c>
      <c r="D405" s="1">
        <f>DATE(2013,12,31)</f>
        <v>41639</v>
      </c>
      <c r="E405" s="3">
        <v>5976.65</v>
      </c>
      <c r="F405" t="s">
        <v>20</v>
      </c>
      <c r="G405" s="2">
        <v>10</v>
      </c>
      <c r="H405" s="2">
        <v>0</v>
      </c>
      <c r="I405" s="1">
        <f t="shared" si="50"/>
        <v>44926</v>
      </c>
      <c r="J405" s="3">
        <v>49.76</v>
      </c>
      <c r="K405" s="3">
        <v>597.66999999999996</v>
      </c>
      <c r="L405" s="3">
        <v>5379.03</v>
      </c>
      <c r="M405" s="3">
        <v>597.62</v>
      </c>
      <c r="N405" t="s">
        <v>467</v>
      </c>
      <c r="O405" t="s">
        <v>18</v>
      </c>
      <c r="P405" t="s">
        <v>19</v>
      </c>
      <c r="Q405" t="s">
        <v>465</v>
      </c>
    </row>
    <row r="406" spans="1:17" ht="17.45" customHeight="1" x14ac:dyDescent="0.2">
      <c r="A406" t="s">
        <v>506</v>
      </c>
      <c r="B406" t="s">
        <v>507</v>
      </c>
      <c r="C406" s="1">
        <f>DATE(2014,5,31)</f>
        <v>41790</v>
      </c>
      <c r="D406" s="1">
        <f>DATE(2014,5,31)</f>
        <v>41790</v>
      </c>
      <c r="E406" s="3">
        <v>683.85</v>
      </c>
      <c r="F406" t="s">
        <v>20</v>
      </c>
      <c r="G406" s="2">
        <v>10</v>
      </c>
      <c r="H406" s="2">
        <v>0</v>
      </c>
      <c r="I406" s="1">
        <f t="shared" si="50"/>
        <v>44926</v>
      </c>
      <c r="J406" s="3">
        <v>5.69</v>
      </c>
      <c r="K406" s="3">
        <v>68.39</v>
      </c>
      <c r="L406" s="3">
        <v>587.01</v>
      </c>
      <c r="M406" s="3">
        <v>96.84</v>
      </c>
      <c r="N406" t="s">
        <v>471</v>
      </c>
      <c r="O406" t="s">
        <v>18</v>
      </c>
      <c r="P406" t="s">
        <v>19</v>
      </c>
      <c r="Q406" t="s">
        <v>465</v>
      </c>
    </row>
    <row r="407" spans="1:17" ht="17.45" customHeight="1" x14ac:dyDescent="0.2">
      <c r="A407" t="s">
        <v>508</v>
      </c>
      <c r="B407" t="s">
        <v>509</v>
      </c>
      <c r="C407" s="1">
        <f>DATE(2014,5,31)</f>
        <v>41790</v>
      </c>
      <c r="D407" s="1">
        <f>DATE(2014,5,31)</f>
        <v>41790</v>
      </c>
      <c r="E407" s="3">
        <v>2795.58</v>
      </c>
      <c r="F407" t="s">
        <v>20</v>
      </c>
      <c r="G407" s="2">
        <v>10</v>
      </c>
      <c r="H407" s="2">
        <v>0</v>
      </c>
      <c r="I407" s="1">
        <f t="shared" si="50"/>
        <v>44926</v>
      </c>
      <c r="J407" s="3">
        <v>23.26</v>
      </c>
      <c r="K407" s="3">
        <v>279.56</v>
      </c>
      <c r="L407" s="3">
        <v>2399.56</v>
      </c>
      <c r="M407" s="3">
        <v>396.02</v>
      </c>
      <c r="N407" t="s">
        <v>471</v>
      </c>
      <c r="O407" t="s">
        <v>18</v>
      </c>
      <c r="P407" t="s">
        <v>19</v>
      </c>
      <c r="Q407" t="s">
        <v>465</v>
      </c>
    </row>
    <row r="408" spans="1:17" ht="17.45" customHeight="1" x14ac:dyDescent="0.2">
      <c r="A408" t="s">
        <v>569</v>
      </c>
      <c r="B408" t="s">
        <v>568</v>
      </c>
      <c r="C408" s="1">
        <f>DATE(2014,7,1)</f>
        <v>41821</v>
      </c>
      <c r="D408" s="1">
        <f>DATE(2014,7,1)</f>
        <v>41821</v>
      </c>
      <c r="E408" s="3">
        <v>5498.35</v>
      </c>
      <c r="F408" t="s">
        <v>20</v>
      </c>
      <c r="G408" s="2">
        <v>10</v>
      </c>
      <c r="H408" s="2">
        <v>0</v>
      </c>
      <c r="I408" s="1">
        <f t="shared" si="50"/>
        <v>44926</v>
      </c>
      <c r="J408" s="3">
        <v>45.82</v>
      </c>
      <c r="K408" s="3">
        <v>549.84</v>
      </c>
      <c r="L408" s="3">
        <v>4673.6400000000003</v>
      </c>
      <c r="M408" s="3">
        <v>824.71</v>
      </c>
      <c r="N408" t="s">
        <v>467</v>
      </c>
      <c r="O408" t="s">
        <v>18</v>
      </c>
      <c r="P408" t="s">
        <v>19</v>
      </c>
      <c r="Q408" t="s">
        <v>465</v>
      </c>
    </row>
    <row r="409" spans="1:17" ht="17.45" customHeight="1" x14ac:dyDescent="0.2">
      <c r="A409" t="s">
        <v>570</v>
      </c>
      <c r="B409" t="s">
        <v>571</v>
      </c>
      <c r="C409" s="1">
        <f>DATE(2014,7,31)</f>
        <v>41851</v>
      </c>
      <c r="D409" s="1">
        <f>DATE(2014,7,31)</f>
        <v>41851</v>
      </c>
      <c r="E409" s="3">
        <v>982.26</v>
      </c>
      <c r="F409" t="s">
        <v>20</v>
      </c>
      <c r="G409" s="2">
        <v>5</v>
      </c>
      <c r="H409" s="2">
        <v>0</v>
      </c>
      <c r="I409" s="1">
        <f>DATE(2019,7,31)</f>
        <v>43677</v>
      </c>
      <c r="J409" s="3">
        <v>0</v>
      </c>
      <c r="K409" s="3">
        <v>0</v>
      </c>
      <c r="L409" s="3">
        <v>982.26</v>
      </c>
      <c r="M409" s="3">
        <v>0</v>
      </c>
      <c r="N409" t="s">
        <v>466</v>
      </c>
      <c r="O409" t="s">
        <v>18</v>
      </c>
      <c r="P409" t="s">
        <v>19</v>
      </c>
      <c r="Q409" t="s">
        <v>465</v>
      </c>
    </row>
    <row r="410" spans="1:17" ht="17.45" customHeight="1" x14ac:dyDescent="0.2">
      <c r="A410" t="s">
        <v>572</v>
      </c>
      <c r="B410" t="s">
        <v>573</v>
      </c>
      <c r="C410" s="1">
        <f>DATE(2014,7,31)</f>
        <v>41851</v>
      </c>
      <c r="D410" s="1">
        <f>DATE(2014,7,31)</f>
        <v>41851</v>
      </c>
      <c r="E410" s="3">
        <v>357.1</v>
      </c>
      <c r="F410" t="s">
        <v>20</v>
      </c>
      <c r="G410" s="2">
        <v>5</v>
      </c>
      <c r="H410" s="2">
        <v>0</v>
      </c>
      <c r="I410" s="1">
        <f>DATE(2019,7,31)</f>
        <v>43677</v>
      </c>
      <c r="J410" s="3">
        <v>0</v>
      </c>
      <c r="K410" s="3">
        <v>0</v>
      </c>
      <c r="L410" s="3">
        <v>357.1</v>
      </c>
      <c r="M410" s="3">
        <v>0</v>
      </c>
      <c r="N410" t="s">
        <v>466</v>
      </c>
      <c r="O410" t="s">
        <v>18</v>
      </c>
      <c r="P410" t="s">
        <v>19</v>
      </c>
      <c r="Q410" t="s">
        <v>465</v>
      </c>
    </row>
    <row r="411" spans="1:17" ht="17.45" customHeight="1" x14ac:dyDescent="0.2">
      <c r="A411" t="s">
        <v>580</v>
      </c>
      <c r="B411" t="s">
        <v>581</v>
      </c>
      <c r="C411" s="1">
        <f>DATE(2014,8,1)</f>
        <v>41852</v>
      </c>
      <c r="D411" s="1">
        <f>DATE(2014,8,1)</f>
        <v>41852</v>
      </c>
      <c r="E411" s="3">
        <v>349.46</v>
      </c>
      <c r="F411" t="s">
        <v>20</v>
      </c>
      <c r="G411" s="2">
        <v>10</v>
      </c>
      <c r="H411" s="2">
        <v>0</v>
      </c>
      <c r="I411" s="1">
        <f>DATE(2022,12,31)</f>
        <v>44926</v>
      </c>
      <c r="J411" s="3">
        <v>2.94</v>
      </c>
      <c r="K411" s="3">
        <v>34.950000000000003</v>
      </c>
      <c r="L411" s="3">
        <v>294.16000000000003</v>
      </c>
      <c r="M411" s="3">
        <v>55.3</v>
      </c>
      <c r="N411" t="s">
        <v>467</v>
      </c>
      <c r="O411" t="s">
        <v>18</v>
      </c>
      <c r="P411" t="s">
        <v>19</v>
      </c>
      <c r="Q411" t="s">
        <v>465</v>
      </c>
    </row>
    <row r="412" spans="1:17" ht="17.45" customHeight="1" x14ac:dyDescent="0.2">
      <c r="A412" t="s">
        <v>632</v>
      </c>
      <c r="B412" t="s">
        <v>633</v>
      </c>
      <c r="C412" s="1">
        <f>DATE(2014,12,31)</f>
        <v>42004</v>
      </c>
      <c r="D412" s="1">
        <f>DATE(2014,12,31)</f>
        <v>42004</v>
      </c>
      <c r="E412" s="3">
        <v>1164.29</v>
      </c>
      <c r="F412" t="s">
        <v>20</v>
      </c>
      <c r="G412" s="2">
        <v>10</v>
      </c>
      <c r="H412" s="2">
        <v>0</v>
      </c>
      <c r="I412" s="1">
        <f>DATE(2022,12,31)</f>
        <v>44926</v>
      </c>
      <c r="J412" s="3">
        <v>9.73</v>
      </c>
      <c r="K412" s="3">
        <v>116.43</v>
      </c>
      <c r="L412" s="3">
        <v>931.44</v>
      </c>
      <c r="M412" s="3">
        <v>232.85</v>
      </c>
      <c r="N412" t="s">
        <v>471</v>
      </c>
      <c r="O412" t="s">
        <v>18</v>
      </c>
      <c r="P412" t="s">
        <v>19</v>
      </c>
      <c r="Q412" t="s">
        <v>465</v>
      </c>
    </row>
    <row r="413" spans="1:17" ht="17.45" customHeight="1" x14ac:dyDescent="0.2">
      <c r="A413" t="s">
        <v>634</v>
      </c>
      <c r="B413" t="s">
        <v>635</v>
      </c>
      <c r="C413" s="1">
        <f>DATE(2015,1,31)</f>
        <v>42035</v>
      </c>
      <c r="D413" s="1">
        <f>DATE(2015,1,31)</f>
        <v>42035</v>
      </c>
      <c r="E413" s="3">
        <v>2194.23</v>
      </c>
      <c r="F413" t="s">
        <v>20</v>
      </c>
      <c r="G413" s="2">
        <v>10</v>
      </c>
      <c r="H413" s="2">
        <v>0</v>
      </c>
      <c r="I413" s="1">
        <f>DATE(2022,12,31)</f>
        <v>44926</v>
      </c>
      <c r="J413" s="3">
        <v>18.23</v>
      </c>
      <c r="K413" s="3">
        <v>219.42</v>
      </c>
      <c r="L413" s="3">
        <v>1737.08</v>
      </c>
      <c r="M413" s="3">
        <v>457.15</v>
      </c>
      <c r="N413" t="s">
        <v>471</v>
      </c>
      <c r="O413" t="s">
        <v>18</v>
      </c>
      <c r="P413" t="s">
        <v>19</v>
      </c>
      <c r="Q413" t="s">
        <v>465</v>
      </c>
    </row>
    <row r="414" spans="1:17" ht="17.45" customHeight="1" x14ac:dyDescent="0.2">
      <c r="A414" t="s">
        <v>648</v>
      </c>
      <c r="B414" t="s">
        <v>649</v>
      </c>
      <c r="C414" s="1">
        <f>DATE(2015,3,1)</f>
        <v>42064</v>
      </c>
      <c r="D414" s="1">
        <f>DATE(2015,3,1)</f>
        <v>42064</v>
      </c>
      <c r="E414" s="3">
        <v>2910.55</v>
      </c>
      <c r="F414" t="s">
        <v>20</v>
      </c>
      <c r="G414" s="2">
        <v>20</v>
      </c>
      <c r="H414" s="2">
        <v>0</v>
      </c>
      <c r="I414" s="1">
        <f>DATE(2022,12,31)</f>
        <v>44926</v>
      </c>
      <c r="J414" s="3">
        <v>12.1</v>
      </c>
      <c r="K414" s="3">
        <v>145.53</v>
      </c>
      <c r="L414" s="3">
        <v>1139.98</v>
      </c>
      <c r="M414" s="3">
        <v>1770.57</v>
      </c>
      <c r="N414" t="s">
        <v>464</v>
      </c>
      <c r="O414" t="s">
        <v>18</v>
      </c>
      <c r="P414" t="s">
        <v>19</v>
      </c>
      <c r="Q414" t="s">
        <v>465</v>
      </c>
    </row>
    <row r="415" spans="1:17" ht="17.45" customHeight="1" x14ac:dyDescent="0.2">
      <c r="A415" t="s">
        <v>658</v>
      </c>
      <c r="B415" t="s">
        <v>659</v>
      </c>
      <c r="C415" s="1">
        <f t="shared" ref="C415:D418" si="51">DATE(2015,6,30)</f>
        <v>42185</v>
      </c>
      <c r="D415" s="1">
        <f t="shared" si="51"/>
        <v>42185</v>
      </c>
      <c r="E415" s="3">
        <v>332.93</v>
      </c>
      <c r="F415" t="s">
        <v>20</v>
      </c>
      <c r="G415" s="2">
        <v>5</v>
      </c>
      <c r="H415" s="2">
        <v>0</v>
      </c>
      <c r="I415" s="1">
        <f>DATE(2020,6,30)</f>
        <v>44012</v>
      </c>
      <c r="J415" s="3">
        <v>0</v>
      </c>
      <c r="K415" s="3">
        <v>0</v>
      </c>
      <c r="L415" s="3">
        <v>332.93</v>
      </c>
      <c r="M415" s="3">
        <v>0</v>
      </c>
      <c r="N415" t="s">
        <v>466</v>
      </c>
      <c r="O415" t="s">
        <v>18</v>
      </c>
      <c r="P415" t="s">
        <v>19</v>
      </c>
      <c r="Q415" t="s">
        <v>465</v>
      </c>
    </row>
    <row r="416" spans="1:17" ht="17.45" customHeight="1" x14ac:dyDescent="0.2">
      <c r="A416" t="s">
        <v>660</v>
      </c>
      <c r="B416" t="s">
        <v>661</v>
      </c>
      <c r="C416" s="1">
        <f t="shared" si="51"/>
        <v>42185</v>
      </c>
      <c r="D416" s="1">
        <f t="shared" si="51"/>
        <v>42185</v>
      </c>
      <c r="E416" s="3">
        <v>332.93</v>
      </c>
      <c r="F416" t="s">
        <v>20</v>
      </c>
      <c r="G416" s="2">
        <v>5</v>
      </c>
      <c r="H416" s="2">
        <v>0</v>
      </c>
      <c r="I416" s="1">
        <f>DATE(2020,6,30)</f>
        <v>44012</v>
      </c>
      <c r="J416" s="3">
        <v>0</v>
      </c>
      <c r="K416" s="3">
        <v>0</v>
      </c>
      <c r="L416" s="3">
        <v>332.93</v>
      </c>
      <c r="M416" s="3">
        <v>0</v>
      </c>
      <c r="N416" t="s">
        <v>466</v>
      </c>
      <c r="O416" t="s">
        <v>18</v>
      </c>
      <c r="P416" t="s">
        <v>19</v>
      </c>
      <c r="Q416" t="s">
        <v>465</v>
      </c>
    </row>
    <row r="417" spans="1:17" ht="17.45" customHeight="1" x14ac:dyDescent="0.2">
      <c r="A417" t="s">
        <v>662</v>
      </c>
      <c r="B417" t="s">
        <v>663</v>
      </c>
      <c r="C417" s="1">
        <f t="shared" si="51"/>
        <v>42185</v>
      </c>
      <c r="D417" s="1">
        <f t="shared" si="51"/>
        <v>42185</v>
      </c>
      <c r="E417" s="3">
        <v>1054.5</v>
      </c>
      <c r="F417" t="s">
        <v>20</v>
      </c>
      <c r="G417" s="2">
        <v>5</v>
      </c>
      <c r="H417" s="2">
        <v>0</v>
      </c>
      <c r="I417" s="1">
        <f>DATE(2020,6,30)</f>
        <v>44012</v>
      </c>
      <c r="J417" s="3">
        <v>0</v>
      </c>
      <c r="K417" s="3">
        <v>0</v>
      </c>
      <c r="L417" s="3">
        <v>1054.5</v>
      </c>
      <c r="M417" s="3">
        <v>0</v>
      </c>
      <c r="N417" t="s">
        <v>466</v>
      </c>
      <c r="O417" t="s">
        <v>18</v>
      </c>
      <c r="P417" t="s">
        <v>19</v>
      </c>
      <c r="Q417" t="s">
        <v>465</v>
      </c>
    </row>
    <row r="418" spans="1:17" ht="17.45" customHeight="1" x14ac:dyDescent="0.2">
      <c r="A418" t="s">
        <v>664</v>
      </c>
      <c r="B418" t="s">
        <v>665</v>
      </c>
      <c r="C418" s="1">
        <f t="shared" si="51"/>
        <v>42185</v>
      </c>
      <c r="D418" s="1">
        <f t="shared" si="51"/>
        <v>42185</v>
      </c>
      <c r="E418" s="3">
        <v>2822.06</v>
      </c>
      <c r="F418" t="s">
        <v>20</v>
      </c>
      <c r="G418" s="2">
        <v>10</v>
      </c>
      <c r="H418" s="2">
        <v>0</v>
      </c>
      <c r="I418" s="1">
        <f t="shared" ref="I418:I427" si="52">DATE(2022,12,31)</f>
        <v>44926</v>
      </c>
      <c r="J418" s="3">
        <v>23.49</v>
      </c>
      <c r="K418" s="3">
        <v>282.20999999999998</v>
      </c>
      <c r="L418" s="3">
        <v>2116.5700000000002</v>
      </c>
      <c r="M418" s="3">
        <v>705.49</v>
      </c>
      <c r="N418" t="s">
        <v>472</v>
      </c>
      <c r="O418" t="s">
        <v>18</v>
      </c>
      <c r="P418" t="s">
        <v>19</v>
      </c>
      <c r="Q418" t="s">
        <v>465</v>
      </c>
    </row>
    <row r="419" spans="1:17" ht="17.45" customHeight="1" x14ac:dyDescent="0.2">
      <c r="A419" t="s">
        <v>672</v>
      </c>
      <c r="B419" t="s">
        <v>673</v>
      </c>
      <c r="C419" s="1">
        <f>DATE(2015,8,31)</f>
        <v>42247</v>
      </c>
      <c r="D419" s="1">
        <f>DATE(2015,8,31)</f>
        <v>42247</v>
      </c>
      <c r="E419" s="3">
        <v>6173.83</v>
      </c>
      <c r="F419" t="s">
        <v>20</v>
      </c>
      <c r="G419" s="2">
        <v>20</v>
      </c>
      <c r="H419" s="2">
        <v>0</v>
      </c>
      <c r="I419" s="1">
        <f t="shared" si="52"/>
        <v>44926</v>
      </c>
      <c r="J419" s="3">
        <v>25.77</v>
      </c>
      <c r="K419" s="3">
        <v>308.69</v>
      </c>
      <c r="L419" s="3">
        <v>2263.73</v>
      </c>
      <c r="M419" s="3">
        <v>3910.1</v>
      </c>
      <c r="N419" t="s">
        <v>464</v>
      </c>
      <c r="O419" t="s">
        <v>18</v>
      </c>
      <c r="P419" t="s">
        <v>19</v>
      </c>
      <c r="Q419" t="s">
        <v>465</v>
      </c>
    </row>
    <row r="420" spans="1:17" ht="17.45" customHeight="1" x14ac:dyDescent="0.2">
      <c r="A420" t="s">
        <v>704</v>
      </c>
      <c r="B420" t="s">
        <v>705</v>
      </c>
      <c r="C420" s="1">
        <f>DATE(2016,1,31)</f>
        <v>42400</v>
      </c>
      <c r="D420" s="1">
        <f>DATE(2016,1,31)</f>
        <v>42400</v>
      </c>
      <c r="E420" s="3">
        <v>2172.89</v>
      </c>
      <c r="F420" t="s">
        <v>20</v>
      </c>
      <c r="G420" s="2">
        <v>10</v>
      </c>
      <c r="H420" s="2">
        <v>0</v>
      </c>
      <c r="I420" s="1">
        <f t="shared" si="52"/>
        <v>44926</v>
      </c>
      <c r="J420" s="3">
        <v>18.079999999999998</v>
      </c>
      <c r="K420" s="3">
        <v>217.29</v>
      </c>
      <c r="L420" s="3">
        <v>1502.92</v>
      </c>
      <c r="M420" s="3">
        <v>669.97</v>
      </c>
      <c r="N420" t="s">
        <v>472</v>
      </c>
      <c r="O420" t="s">
        <v>18</v>
      </c>
      <c r="P420" t="s">
        <v>19</v>
      </c>
      <c r="Q420" t="s">
        <v>465</v>
      </c>
    </row>
    <row r="421" spans="1:17" ht="17.45" customHeight="1" x14ac:dyDescent="0.2">
      <c r="A421" t="s">
        <v>720</v>
      </c>
      <c r="B421" t="s">
        <v>721</v>
      </c>
      <c r="C421" s="1">
        <f>DATE(2016,2,1)</f>
        <v>42401</v>
      </c>
      <c r="D421" s="1">
        <f>DATE(2016,2,1)</f>
        <v>42401</v>
      </c>
      <c r="E421" s="3">
        <v>619.41999999999996</v>
      </c>
      <c r="F421" t="s">
        <v>20</v>
      </c>
      <c r="G421" s="2">
        <v>10</v>
      </c>
      <c r="H421" s="2">
        <v>0</v>
      </c>
      <c r="I421" s="1">
        <f t="shared" si="52"/>
        <v>44926</v>
      </c>
      <c r="J421" s="3">
        <v>5.18</v>
      </c>
      <c r="K421" s="3">
        <v>61.94</v>
      </c>
      <c r="L421" s="3">
        <v>428.42</v>
      </c>
      <c r="M421" s="3">
        <v>191</v>
      </c>
      <c r="N421" t="s">
        <v>472</v>
      </c>
      <c r="O421" t="s">
        <v>18</v>
      </c>
      <c r="P421" t="s">
        <v>19</v>
      </c>
      <c r="Q421" t="s">
        <v>465</v>
      </c>
    </row>
    <row r="422" spans="1:17" ht="17.45" customHeight="1" x14ac:dyDescent="0.2">
      <c r="A422" t="s">
        <v>722</v>
      </c>
      <c r="B422" t="s">
        <v>723</v>
      </c>
      <c r="C422" s="1">
        <f>DATE(2016,2,29)</f>
        <v>42429</v>
      </c>
      <c r="D422" s="1">
        <f>DATE(2016,2,29)</f>
        <v>42429</v>
      </c>
      <c r="E422" s="3">
        <v>421.15</v>
      </c>
      <c r="F422" t="s">
        <v>20</v>
      </c>
      <c r="G422" s="2">
        <v>10</v>
      </c>
      <c r="H422" s="2">
        <v>0</v>
      </c>
      <c r="I422" s="1">
        <f t="shared" si="52"/>
        <v>44926</v>
      </c>
      <c r="J422" s="3">
        <v>3.51</v>
      </c>
      <c r="K422" s="3">
        <v>42.12</v>
      </c>
      <c r="L422" s="3">
        <v>287.82</v>
      </c>
      <c r="M422" s="3">
        <v>133.33000000000001</v>
      </c>
      <c r="N422" t="s">
        <v>467</v>
      </c>
      <c r="O422" t="s">
        <v>18</v>
      </c>
      <c r="P422" t="s">
        <v>19</v>
      </c>
      <c r="Q422" t="s">
        <v>465</v>
      </c>
    </row>
    <row r="423" spans="1:17" ht="17.45" customHeight="1" x14ac:dyDescent="0.2">
      <c r="A423" t="s">
        <v>730</v>
      </c>
      <c r="B423" t="s">
        <v>731</v>
      </c>
      <c r="C423" s="1">
        <f t="shared" ref="C423:D426" si="53">DATE(2016,3,31)</f>
        <v>42460</v>
      </c>
      <c r="D423" s="1">
        <f t="shared" si="53"/>
        <v>42460</v>
      </c>
      <c r="E423" s="3">
        <v>1654.45</v>
      </c>
      <c r="F423" t="s">
        <v>20</v>
      </c>
      <c r="G423" s="2">
        <v>10</v>
      </c>
      <c r="H423" s="2">
        <v>0</v>
      </c>
      <c r="I423" s="1">
        <f t="shared" si="52"/>
        <v>44926</v>
      </c>
      <c r="J423" s="3">
        <v>13.76</v>
      </c>
      <c r="K423" s="3">
        <v>165.45</v>
      </c>
      <c r="L423" s="3">
        <v>1116.78</v>
      </c>
      <c r="M423" s="3">
        <v>537.66999999999996</v>
      </c>
      <c r="N423" t="s">
        <v>471</v>
      </c>
      <c r="O423" t="s">
        <v>18</v>
      </c>
      <c r="P423" t="s">
        <v>19</v>
      </c>
      <c r="Q423" t="s">
        <v>465</v>
      </c>
    </row>
    <row r="424" spans="1:17" ht="17.45" customHeight="1" x14ac:dyDescent="0.2">
      <c r="A424" t="s">
        <v>732</v>
      </c>
      <c r="B424" t="s">
        <v>733</v>
      </c>
      <c r="C424" s="1">
        <f t="shared" si="53"/>
        <v>42460</v>
      </c>
      <c r="D424" s="1">
        <f t="shared" si="53"/>
        <v>42460</v>
      </c>
      <c r="E424" s="3">
        <v>3920</v>
      </c>
      <c r="F424" t="s">
        <v>20</v>
      </c>
      <c r="G424" s="2">
        <v>10</v>
      </c>
      <c r="H424" s="2">
        <v>0</v>
      </c>
      <c r="I424" s="1">
        <f t="shared" si="52"/>
        <v>44926</v>
      </c>
      <c r="J424" s="3">
        <v>32.630000000000003</v>
      </c>
      <c r="K424" s="3">
        <v>392</v>
      </c>
      <c r="L424" s="3">
        <v>2646</v>
      </c>
      <c r="M424" s="3">
        <v>1274</v>
      </c>
      <c r="N424" t="s">
        <v>467</v>
      </c>
      <c r="O424" t="s">
        <v>18</v>
      </c>
      <c r="P424" t="s">
        <v>19</v>
      </c>
      <c r="Q424" t="s">
        <v>465</v>
      </c>
    </row>
    <row r="425" spans="1:17" ht="17.45" customHeight="1" x14ac:dyDescent="0.2">
      <c r="A425" t="s">
        <v>734</v>
      </c>
      <c r="B425" t="s">
        <v>735</v>
      </c>
      <c r="C425" s="1">
        <f t="shared" si="53"/>
        <v>42460</v>
      </c>
      <c r="D425" s="1">
        <f t="shared" si="53"/>
        <v>42460</v>
      </c>
      <c r="E425" s="3">
        <v>747.83</v>
      </c>
      <c r="F425" t="s">
        <v>20</v>
      </c>
      <c r="G425" s="2">
        <v>10</v>
      </c>
      <c r="H425" s="2">
        <v>0</v>
      </c>
      <c r="I425" s="1">
        <f t="shared" si="52"/>
        <v>44926</v>
      </c>
      <c r="J425" s="3">
        <v>6.25</v>
      </c>
      <c r="K425" s="3">
        <v>74.78</v>
      </c>
      <c r="L425" s="3">
        <v>504.77</v>
      </c>
      <c r="M425" s="3">
        <v>243.06</v>
      </c>
      <c r="N425" t="s">
        <v>471</v>
      </c>
      <c r="O425" t="s">
        <v>18</v>
      </c>
      <c r="P425" t="s">
        <v>19</v>
      </c>
      <c r="Q425" t="s">
        <v>465</v>
      </c>
    </row>
    <row r="426" spans="1:17" ht="17.45" customHeight="1" x14ac:dyDescent="0.2">
      <c r="A426" t="s">
        <v>736</v>
      </c>
      <c r="B426" t="s">
        <v>737</v>
      </c>
      <c r="C426" s="1">
        <f t="shared" si="53"/>
        <v>42460</v>
      </c>
      <c r="D426" s="1">
        <f t="shared" si="53"/>
        <v>42460</v>
      </c>
      <c r="E426" s="3">
        <v>490</v>
      </c>
      <c r="F426" t="s">
        <v>20</v>
      </c>
      <c r="G426" s="2">
        <v>10</v>
      </c>
      <c r="H426" s="2">
        <v>0</v>
      </c>
      <c r="I426" s="1">
        <f t="shared" si="52"/>
        <v>44926</v>
      </c>
      <c r="J426" s="3">
        <v>4.12</v>
      </c>
      <c r="K426" s="3">
        <v>49</v>
      </c>
      <c r="L426" s="3">
        <v>330.75</v>
      </c>
      <c r="M426" s="3">
        <v>159.25</v>
      </c>
      <c r="N426" t="s">
        <v>471</v>
      </c>
      <c r="O426" t="s">
        <v>18</v>
      </c>
      <c r="P426" t="s">
        <v>19</v>
      </c>
      <c r="Q426" t="s">
        <v>465</v>
      </c>
    </row>
    <row r="427" spans="1:17" ht="17.45" customHeight="1" x14ac:dyDescent="0.2">
      <c r="A427" t="s">
        <v>747</v>
      </c>
      <c r="B427" t="s">
        <v>748</v>
      </c>
      <c r="C427" s="1">
        <f t="shared" ref="C427:D431" si="54">DATE(2016,3,1)</f>
        <v>42430</v>
      </c>
      <c r="D427" s="1">
        <f t="shared" si="54"/>
        <v>42430</v>
      </c>
      <c r="E427" s="3">
        <v>6754.77</v>
      </c>
      <c r="F427" t="s">
        <v>20</v>
      </c>
      <c r="G427" s="2">
        <v>10</v>
      </c>
      <c r="H427" s="2">
        <v>0</v>
      </c>
      <c r="I427" s="1">
        <f t="shared" si="52"/>
        <v>44926</v>
      </c>
      <c r="J427" s="3">
        <v>56.29</v>
      </c>
      <c r="K427" s="3">
        <v>675.48</v>
      </c>
      <c r="L427" s="3">
        <v>4615.78</v>
      </c>
      <c r="M427" s="3">
        <v>2138.9899999999998</v>
      </c>
      <c r="N427" t="s">
        <v>471</v>
      </c>
      <c r="O427" t="s">
        <v>18</v>
      </c>
      <c r="P427" t="s">
        <v>19</v>
      </c>
      <c r="Q427" t="s">
        <v>465</v>
      </c>
    </row>
    <row r="428" spans="1:17" ht="17.45" customHeight="1" x14ac:dyDescent="0.2">
      <c r="A428" t="s">
        <v>749</v>
      </c>
      <c r="B428" t="s">
        <v>750</v>
      </c>
      <c r="C428" s="1">
        <f t="shared" si="54"/>
        <v>42430</v>
      </c>
      <c r="D428" s="1">
        <f t="shared" si="54"/>
        <v>42430</v>
      </c>
      <c r="E428" s="3">
        <v>4287.76</v>
      </c>
      <c r="F428" t="s">
        <v>20</v>
      </c>
      <c r="G428" s="2">
        <v>5</v>
      </c>
      <c r="H428" s="2">
        <v>0</v>
      </c>
      <c r="I428" s="1">
        <f>DATE(2021,3,1)</f>
        <v>44256</v>
      </c>
      <c r="J428" s="3">
        <v>0</v>
      </c>
      <c r="K428" s="3">
        <v>0</v>
      </c>
      <c r="L428" s="3">
        <v>4287.76</v>
      </c>
      <c r="M428" s="3">
        <v>0</v>
      </c>
      <c r="N428" t="s">
        <v>466</v>
      </c>
      <c r="O428" t="s">
        <v>18</v>
      </c>
      <c r="P428" t="s">
        <v>19</v>
      </c>
      <c r="Q428" t="s">
        <v>465</v>
      </c>
    </row>
    <row r="429" spans="1:17" ht="17.45" customHeight="1" x14ac:dyDescent="0.2">
      <c r="A429" t="s">
        <v>755</v>
      </c>
      <c r="B429" t="s">
        <v>756</v>
      </c>
      <c r="C429" s="1">
        <f t="shared" si="54"/>
        <v>42430</v>
      </c>
      <c r="D429" s="1">
        <f t="shared" si="54"/>
        <v>42430</v>
      </c>
      <c r="E429" s="3">
        <v>9490.2800000000007</v>
      </c>
      <c r="F429" t="s">
        <v>20</v>
      </c>
      <c r="G429" s="2">
        <v>10</v>
      </c>
      <c r="H429" s="2">
        <v>0</v>
      </c>
      <c r="I429" s="1">
        <f>DATE(2022,12,31)</f>
        <v>44926</v>
      </c>
      <c r="J429" s="3">
        <v>79.040000000000006</v>
      </c>
      <c r="K429" s="3">
        <v>949.03</v>
      </c>
      <c r="L429" s="3">
        <v>6485.04</v>
      </c>
      <c r="M429" s="3">
        <v>3005.24</v>
      </c>
      <c r="N429" t="s">
        <v>467</v>
      </c>
      <c r="O429" t="s">
        <v>18</v>
      </c>
      <c r="P429" t="s">
        <v>19</v>
      </c>
      <c r="Q429" t="s">
        <v>465</v>
      </c>
    </row>
    <row r="430" spans="1:17" ht="17.45" customHeight="1" x14ac:dyDescent="0.2">
      <c r="A430" t="s">
        <v>757</v>
      </c>
      <c r="B430" t="s">
        <v>758</v>
      </c>
      <c r="C430" s="1">
        <f t="shared" si="54"/>
        <v>42430</v>
      </c>
      <c r="D430" s="1">
        <f t="shared" si="54"/>
        <v>42430</v>
      </c>
      <c r="E430" s="3">
        <v>2403.39</v>
      </c>
      <c r="F430" t="s">
        <v>20</v>
      </c>
      <c r="G430" s="2">
        <v>10</v>
      </c>
      <c r="H430" s="2">
        <v>0</v>
      </c>
      <c r="I430" s="1">
        <f>DATE(2022,12,31)</f>
        <v>44926</v>
      </c>
      <c r="J430" s="3">
        <v>20.010000000000002</v>
      </c>
      <c r="K430" s="3">
        <v>240.34</v>
      </c>
      <c r="L430" s="3">
        <v>1642.32</v>
      </c>
      <c r="M430" s="3">
        <v>761.07</v>
      </c>
      <c r="N430" t="s">
        <v>467</v>
      </c>
      <c r="O430" t="s">
        <v>18</v>
      </c>
      <c r="P430" t="s">
        <v>19</v>
      </c>
      <c r="Q430" t="s">
        <v>465</v>
      </c>
    </row>
    <row r="431" spans="1:17" ht="17.45" customHeight="1" x14ac:dyDescent="0.2">
      <c r="A431" t="s">
        <v>759</v>
      </c>
      <c r="B431" t="s">
        <v>760</v>
      </c>
      <c r="C431" s="1">
        <f t="shared" si="54"/>
        <v>42430</v>
      </c>
      <c r="D431" s="1">
        <f t="shared" si="54"/>
        <v>42430</v>
      </c>
      <c r="E431" s="3">
        <v>5259.01</v>
      </c>
      <c r="F431" t="s">
        <v>20</v>
      </c>
      <c r="G431" s="2">
        <v>5</v>
      </c>
      <c r="H431" s="2">
        <v>0</v>
      </c>
      <c r="I431" s="1">
        <f>DATE(2021,3,1)</f>
        <v>44256</v>
      </c>
      <c r="J431" s="3">
        <v>0</v>
      </c>
      <c r="K431" s="3">
        <v>0</v>
      </c>
      <c r="L431" s="3">
        <v>5259.01</v>
      </c>
      <c r="M431" s="3">
        <v>0</v>
      </c>
      <c r="N431" t="s">
        <v>466</v>
      </c>
      <c r="O431" t="s">
        <v>18</v>
      </c>
      <c r="P431" t="s">
        <v>19</v>
      </c>
      <c r="Q431" t="s">
        <v>465</v>
      </c>
    </row>
    <row r="432" spans="1:17" ht="17.45" customHeight="1" x14ac:dyDescent="0.2">
      <c r="A432" t="s">
        <v>784</v>
      </c>
      <c r="B432" t="s">
        <v>785</v>
      </c>
      <c r="C432" s="1">
        <f t="shared" ref="C432:D434" si="55">DATE(2016,6,30)</f>
        <v>42551</v>
      </c>
      <c r="D432" s="1">
        <f t="shared" si="55"/>
        <v>42551</v>
      </c>
      <c r="E432" s="3">
        <v>86.88</v>
      </c>
      <c r="F432" t="s">
        <v>20</v>
      </c>
      <c r="G432" s="2">
        <v>10</v>
      </c>
      <c r="H432" s="2">
        <v>0</v>
      </c>
      <c r="I432" s="1">
        <f>DATE(2022,12,31)</f>
        <v>44926</v>
      </c>
      <c r="J432" s="3">
        <v>0.77</v>
      </c>
      <c r="K432" s="3">
        <v>8.69</v>
      </c>
      <c r="L432" s="3">
        <v>56.48</v>
      </c>
      <c r="M432" s="3">
        <v>30.4</v>
      </c>
      <c r="N432" t="s">
        <v>467</v>
      </c>
      <c r="O432" t="s">
        <v>18</v>
      </c>
      <c r="P432" t="s">
        <v>19</v>
      </c>
      <c r="Q432" t="s">
        <v>465</v>
      </c>
    </row>
    <row r="433" spans="1:17" ht="17.45" customHeight="1" x14ac:dyDescent="0.2">
      <c r="A433" t="s">
        <v>786</v>
      </c>
      <c r="B433" t="s">
        <v>787</v>
      </c>
      <c r="C433" s="1">
        <f t="shared" si="55"/>
        <v>42551</v>
      </c>
      <c r="D433" s="1">
        <f t="shared" si="55"/>
        <v>42551</v>
      </c>
      <c r="E433" s="3">
        <v>1681.82</v>
      </c>
      <c r="F433" t="s">
        <v>20</v>
      </c>
      <c r="G433" s="2">
        <v>10</v>
      </c>
      <c r="H433" s="2">
        <v>0</v>
      </c>
      <c r="I433" s="1">
        <f>DATE(2022,12,31)</f>
        <v>44926</v>
      </c>
      <c r="J433" s="3">
        <v>13.96</v>
      </c>
      <c r="K433" s="3">
        <v>168.18</v>
      </c>
      <c r="L433" s="3">
        <v>1093.17</v>
      </c>
      <c r="M433" s="3">
        <v>588.65</v>
      </c>
      <c r="N433" t="s">
        <v>471</v>
      </c>
      <c r="O433" t="s">
        <v>18</v>
      </c>
      <c r="P433" t="s">
        <v>19</v>
      </c>
      <c r="Q433" t="s">
        <v>465</v>
      </c>
    </row>
    <row r="434" spans="1:17" ht="17.45" customHeight="1" x14ac:dyDescent="0.2">
      <c r="A434" t="s">
        <v>788</v>
      </c>
      <c r="B434" t="s">
        <v>789</v>
      </c>
      <c r="C434" s="1">
        <f t="shared" si="55"/>
        <v>42551</v>
      </c>
      <c r="D434" s="1">
        <f t="shared" si="55"/>
        <v>42551</v>
      </c>
      <c r="E434" s="3">
        <v>223.25</v>
      </c>
      <c r="F434" t="s">
        <v>20</v>
      </c>
      <c r="G434" s="2">
        <v>5</v>
      </c>
      <c r="H434" s="2">
        <v>0</v>
      </c>
      <c r="I434" s="1">
        <f>DATE(2021,6,30)</f>
        <v>44377</v>
      </c>
      <c r="J434" s="3">
        <v>0</v>
      </c>
      <c r="K434" s="3">
        <v>0</v>
      </c>
      <c r="L434" s="3">
        <v>223.25</v>
      </c>
      <c r="M434" s="3">
        <v>0</v>
      </c>
      <c r="N434" t="s">
        <v>466</v>
      </c>
      <c r="O434" t="s">
        <v>18</v>
      </c>
      <c r="P434" t="s">
        <v>19</v>
      </c>
      <c r="Q434" t="s">
        <v>465</v>
      </c>
    </row>
    <row r="435" spans="1:17" ht="17.45" customHeight="1" x14ac:dyDescent="0.2">
      <c r="A435" t="s">
        <v>794</v>
      </c>
      <c r="B435" t="s">
        <v>795</v>
      </c>
      <c r="C435" s="1">
        <f>DATE(2016,7,1)</f>
        <v>42552</v>
      </c>
      <c r="D435" s="1">
        <f>DATE(2016,7,1)</f>
        <v>42552</v>
      </c>
      <c r="E435" s="3">
        <v>103.77</v>
      </c>
      <c r="F435" t="s">
        <v>20</v>
      </c>
      <c r="G435" s="2">
        <v>10</v>
      </c>
      <c r="H435" s="2">
        <v>0</v>
      </c>
      <c r="I435" s="1">
        <f t="shared" ref="I435:I475" si="56">DATE(2022,12,31)</f>
        <v>44926</v>
      </c>
      <c r="J435" s="3">
        <v>0.92</v>
      </c>
      <c r="K435" s="3">
        <v>10.38</v>
      </c>
      <c r="L435" s="3">
        <v>67.47</v>
      </c>
      <c r="M435" s="3">
        <v>36.299999999999997</v>
      </c>
      <c r="N435" t="s">
        <v>471</v>
      </c>
      <c r="O435" t="s">
        <v>18</v>
      </c>
      <c r="P435" t="s">
        <v>19</v>
      </c>
      <c r="Q435" t="s">
        <v>465</v>
      </c>
    </row>
    <row r="436" spans="1:17" ht="17.45" customHeight="1" x14ac:dyDescent="0.2">
      <c r="A436" t="s">
        <v>844</v>
      </c>
      <c r="B436" t="s">
        <v>845</v>
      </c>
      <c r="C436" s="1">
        <f>DATE(2017,8,1)</f>
        <v>42948</v>
      </c>
      <c r="D436" s="1">
        <f>DATE(2017,8,1)</f>
        <v>42948</v>
      </c>
      <c r="E436" s="3">
        <v>1233</v>
      </c>
      <c r="F436" t="s">
        <v>20</v>
      </c>
      <c r="G436" s="2">
        <v>20</v>
      </c>
      <c r="H436" s="2">
        <v>0</v>
      </c>
      <c r="I436" s="1">
        <f t="shared" si="56"/>
        <v>44926</v>
      </c>
      <c r="J436" s="3">
        <v>5.1100000000000003</v>
      </c>
      <c r="K436" s="3">
        <v>61.65</v>
      </c>
      <c r="L436" s="3">
        <v>333.94</v>
      </c>
      <c r="M436" s="3">
        <v>899.06</v>
      </c>
      <c r="N436" t="s">
        <v>464</v>
      </c>
      <c r="O436" t="s">
        <v>18</v>
      </c>
      <c r="P436" t="s">
        <v>19</v>
      </c>
      <c r="Q436" t="s">
        <v>465</v>
      </c>
    </row>
    <row r="437" spans="1:17" ht="17.45" customHeight="1" x14ac:dyDescent="0.2">
      <c r="A437" t="s">
        <v>880</v>
      </c>
      <c r="B437" t="s">
        <v>881</v>
      </c>
      <c r="C437" s="1">
        <f>DATE(2018,10,31)</f>
        <v>43404</v>
      </c>
      <c r="D437" s="1">
        <f>DATE(2018,10,31)</f>
        <v>43404</v>
      </c>
      <c r="E437" s="3">
        <v>5198.28</v>
      </c>
      <c r="F437" t="s">
        <v>20</v>
      </c>
      <c r="G437" s="2">
        <v>5</v>
      </c>
      <c r="H437" s="2">
        <v>0</v>
      </c>
      <c r="I437" s="1">
        <f t="shared" si="56"/>
        <v>44926</v>
      </c>
      <c r="J437" s="3">
        <v>86.62</v>
      </c>
      <c r="K437" s="3">
        <v>1039.6600000000001</v>
      </c>
      <c r="L437" s="3">
        <v>4331.92</v>
      </c>
      <c r="M437" s="3">
        <v>866.36</v>
      </c>
      <c r="N437" t="s">
        <v>466</v>
      </c>
      <c r="O437" t="s">
        <v>18</v>
      </c>
      <c r="P437" t="s">
        <v>19</v>
      </c>
      <c r="Q437" t="s">
        <v>465</v>
      </c>
    </row>
    <row r="438" spans="1:17" ht="17.45" customHeight="1" x14ac:dyDescent="0.2">
      <c r="A438" t="s">
        <v>894</v>
      </c>
      <c r="B438" t="s">
        <v>895</v>
      </c>
      <c r="C438" s="1">
        <f>DATE(2019,1,31)</f>
        <v>43496</v>
      </c>
      <c r="D438" s="1">
        <f>DATE(2019,1,31)</f>
        <v>43496</v>
      </c>
      <c r="E438" s="3">
        <v>626.44000000000005</v>
      </c>
      <c r="F438" t="s">
        <v>20</v>
      </c>
      <c r="G438" s="2">
        <v>10</v>
      </c>
      <c r="H438" s="2">
        <v>0</v>
      </c>
      <c r="I438" s="1">
        <f t="shared" si="56"/>
        <v>44926</v>
      </c>
      <c r="J438" s="3">
        <v>5.22</v>
      </c>
      <c r="K438" s="3">
        <v>62.64</v>
      </c>
      <c r="L438" s="3">
        <v>245.34</v>
      </c>
      <c r="M438" s="3">
        <v>381.1</v>
      </c>
      <c r="N438" t="s">
        <v>471</v>
      </c>
      <c r="O438" t="s">
        <v>18</v>
      </c>
      <c r="P438" t="s">
        <v>19</v>
      </c>
      <c r="Q438" t="s">
        <v>465</v>
      </c>
    </row>
    <row r="439" spans="1:17" ht="17.45" customHeight="1" x14ac:dyDescent="0.2">
      <c r="A439" t="s">
        <v>896</v>
      </c>
      <c r="B439" t="s">
        <v>897</v>
      </c>
      <c r="C439" s="1">
        <f t="shared" ref="C439:D441" si="57">DATE(2019,2,28)</f>
        <v>43524</v>
      </c>
      <c r="D439" s="1">
        <f t="shared" si="57"/>
        <v>43524</v>
      </c>
      <c r="E439" s="3">
        <v>627.01</v>
      </c>
      <c r="F439" t="s">
        <v>20</v>
      </c>
      <c r="G439" s="2">
        <v>20</v>
      </c>
      <c r="H439" s="2">
        <v>0</v>
      </c>
      <c r="I439" s="1">
        <f t="shared" si="56"/>
        <v>44926</v>
      </c>
      <c r="J439" s="3">
        <v>2.64</v>
      </c>
      <c r="K439" s="3">
        <v>31.35</v>
      </c>
      <c r="L439" s="3">
        <v>120.18</v>
      </c>
      <c r="M439" s="3">
        <v>506.83</v>
      </c>
      <c r="N439" t="s">
        <v>464</v>
      </c>
      <c r="O439" t="s">
        <v>18</v>
      </c>
      <c r="P439" t="s">
        <v>19</v>
      </c>
      <c r="Q439" t="s">
        <v>465</v>
      </c>
    </row>
    <row r="440" spans="1:17" ht="17.45" customHeight="1" x14ac:dyDescent="0.2">
      <c r="A440" t="s">
        <v>898</v>
      </c>
      <c r="B440" t="s">
        <v>899</v>
      </c>
      <c r="C440" s="1">
        <f t="shared" si="57"/>
        <v>43524</v>
      </c>
      <c r="D440" s="1">
        <f t="shared" si="57"/>
        <v>43524</v>
      </c>
      <c r="E440" s="3">
        <v>2665.53</v>
      </c>
      <c r="F440" t="s">
        <v>20</v>
      </c>
      <c r="G440" s="2">
        <v>10</v>
      </c>
      <c r="H440" s="2">
        <v>0</v>
      </c>
      <c r="I440" s="1">
        <f t="shared" si="56"/>
        <v>44926</v>
      </c>
      <c r="J440" s="3">
        <v>22.24</v>
      </c>
      <c r="K440" s="3">
        <v>266.55</v>
      </c>
      <c r="L440" s="3">
        <v>1021.78</v>
      </c>
      <c r="M440" s="3">
        <v>1643.75</v>
      </c>
      <c r="N440" t="s">
        <v>467</v>
      </c>
      <c r="O440" t="s">
        <v>18</v>
      </c>
      <c r="P440" t="s">
        <v>19</v>
      </c>
      <c r="Q440" t="s">
        <v>465</v>
      </c>
    </row>
    <row r="441" spans="1:17" ht="17.45" customHeight="1" x14ac:dyDescent="0.2">
      <c r="A441" t="s">
        <v>900</v>
      </c>
      <c r="B441" t="s">
        <v>901</v>
      </c>
      <c r="C441" s="1">
        <f t="shared" si="57"/>
        <v>43524</v>
      </c>
      <c r="D441" s="1">
        <f t="shared" si="57"/>
        <v>43524</v>
      </c>
      <c r="E441" s="3">
        <v>888.3</v>
      </c>
      <c r="F441" t="s">
        <v>20</v>
      </c>
      <c r="G441" s="2">
        <v>10</v>
      </c>
      <c r="H441" s="2">
        <v>0</v>
      </c>
      <c r="I441" s="1">
        <f t="shared" si="56"/>
        <v>44926</v>
      </c>
      <c r="J441" s="3">
        <v>7.43</v>
      </c>
      <c r="K441" s="3">
        <v>88.83</v>
      </c>
      <c r="L441" s="3">
        <v>340.52</v>
      </c>
      <c r="M441" s="3">
        <v>547.78</v>
      </c>
      <c r="N441" t="s">
        <v>471</v>
      </c>
      <c r="O441" t="s">
        <v>18</v>
      </c>
      <c r="P441" t="s">
        <v>19</v>
      </c>
      <c r="Q441" t="s">
        <v>465</v>
      </c>
    </row>
    <row r="442" spans="1:17" ht="17.45" customHeight="1" x14ac:dyDescent="0.2">
      <c r="A442" t="s">
        <v>908</v>
      </c>
      <c r="B442" t="s">
        <v>909</v>
      </c>
      <c r="C442" s="1">
        <f>DATE(2019,4,30)</f>
        <v>43585</v>
      </c>
      <c r="D442" s="1">
        <f>DATE(2019,4,30)</f>
        <v>43585</v>
      </c>
      <c r="E442" s="3">
        <v>2870</v>
      </c>
      <c r="F442" t="s">
        <v>20</v>
      </c>
      <c r="G442" s="2">
        <v>10</v>
      </c>
      <c r="H442" s="2">
        <v>0</v>
      </c>
      <c r="I442" s="1">
        <f t="shared" si="56"/>
        <v>44926</v>
      </c>
      <c r="J442" s="3">
        <v>23.88</v>
      </c>
      <c r="K442" s="3">
        <v>287</v>
      </c>
      <c r="L442" s="3">
        <v>1052.33</v>
      </c>
      <c r="M442" s="3">
        <v>1817.67</v>
      </c>
      <c r="N442" t="s">
        <v>467</v>
      </c>
      <c r="O442" t="s">
        <v>18</v>
      </c>
      <c r="P442" t="s">
        <v>19</v>
      </c>
      <c r="Q442" t="s">
        <v>465</v>
      </c>
    </row>
    <row r="443" spans="1:17" ht="17.45" customHeight="1" x14ac:dyDescent="0.2">
      <c r="A443" t="s">
        <v>922</v>
      </c>
      <c r="B443" t="s">
        <v>923</v>
      </c>
      <c r="C443" s="1">
        <f>DATE(2019,6,30)</f>
        <v>43646</v>
      </c>
      <c r="D443" s="1">
        <f>DATE(2019,6,30)</f>
        <v>43646</v>
      </c>
      <c r="E443" s="3">
        <v>1442.94</v>
      </c>
      <c r="F443" t="s">
        <v>20</v>
      </c>
      <c r="G443" s="2">
        <v>5</v>
      </c>
      <c r="H443" s="2">
        <v>0</v>
      </c>
      <c r="I443" s="1">
        <f t="shared" si="56"/>
        <v>44926</v>
      </c>
      <c r="J443" s="3">
        <v>24.04</v>
      </c>
      <c r="K443" s="3">
        <v>288.58999999999997</v>
      </c>
      <c r="L443" s="3">
        <v>1010.06</v>
      </c>
      <c r="M443" s="3">
        <v>432.88</v>
      </c>
      <c r="N443" t="s">
        <v>466</v>
      </c>
      <c r="O443" t="s">
        <v>18</v>
      </c>
      <c r="P443" t="s">
        <v>19</v>
      </c>
      <c r="Q443" t="s">
        <v>465</v>
      </c>
    </row>
    <row r="444" spans="1:17" ht="17.45" customHeight="1" x14ac:dyDescent="0.2">
      <c r="A444" t="s">
        <v>931</v>
      </c>
      <c r="B444" t="s">
        <v>930</v>
      </c>
      <c r="C444" s="1">
        <f>DATE(2019,9,30)</f>
        <v>43738</v>
      </c>
      <c r="D444" s="1">
        <f>DATE(2019,9,30)</f>
        <v>43738</v>
      </c>
      <c r="E444" s="3">
        <v>3675.98</v>
      </c>
      <c r="F444" t="s">
        <v>20</v>
      </c>
      <c r="G444" s="2">
        <v>10</v>
      </c>
      <c r="H444" s="2">
        <v>0</v>
      </c>
      <c r="I444" s="1">
        <f t="shared" si="56"/>
        <v>44926</v>
      </c>
      <c r="J444" s="3">
        <v>30.67</v>
      </c>
      <c r="K444" s="3">
        <v>367.6</v>
      </c>
      <c r="L444" s="3">
        <v>1194.7</v>
      </c>
      <c r="M444" s="3">
        <v>2481.2800000000002</v>
      </c>
      <c r="N444" t="s">
        <v>467</v>
      </c>
      <c r="O444" t="s">
        <v>18</v>
      </c>
      <c r="P444" t="s">
        <v>19</v>
      </c>
      <c r="Q444" t="s">
        <v>465</v>
      </c>
    </row>
    <row r="445" spans="1:17" ht="17.45" customHeight="1" x14ac:dyDescent="0.2">
      <c r="A445" t="s">
        <v>934</v>
      </c>
      <c r="B445" t="s">
        <v>935</v>
      </c>
      <c r="C445" s="1">
        <f>DATE(2019,10,31)</f>
        <v>43769</v>
      </c>
      <c r="D445" s="1">
        <f>DATE(2019,10,31)</f>
        <v>43769</v>
      </c>
      <c r="E445" s="3">
        <v>24464.29</v>
      </c>
      <c r="F445" t="s">
        <v>20</v>
      </c>
      <c r="G445" s="2">
        <v>10</v>
      </c>
      <c r="H445" s="2">
        <v>0</v>
      </c>
      <c r="I445" s="1">
        <f t="shared" si="56"/>
        <v>44926</v>
      </c>
      <c r="J445" s="3">
        <v>203.86</v>
      </c>
      <c r="K445" s="3">
        <v>2446.4299999999998</v>
      </c>
      <c r="L445" s="3">
        <v>7747.03</v>
      </c>
      <c r="M445" s="3">
        <v>16717.259999999998</v>
      </c>
      <c r="N445" t="s">
        <v>472</v>
      </c>
      <c r="O445" t="s">
        <v>18</v>
      </c>
      <c r="P445" t="s">
        <v>19</v>
      </c>
      <c r="Q445" t="s">
        <v>465</v>
      </c>
    </row>
    <row r="446" spans="1:17" ht="17.45" customHeight="1" x14ac:dyDescent="0.2">
      <c r="A446" t="s">
        <v>940</v>
      </c>
      <c r="B446" t="s">
        <v>941</v>
      </c>
      <c r="C446" s="1">
        <f>DATE(2019,12,31)</f>
        <v>43830</v>
      </c>
      <c r="D446" s="1">
        <f>DATE(2019,12,31)</f>
        <v>43830</v>
      </c>
      <c r="E446" s="3">
        <v>1554.4</v>
      </c>
      <c r="F446" t="s">
        <v>20</v>
      </c>
      <c r="G446" s="2">
        <v>5</v>
      </c>
      <c r="H446" s="2">
        <v>0</v>
      </c>
      <c r="I446" s="1">
        <f t="shared" si="56"/>
        <v>44926</v>
      </c>
      <c r="J446" s="3">
        <v>25.87</v>
      </c>
      <c r="K446" s="3">
        <v>310.88</v>
      </c>
      <c r="L446" s="3">
        <v>932.64</v>
      </c>
      <c r="M446" s="3">
        <v>621.76</v>
      </c>
      <c r="N446" t="s">
        <v>466</v>
      </c>
      <c r="O446" t="s">
        <v>18</v>
      </c>
      <c r="P446" t="s">
        <v>19</v>
      </c>
      <c r="Q446" t="s">
        <v>465</v>
      </c>
    </row>
    <row r="447" spans="1:17" ht="17.45" customHeight="1" x14ac:dyDescent="0.2">
      <c r="A447" t="s">
        <v>949</v>
      </c>
      <c r="B447" t="s">
        <v>948</v>
      </c>
      <c r="C447" s="1">
        <f>DATE(2020,2,29)</f>
        <v>43890</v>
      </c>
      <c r="D447" s="1">
        <f>DATE(2020,2,29)</f>
        <v>43890</v>
      </c>
      <c r="E447" s="3">
        <v>651.54</v>
      </c>
      <c r="F447" t="s">
        <v>20</v>
      </c>
      <c r="G447" s="2">
        <v>20</v>
      </c>
      <c r="H447" s="2">
        <v>0</v>
      </c>
      <c r="I447" s="1">
        <f t="shared" si="56"/>
        <v>44926</v>
      </c>
      <c r="J447" s="3">
        <v>2.77</v>
      </c>
      <c r="K447" s="3">
        <v>32.58</v>
      </c>
      <c r="L447" s="3">
        <v>92.31</v>
      </c>
      <c r="M447" s="3">
        <v>559.23</v>
      </c>
      <c r="N447" t="s">
        <v>464</v>
      </c>
      <c r="O447" t="s">
        <v>18</v>
      </c>
      <c r="P447" t="s">
        <v>19</v>
      </c>
      <c r="Q447" t="s">
        <v>465</v>
      </c>
    </row>
    <row r="448" spans="1:17" ht="17.45" customHeight="1" x14ac:dyDescent="0.2">
      <c r="A448" t="s">
        <v>950</v>
      </c>
      <c r="B448" t="s">
        <v>951</v>
      </c>
      <c r="C448" s="1">
        <f>DATE(2020,2,29)</f>
        <v>43890</v>
      </c>
      <c r="D448" s="1">
        <f>DATE(2020,2,29)</f>
        <v>43890</v>
      </c>
      <c r="E448" s="3">
        <v>2726.25</v>
      </c>
      <c r="F448" t="s">
        <v>20</v>
      </c>
      <c r="G448" s="2">
        <v>10</v>
      </c>
      <c r="H448" s="2">
        <v>0</v>
      </c>
      <c r="I448" s="1">
        <f t="shared" si="56"/>
        <v>44926</v>
      </c>
      <c r="J448" s="3">
        <v>22.71</v>
      </c>
      <c r="K448" s="3">
        <v>272.63</v>
      </c>
      <c r="L448" s="3">
        <v>772.45</v>
      </c>
      <c r="M448" s="3">
        <v>1953.8</v>
      </c>
      <c r="N448" t="s">
        <v>471</v>
      </c>
      <c r="O448" t="s">
        <v>18</v>
      </c>
      <c r="P448" t="s">
        <v>19</v>
      </c>
      <c r="Q448" t="s">
        <v>465</v>
      </c>
    </row>
    <row r="449" spans="1:17" ht="17.45" customHeight="1" x14ac:dyDescent="0.2">
      <c r="A449" t="s">
        <v>1012</v>
      </c>
      <c r="B449" t="s">
        <v>1013</v>
      </c>
      <c r="C449" s="1">
        <f>DATE(2020,12,31)</f>
        <v>44196</v>
      </c>
      <c r="D449" s="1">
        <f>DATE(2020,12,31)</f>
        <v>44196</v>
      </c>
      <c r="E449" s="3">
        <v>325.08</v>
      </c>
      <c r="F449" t="s">
        <v>20</v>
      </c>
      <c r="G449" s="2">
        <v>5</v>
      </c>
      <c r="H449" s="2">
        <v>0</v>
      </c>
      <c r="I449" s="1">
        <f t="shared" si="56"/>
        <v>44926</v>
      </c>
      <c r="J449" s="3">
        <v>5.4</v>
      </c>
      <c r="K449" s="3">
        <v>65.02</v>
      </c>
      <c r="L449" s="3">
        <v>130.04</v>
      </c>
      <c r="M449" s="3">
        <v>195.04</v>
      </c>
      <c r="N449" t="s">
        <v>466</v>
      </c>
      <c r="O449" t="s">
        <v>18</v>
      </c>
      <c r="P449" t="s">
        <v>19</v>
      </c>
      <c r="Q449" t="s">
        <v>465</v>
      </c>
    </row>
    <row r="450" spans="1:17" ht="17.45" customHeight="1" x14ac:dyDescent="0.2">
      <c r="A450" t="s">
        <v>1014</v>
      </c>
      <c r="B450" t="s">
        <v>1015</v>
      </c>
      <c r="C450" s="1">
        <f>DATE(2021,1,31)</f>
        <v>44227</v>
      </c>
      <c r="D450" s="1">
        <f>DATE(2021,1,31)</f>
        <v>44227</v>
      </c>
      <c r="E450" s="3">
        <v>513.5</v>
      </c>
      <c r="F450" t="s">
        <v>20</v>
      </c>
      <c r="G450" s="2">
        <v>10</v>
      </c>
      <c r="H450" s="2">
        <v>0</v>
      </c>
      <c r="I450" s="1">
        <f t="shared" si="56"/>
        <v>44926</v>
      </c>
      <c r="J450" s="3">
        <v>4.2699999999999996</v>
      </c>
      <c r="K450" s="3">
        <v>51.35</v>
      </c>
      <c r="L450" s="3">
        <v>98.42</v>
      </c>
      <c r="M450" s="3">
        <v>415.08</v>
      </c>
      <c r="N450" t="s">
        <v>467</v>
      </c>
      <c r="O450" t="s">
        <v>18</v>
      </c>
      <c r="P450" t="s">
        <v>19</v>
      </c>
      <c r="Q450" t="s">
        <v>465</v>
      </c>
    </row>
    <row r="451" spans="1:17" ht="17.45" customHeight="1" x14ac:dyDescent="0.2">
      <c r="A451" t="s">
        <v>1028</v>
      </c>
      <c r="B451" t="s">
        <v>1029</v>
      </c>
      <c r="C451" s="1">
        <f>DATE(2021,7,31)</f>
        <v>44408</v>
      </c>
      <c r="D451" s="1">
        <f>DATE(2021,7,31)</f>
        <v>44408</v>
      </c>
      <c r="E451" s="3">
        <v>914.47</v>
      </c>
      <c r="F451" t="s">
        <v>20</v>
      </c>
      <c r="G451" s="2">
        <v>20</v>
      </c>
      <c r="H451" s="2">
        <v>0</v>
      </c>
      <c r="I451" s="1">
        <f t="shared" si="56"/>
        <v>44926</v>
      </c>
      <c r="J451" s="3">
        <v>3.81</v>
      </c>
      <c r="K451" s="3">
        <v>45.72</v>
      </c>
      <c r="L451" s="3">
        <v>64.77</v>
      </c>
      <c r="M451" s="3">
        <v>849.7</v>
      </c>
      <c r="N451" t="s">
        <v>464</v>
      </c>
      <c r="O451" t="s">
        <v>18</v>
      </c>
      <c r="P451" t="s">
        <v>19</v>
      </c>
      <c r="Q451" t="s">
        <v>465</v>
      </c>
    </row>
    <row r="452" spans="1:17" ht="17.45" customHeight="1" x14ac:dyDescent="0.2">
      <c r="A452" t="s">
        <v>1033</v>
      </c>
      <c r="B452" t="s">
        <v>1032</v>
      </c>
      <c r="C452" s="1">
        <f>DATE(2021,8,31)</f>
        <v>44439</v>
      </c>
      <c r="D452" s="1">
        <f>DATE(2021,8,31)</f>
        <v>44439</v>
      </c>
      <c r="E452" s="3">
        <v>4602.3</v>
      </c>
      <c r="F452" t="s">
        <v>20</v>
      </c>
      <c r="G452" s="2">
        <v>10</v>
      </c>
      <c r="H452" s="2">
        <v>0</v>
      </c>
      <c r="I452" s="1">
        <f t="shared" si="56"/>
        <v>44926</v>
      </c>
      <c r="J452" s="3">
        <v>38.380000000000003</v>
      </c>
      <c r="K452" s="3">
        <v>460.23</v>
      </c>
      <c r="L452" s="3">
        <v>613.64</v>
      </c>
      <c r="M452" s="3">
        <v>3988.66</v>
      </c>
      <c r="N452" t="s">
        <v>467</v>
      </c>
      <c r="O452" t="s">
        <v>18</v>
      </c>
      <c r="P452" t="s">
        <v>19</v>
      </c>
      <c r="Q452" t="s">
        <v>465</v>
      </c>
    </row>
    <row r="453" spans="1:17" ht="17.45" customHeight="1" x14ac:dyDescent="0.2">
      <c r="A453" t="s">
        <v>1034</v>
      </c>
      <c r="B453" t="s">
        <v>1035</v>
      </c>
      <c r="C453" s="1">
        <f>DATE(2021,9,30)</f>
        <v>44469</v>
      </c>
      <c r="D453" s="1">
        <f>DATE(2021,9,30)</f>
        <v>44469</v>
      </c>
      <c r="E453" s="3">
        <v>5323.59</v>
      </c>
      <c r="F453" t="s">
        <v>20</v>
      </c>
      <c r="G453" s="2">
        <v>10</v>
      </c>
      <c r="H453" s="2">
        <v>0</v>
      </c>
      <c r="I453" s="1">
        <f t="shared" si="56"/>
        <v>44926</v>
      </c>
      <c r="J453" s="3">
        <v>44.4</v>
      </c>
      <c r="K453" s="3">
        <v>532.36</v>
      </c>
      <c r="L453" s="3">
        <v>665.45</v>
      </c>
      <c r="M453" s="3">
        <v>4658.1400000000003</v>
      </c>
      <c r="N453" t="s">
        <v>472</v>
      </c>
      <c r="O453" t="s">
        <v>18</v>
      </c>
      <c r="P453" t="s">
        <v>19</v>
      </c>
      <c r="Q453" t="s">
        <v>465</v>
      </c>
    </row>
    <row r="454" spans="1:17" ht="17.45" customHeight="1" x14ac:dyDescent="0.2">
      <c r="A454" t="s">
        <v>1036</v>
      </c>
      <c r="B454" t="s">
        <v>1037</v>
      </c>
      <c r="C454" s="1">
        <f>DATE(2021,11,30)</f>
        <v>44530</v>
      </c>
      <c r="D454" s="1">
        <f>DATE(2021,11,30)</f>
        <v>44530</v>
      </c>
      <c r="E454" s="3">
        <v>8627.8799999999992</v>
      </c>
      <c r="F454" t="s">
        <v>20</v>
      </c>
      <c r="G454" s="2">
        <v>10</v>
      </c>
      <c r="H454" s="2">
        <v>0</v>
      </c>
      <c r="I454" s="1">
        <f t="shared" si="56"/>
        <v>44926</v>
      </c>
      <c r="J454" s="3">
        <v>71.89</v>
      </c>
      <c r="K454" s="3">
        <v>862.79</v>
      </c>
      <c r="L454" s="3">
        <v>934.69</v>
      </c>
      <c r="M454" s="3">
        <v>7693.19</v>
      </c>
      <c r="N454" t="s">
        <v>472</v>
      </c>
      <c r="O454" t="s">
        <v>18</v>
      </c>
      <c r="P454" t="s">
        <v>19</v>
      </c>
      <c r="Q454" t="s">
        <v>465</v>
      </c>
    </row>
    <row r="455" spans="1:17" ht="17.45" customHeight="1" x14ac:dyDescent="0.2">
      <c r="A455" t="s">
        <v>1044</v>
      </c>
      <c r="B455" t="s">
        <v>1045</v>
      </c>
      <c r="C455" s="1">
        <f>DATE(2021,12,31)</f>
        <v>44561</v>
      </c>
      <c r="D455" s="1">
        <f>DATE(2021,12,31)</f>
        <v>44561</v>
      </c>
      <c r="E455" s="3">
        <v>2406.16</v>
      </c>
      <c r="F455" t="s">
        <v>20</v>
      </c>
      <c r="G455" s="2">
        <v>10</v>
      </c>
      <c r="H455" s="2">
        <v>0</v>
      </c>
      <c r="I455" s="1">
        <f t="shared" si="56"/>
        <v>44926</v>
      </c>
      <c r="J455" s="3">
        <v>20.07</v>
      </c>
      <c r="K455" s="3">
        <v>240.62</v>
      </c>
      <c r="L455" s="3">
        <v>240.62</v>
      </c>
      <c r="M455" s="3">
        <v>2165.54</v>
      </c>
      <c r="N455" t="s">
        <v>472</v>
      </c>
      <c r="O455" t="s">
        <v>18</v>
      </c>
      <c r="P455" t="s">
        <v>19</v>
      </c>
      <c r="Q455" t="s">
        <v>465</v>
      </c>
    </row>
    <row r="456" spans="1:17" ht="17.45" customHeight="1" x14ac:dyDescent="0.2">
      <c r="A456" t="s">
        <v>1046</v>
      </c>
      <c r="B456" t="s">
        <v>1047</v>
      </c>
      <c r="C456" s="1">
        <f>DATE(2022,1,31)</f>
        <v>44592</v>
      </c>
      <c r="D456" s="1">
        <f>DATE(2022,1,31)</f>
        <v>44592</v>
      </c>
      <c r="E456" s="3">
        <v>2219.52</v>
      </c>
      <c r="F456" t="s">
        <v>20</v>
      </c>
      <c r="G456" s="2">
        <v>10</v>
      </c>
      <c r="H456" s="2">
        <v>0</v>
      </c>
      <c r="I456" s="1">
        <f t="shared" si="56"/>
        <v>44926</v>
      </c>
      <c r="J456" s="3">
        <v>18.46</v>
      </c>
      <c r="K456" s="3">
        <v>203.46</v>
      </c>
      <c r="L456" s="3">
        <v>203.46</v>
      </c>
      <c r="M456" s="3">
        <v>2016.06</v>
      </c>
      <c r="N456" t="s">
        <v>467</v>
      </c>
      <c r="O456" t="s">
        <v>18</v>
      </c>
      <c r="P456" t="s">
        <v>19</v>
      </c>
      <c r="Q456" t="s">
        <v>465</v>
      </c>
    </row>
    <row r="457" spans="1:17" ht="17.45" customHeight="1" x14ac:dyDescent="0.2">
      <c r="A457" t="s">
        <v>1048</v>
      </c>
      <c r="B457" t="s">
        <v>1049</v>
      </c>
      <c r="C457" s="1">
        <f>DATE(2022,1,31)</f>
        <v>44592</v>
      </c>
      <c r="D457" s="1">
        <f>DATE(2022,1,31)</f>
        <v>44592</v>
      </c>
      <c r="E457" s="3">
        <v>22851.08</v>
      </c>
      <c r="F457" t="s">
        <v>20</v>
      </c>
      <c r="G457" s="2">
        <v>5</v>
      </c>
      <c r="H457" s="2">
        <v>0</v>
      </c>
      <c r="I457" s="1">
        <f t="shared" si="56"/>
        <v>44926</v>
      </c>
      <c r="J457" s="3">
        <v>380.86</v>
      </c>
      <c r="K457" s="3">
        <v>4189.3599999999997</v>
      </c>
      <c r="L457" s="3">
        <v>4189.3599999999997</v>
      </c>
      <c r="M457" s="3">
        <v>18661.72</v>
      </c>
      <c r="N457" t="s">
        <v>466</v>
      </c>
      <c r="O457" t="s">
        <v>18</v>
      </c>
      <c r="P457" t="s">
        <v>19</v>
      </c>
      <c r="Q457" t="s">
        <v>465</v>
      </c>
    </row>
    <row r="458" spans="1:17" ht="17.45" customHeight="1" x14ac:dyDescent="0.2">
      <c r="A458" t="s">
        <v>1066</v>
      </c>
      <c r="B458" t="s">
        <v>1067</v>
      </c>
      <c r="C458" s="1">
        <f>DATE(2022,4,30)</f>
        <v>44681</v>
      </c>
      <c r="D458" s="1">
        <f>DATE(2022,4,30)</f>
        <v>44681</v>
      </c>
      <c r="E458" s="3">
        <v>686.12</v>
      </c>
      <c r="F458" t="s">
        <v>20</v>
      </c>
      <c r="G458" s="2">
        <v>5</v>
      </c>
      <c r="H458" s="2">
        <v>0</v>
      </c>
      <c r="I458" s="1">
        <f t="shared" si="56"/>
        <v>44926</v>
      </c>
      <c r="J458" s="3">
        <v>11.4</v>
      </c>
      <c r="K458" s="3">
        <v>91.48</v>
      </c>
      <c r="L458" s="3">
        <v>91.48</v>
      </c>
      <c r="M458" s="3">
        <v>594.64</v>
      </c>
      <c r="N458" t="s">
        <v>466</v>
      </c>
      <c r="O458" t="s">
        <v>18</v>
      </c>
      <c r="P458" t="s">
        <v>19</v>
      </c>
      <c r="Q458" t="s">
        <v>465</v>
      </c>
    </row>
    <row r="459" spans="1:17" ht="17.45" customHeight="1" x14ac:dyDescent="0.2">
      <c r="A459" t="s">
        <v>1072</v>
      </c>
      <c r="B459" t="s">
        <v>1073</v>
      </c>
      <c r="C459" s="1">
        <f>DATE(2022,6,30)</f>
        <v>44742</v>
      </c>
      <c r="D459" s="1">
        <f>DATE(2022,6,30)</f>
        <v>44742</v>
      </c>
      <c r="E459" s="3">
        <v>1046.1600000000001</v>
      </c>
      <c r="F459" t="s">
        <v>20</v>
      </c>
      <c r="G459" s="2">
        <v>10</v>
      </c>
      <c r="H459" s="2">
        <v>0</v>
      </c>
      <c r="I459" s="1">
        <f t="shared" si="56"/>
        <v>44926</v>
      </c>
      <c r="J459" s="3">
        <v>8.7100000000000009</v>
      </c>
      <c r="K459" s="3">
        <v>52.31</v>
      </c>
      <c r="L459" s="3">
        <v>52.31</v>
      </c>
      <c r="M459" s="3">
        <v>993.85</v>
      </c>
      <c r="N459" t="s">
        <v>472</v>
      </c>
      <c r="O459" t="s">
        <v>18</v>
      </c>
      <c r="P459" t="s">
        <v>19</v>
      </c>
      <c r="Q459" t="s">
        <v>465</v>
      </c>
    </row>
    <row r="460" spans="1:17" ht="17.45" customHeight="1" x14ac:dyDescent="0.2">
      <c r="A460" t="s">
        <v>1080</v>
      </c>
      <c r="B460" t="s">
        <v>1081</v>
      </c>
      <c r="C460" s="1">
        <f>DATE(2022,7,31)</f>
        <v>44773</v>
      </c>
      <c r="D460" s="1">
        <f>DATE(2022,7,31)</f>
        <v>44773</v>
      </c>
      <c r="E460" s="3">
        <v>54330.59</v>
      </c>
      <c r="F460" t="s">
        <v>20</v>
      </c>
      <c r="G460" s="2">
        <v>20</v>
      </c>
      <c r="H460" s="2">
        <v>0</v>
      </c>
      <c r="I460" s="1">
        <f t="shared" si="56"/>
        <v>44926</v>
      </c>
      <c r="J460" s="3">
        <v>226.37</v>
      </c>
      <c r="K460" s="3">
        <v>1131.8900000000001</v>
      </c>
      <c r="L460" s="3">
        <v>1131.8900000000001</v>
      </c>
      <c r="M460" s="3">
        <v>53198.7</v>
      </c>
      <c r="N460" t="s">
        <v>467</v>
      </c>
      <c r="O460" t="s">
        <v>18</v>
      </c>
      <c r="P460" t="s">
        <v>19</v>
      </c>
      <c r="Q460" t="s">
        <v>465</v>
      </c>
    </row>
    <row r="461" spans="1:17" ht="17.45" customHeight="1" x14ac:dyDescent="0.2">
      <c r="A461" t="s">
        <v>1086</v>
      </c>
      <c r="B461" t="s">
        <v>1087</v>
      </c>
      <c r="C461" s="1">
        <f t="shared" ref="C461:D470" si="58">DATE(2022,8,31)</f>
        <v>44804</v>
      </c>
      <c r="D461" s="1">
        <f t="shared" si="58"/>
        <v>44804</v>
      </c>
      <c r="E461" s="3">
        <v>676.58</v>
      </c>
      <c r="F461" t="s">
        <v>20</v>
      </c>
      <c r="G461" s="2">
        <v>5</v>
      </c>
      <c r="H461" s="2">
        <v>0</v>
      </c>
      <c r="I461" s="1">
        <f t="shared" si="56"/>
        <v>44926</v>
      </c>
      <c r="J461" s="3">
        <v>11.27</v>
      </c>
      <c r="K461" s="3">
        <v>45.11</v>
      </c>
      <c r="L461" s="3">
        <v>45.11</v>
      </c>
      <c r="M461" s="3">
        <v>631.47</v>
      </c>
      <c r="N461" t="s">
        <v>466</v>
      </c>
      <c r="O461" t="s">
        <v>18</v>
      </c>
      <c r="P461" t="s">
        <v>19</v>
      </c>
      <c r="Q461" t="s">
        <v>465</v>
      </c>
    </row>
    <row r="462" spans="1:17" ht="17.45" customHeight="1" x14ac:dyDescent="0.2">
      <c r="A462" t="s">
        <v>1088</v>
      </c>
      <c r="B462" t="s">
        <v>1089</v>
      </c>
      <c r="C462" s="1">
        <f t="shared" si="58"/>
        <v>44804</v>
      </c>
      <c r="D462" s="1">
        <f t="shared" si="58"/>
        <v>44804</v>
      </c>
      <c r="E462" s="3">
        <v>773.24</v>
      </c>
      <c r="F462" t="s">
        <v>20</v>
      </c>
      <c r="G462" s="2">
        <v>5</v>
      </c>
      <c r="H462" s="2">
        <v>0</v>
      </c>
      <c r="I462" s="1">
        <f t="shared" si="56"/>
        <v>44926</v>
      </c>
      <c r="J462" s="3">
        <v>12.88</v>
      </c>
      <c r="K462" s="3">
        <v>51.55</v>
      </c>
      <c r="L462" s="3">
        <v>51.55</v>
      </c>
      <c r="M462" s="3">
        <v>721.69</v>
      </c>
      <c r="N462" t="s">
        <v>466</v>
      </c>
      <c r="O462" t="s">
        <v>18</v>
      </c>
      <c r="P462" t="s">
        <v>19</v>
      </c>
      <c r="Q462" t="s">
        <v>465</v>
      </c>
    </row>
    <row r="463" spans="1:17" ht="17.45" customHeight="1" x14ac:dyDescent="0.2">
      <c r="A463" t="s">
        <v>1090</v>
      </c>
      <c r="B463" t="s">
        <v>1091</v>
      </c>
      <c r="C463" s="1">
        <f t="shared" si="58"/>
        <v>44804</v>
      </c>
      <c r="D463" s="1">
        <f t="shared" si="58"/>
        <v>44804</v>
      </c>
      <c r="E463" s="3">
        <v>484.24</v>
      </c>
      <c r="F463" t="s">
        <v>20</v>
      </c>
      <c r="G463" s="2">
        <v>5</v>
      </c>
      <c r="H463" s="2">
        <v>0</v>
      </c>
      <c r="I463" s="1">
        <f t="shared" si="56"/>
        <v>44926</v>
      </c>
      <c r="J463" s="3">
        <v>8.07</v>
      </c>
      <c r="K463" s="3">
        <v>32.28</v>
      </c>
      <c r="L463" s="3">
        <v>32.28</v>
      </c>
      <c r="M463" s="3">
        <v>451.96</v>
      </c>
      <c r="N463" t="s">
        <v>466</v>
      </c>
      <c r="O463" t="s">
        <v>18</v>
      </c>
      <c r="P463" t="s">
        <v>19</v>
      </c>
      <c r="Q463" t="s">
        <v>465</v>
      </c>
    </row>
    <row r="464" spans="1:17" ht="17.45" customHeight="1" x14ac:dyDescent="0.2">
      <c r="A464" t="s">
        <v>1093</v>
      </c>
      <c r="B464" t="s">
        <v>1092</v>
      </c>
      <c r="C464" s="1">
        <f t="shared" si="58"/>
        <v>44804</v>
      </c>
      <c r="D464" s="1">
        <f t="shared" si="58"/>
        <v>44804</v>
      </c>
      <c r="E464" s="3">
        <v>2019.21</v>
      </c>
      <c r="F464" t="s">
        <v>20</v>
      </c>
      <c r="G464" s="2">
        <v>5</v>
      </c>
      <c r="H464" s="2">
        <v>0</v>
      </c>
      <c r="I464" s="1">
        <f t="shared" si="56"/>
        <v>44926</v>
      </c>
      <c r="J464" s="3">
        <v>33.659999999999997</v>
      </c>
      <c r="K464" s="3">
        <v>134.61000000000001</v>
      </c>
      <c r="L464" s="3">
        <v>134.61000000000001</v>
      </c>
      <c r="M464" s="3">
        <v>1884.6</v>
      </c>
      <c r="N464" t="s">
        <v>466</v>
      </c>
      <c r="O464" t="s">
        <v>18</v>
      </c>
      <c r="P464" t="s">
        <v>19</v>
      </c>
      <c r="Q464" t="s">
        <v>465</v>
      </c>
    </row>
    <row r="465" spans="1:17" ht="17.45" customHeight="1" x14ac:dyDescent="0.2">
      <c r="A465" t="s">
        <v>1094</v>
      </c>
      <c r="B465" t="s">
        <v>1095</v>
      </c>
      <c r="C465" s="1">
        <f t="shared" si="58"/>
        <v>44804</v>
      </c>
      <c r="D465" s="1">
        <f t="shared" si="58"/>
        <v>44804</v>
      </c>
      <c r="E465" s="3">
        <v>1248.75</v>
      </c>
      <c r="F465" t="s">
        <v>20</v>
      </c>
      <c r="G465" s="2">
        <v>5</v>
      </c>
      <c r="H465" s="2">
        <v>0</v>
      </c>
      <c r="I465" s="1">
        <f t="shared" si="56"/>
        <v>44926</v>
      </c>
      <c r="J465" s="3">
        <v>20.82</v>
      </c>
      <c r="K465" s="3">
        <v>83.25</v>
      </c>
      <c r="L465" s="3">
        <v>83.25</v>
      </c>
      <c r="M465" s="3">
        <v>1165.5</v>
      </c>
      <c r="N465" t="s">
        <v>466</v>
      </c>
      <c r="O465" t="s">
        <v>18</v>
      </c>
      <c r="P465" t="s">
        <v>19</v>
      </c>
      <c r="Q465" t="s">
        <v>465</v>
      </c>
    </row>
    <row r="466" spans="1:17" ht="17.45" customHeight="1" x14ac:dyDescent="0.2">
      <c r="A466" t="s">
        <v>1096</v>
      </c>
      <c r="B466" t="s">
        <v>1097</v>
      </c>
      <c r="C466" s="1">
        <f t="shared" si="58"/>
        <v>44804</v>
      </c>
      <c r="D466" s="1">
        <f t="shared" si="58"/>
        <v>44804</v>
      </c>
      <c r="E466" s="3">
        <v>1248.75</v>
      </c>
      <c r="F466" t="s">
        <v>20</v>
      </c>
      <c r="G466" s="2">
        <v>5</v>
      </c>
      <c r="H466" s="2">
        <v>0</v>
      </c>
      <c r="I466" s="1">
        <f t="shared" si="56"/>
        <v>44926</v>
      </c>
      <c r="J466" s="3">
        <v>20.82</v>
      </c>
      <c r="K466" s="3">
        <v>83.25</v>
      </c>
      <c r="L466" s="3">
        <v>83.25</v>
      </c>
      <c r="M466" s="3">
        <v>1165.5</v>
      </c>
      <c r="N466" t="s">
        <v>466</v>
      </c>
      <c r="O466" t="s">
        <v>18</v>
      </c>
      <c r="P466" t="s">
        <v>19</v>
      </c>
      <c r="Q466" t="s">
        <v>465</v>
      </c>
    </row>
    <row r="467" spans="1:17" ht="17.45" customHeight="1" x14ac:dyDescent="0.2">
      <c r="A467" t="s">
        <v>1098</v>
      </c>
      <c r="B467" t="s">
        <v>1099</v>
      </c>
      <c r="C467" s="1">
        <f t="shared" si="58"/>
        <v>44804</v>
      </c>
      <c r="D467" s="1">
        <f t="shared" si="58"/>
        <v>44804</v>
      </c>
      <c r="E467" s="3">
        <v>1248.75</v>
      </c>
      <c r="F467" t="s">
        <v>20</v>
      </c>
      <c r="G467" s="2">
        <v>5</v>
      </c>
      <c r="H467" s="2">
        <v>0</v>
      </c>
      <c r="I467" s="1">
        <f t="shared" si="56"/>
        <v>44926</v>
      </c>
      <c r="J467" s="3">
        <v>20.82</v>
      </c>
      <c r="K467" s="3">
        <v>83.25</v>
      </c>
      <c r="L467" s="3">
        <v>83.25</v>
      </c>
      <c r="M467" s="3">
        <v>1165.5</v>
      </c>
      <c r="N467" t="s">
        <v>466</v>
      </c>
      <c r="O467" t="s">
        <v>18</v>
      </c>
      <c r="P467" t="s">
        <v>19</v>
      </c>
      <c r="Q467" t="s">
        <v>465</v>
      </c>
    </row>
    <row r="468" spans="1:17" ht="17.45" customHeight="1" x14ac:dyDescent="0.2">
      <c r="A468" t="s">
        <v>1100</v>
      </c>
      <c r="B468" t="s">
        <v>1101</v>
      </c>
      <c r="C468" s="1">
        <f t="shared" si="58"/>
        <v>44804</v>
      </c>
      <c r="D468" s="1">
        <f t="shared" si="58"/>
        <v>44804</v>
      </c>
      <c r="E468" s="3">
        <v>1248.75</v>
      </c>
      <c r="F468" t="s">
        <v>20</v>
      </c>
      <c r="G468" s="2">
        <v>5</v>
      </c>
      <c r="H468" s="2">
        <v>0</v>
      </c>
      <c r="I468" s="1">
        <f t="shared" si="56"/>
        <v>44926</v>
      </c>
      <c r="J468" s="3">
        <v>20.82</v>
      </c>
      <c r="K468" s="3">
        <v>83.25</v>
      </c>
      <c r="L468" s="3">
        <v>83.25</v>
      </c>
      <c r="M468" s="3">
        <v>1165.5</v>
      </c>
      <c r="N468" t="s">
        <v>466</v>
      </c>
      <c r="O468" t="s">
        <v>18</v>
      </c>
      <c r="P468" t="s">
        <v>19</v>
      </c>
      <c r="Q468" t="s">
        <v>465</v>
      </c>
    </row>
    <row r="469" spans="1:17" ht="17.45" customHeight="1" x14ac:dyDescent="0.2">
      <c r="A469" t="s">
        <v>1102</v>
      </c>
      <c r="B469" t="s">
        <v>1103</v>
      </c>
      <c r="C469" s="1">
        <f t="shared" si="58"/>
        <v>44804</v>
      </c>
      <c r="D469" s="1">
        <f t="shared" si="58"/>
        <v>44804</v>
      </c>
      <c r="E469" s="3">
        <v>1248.75</v>
      </c>
      <c r="F469" t="s">
        <v>20</v>
      </c>
      <c r="G469" s="2">
        <v>5</v>
      </c>
      <c r="H469" s="2">
        <v>0</v>
      </c>
      <c r="I469" s="1">
        <f t="shared" si="56"/>
        <v>44926</v>
      </c>
      <c r="J469" s="3">
        <v>20.82</v>
      </c>
      <c r="K469" s="3">
        <v>83.25</v>
      </c>
      <c r="L469" s="3">
        <v>83.25</v>
      </c>
      <c r="M469" s="3">
        <v>1165.5</v>
      </c>
      <c r="N469" t="s">
        <v>466</v>
      </c>
      <c r="O469" t="s">
        <v>18</v>
      </c>
      <c r="P469" t="s">
        <v>19</v>
      </c>
      <c r="Q469" t="s">
        <v>465</v>
      </c>
    </row>
    <row r="470" spans="1:17" ht="17.45" customHeight="1" x14ac:dyDescent="0.2">
      <c r="A470" t="s">
        <v>1104</v>
      </c>
      <c r="B470" t="s">
        <v>1105</v>
      </c>
      <c r="C470" s="1">
        <f t="shared" si="58"/>
        <v>44804</v>
      </c>
      <c r="D470" s="1">
        <f t="shared" si="58"/>
        <v>44804</v>
      </c>
      <c r="E470" s="3">
        <v>1248.75</v>
      </c>
      <c r="F470" t="s">
        <v>20</v>
      </c>
      <c r="G470" s="2">
        <v>5</v>
      </c>
      <c r="H470" s="2">
        <v>0</v>
      </c>
      <c r="I470" s="1">
        <f t="shared" si="56"/>
        <v>44926</v>
      </c>
      <c r="J470" s="3">
        <v>20.82</v>
      </c>
      <c r="K470" s="3">
        <v>83.25</v>
      </c>
      <c r="L470" s="3">
        <v>83.25</v>
      </c>
      <c r="M470" s="3">
        <v>1165.5</v>
      </c>
      <c r="N470" t="s">
        <v>466</v>
      </c>
      <c r="O470" t="s">
        <v>18</v>
      </c>
      <c r="P470" t="s">
        <v>19</v>
      </c>
      <c r="Q470" t="s">
        <v>465</v>
      </c>
    </row>
    <row r="471" spans="1:17" ht="17.45" customHeight="1" x14ac:dyDescent="0.2">
      <c r="A471" t="s">
        <v>1108</v>
      </c>
      <c r="B471" t="s">
        <v>1109</v>
      </c>
      <c r="C471" s="1">
        <f>DATE(2022,9,30)</f>
        <v>44834</v>
      </c>
      <c r="D471" s="1">
        <f>DATE(2022,9,30)</f>
        <v>44834</v>
      </c>
      <c r="E471" s="3">
        <v>7019.28</v>
      </c>
      <c r="F471" t="s">
        <v>20</v>
      </c>
      <c r="G471" s="2">
        <v>10</v>
      </c>
      <c r="H471" s="2">
        <v>0</v>
      </c>
      <c r="I471" s="1">
        <f t="shared" si="56"/>
        <v>44926</v>
      </c>
      <c r="J471" s="3">
        <v>58.5</v>
      </c>
      <c r="K471" s="3">
        <v>175.48</v>
      </c>
      <c r="L471" s="3">
        <v>175.48</v>
      </c>
      <c r="M471" s="3">
        <v>6843.8</v>
      </c>
      <c r="N471" t="s">
        <v>471</v>
      </c>
      <c r="O471" t="s">
        <v>18</v>
      </c>
      <c r="P471" t="s">
        <v>19</v>
      </c>
      <c r="Q471" t="s">
        <v>465</v>
      </c>
    </row>
    <row r="472" spans="1:17" ht="17.45" customHeight="1" x14ac:dyDescent="0.2">
      <c r="A472" t="s">
        <v>1112</v>
      </c>
      <c r="B472" t="s">
        <v>1113</v>
      </c>
      <c r="C472" s="1">
        <f>DATE(2022,10,31)</f>
        <v>44865</v>
      </c>
      <c r="D472" s="1">
        <f>DATE(2022,10,31)</f>
        <v>44865</v>
      </c>
      <c r="E472" s="3">
        <v>408.1</v>
      </c>
      <c r="F472" t="s">
        <v>20</v>
      </c>
      <c r="G472" s="2">
        <v>10</v>
      </c>
      <c r="H472" s="2">
        <v>0</v>
      </c>
      <c r="I472" s="1">
        <f t="shared" si="56"/>
        <v>44926</v>
      </c>
      <c r="J472" s="3">
        <v>3.4</v>
      </c>
      <c r="K472" s="3">
        <v>6.8</v>
      </c>
      <c r="L472" s="3">
        <v>6.8</v>
      </c>
      <c r="M472" s="3">
        <v>401.3</v>
      </c>
      <c r="N472" t="s">
        <v>471</v>
      </c>
      <c r="O472" t="s">
        <v>18</v>
      </c>
      <c r="P472" t="s">
        <v>19</v>
      </c>
      <c r="Q472" t="s">
        <v>465</v>
      </c>
    </row>
    <row r="473" spans="1:17" ht="17.45" customHeight="1" x14ac:dyDescent="0.2">
      <c r="A473" t="s">
        <v>1114</v>
      </c>
      <c r="B473" t="s">
        <v>1115</v>
      </c>
      <c r="C473" s="1">
        <f>DATE(2022,10,31)</f>
        <v>44865</v>
      </c>
      <c r="D473" s="1">
        <f>DATE(2022,10,31)</f>
        <v>44865</v>
      </c>
      <c r="E473" s="3">
        <v>161.38999999999999</v>
      </c>
      <c r="F473" t="s">
        <v>20</v>
      </c>
      <c r="G473" s="2">
        <v>10</v>
      </c>
      <c r="H473" s="2">
        <v>0</v>
      </c>
      <c r="I473" s="1">
        <f t="shared" si="56"/>
        <v>44926</v>
      </c>
      <c r="J473" s="3">
        <v>1.35</v>
      </c>
      <c r="K473" s="3">
        <v>2.69</v>
      </c>
      <c r="L473" s="3">
        <v>2.69</v>
      </c>
      <c r="M473" s="3">
        <v>158.69999999999999</v>
      </c>
      <c r="N473" t="s">
        <v>467</v>
      </c>
      <c r="O473" t="s">
        <v>18</v>
      </c>
      <c r="P473" t="s">
        <v>19</v>
      </c>
      <c r="Q473" t="s">
        <v>465</v>
      </c>
    </row>
    <row r="474" spans="1:17" ht="17.45" customHeight="1" x14ac:dyDescent="0.2">
      <c r="A474" t="s">
        <v>1133</v>
      </c>
      <c r="B474" t="s">
        <v>1058</v>
      </c>
      <c r="C474" s="1">
        <f>DATE(2022,3,31)</f>
        <v>44651</v>
      </c>
      <c r="D474" s="1">
        <f>DATE(2022,3,31)</f>
        <v>44651</v>
      </c>
      <c r="E474" s="3">
        <v>4027.71</v>
      </c>
      <c r="F474" t="s">
        <v>20</v>
      </c>
      <c r="G474" s="2">
        <v>10</v>
      </c>
      <c r="H474" s="2">
        <v>0</v>
      </c>
      <c r="I474" s="1">
        <f t="shared" si="56"/>
        <v>44926</v>
      </c>
      <c r="J474" s="3">
        <v>33.6</v>
      </c>
      <c r="K474" s="3">
        <v>302.08</v>
      </c>
      <c r="L474" s="3">
        <v>302.08</v>
      </c>
      <c r="M474" s="3">
        <v>3725.63</v>
      </c>
      <c r="N474" t="s">
        <v>472</v>
      </c>
      <c r="O474" t="s">
        <v>18</v>
      </c>
      <c r="P474" t="s">
        <v>19</v>
      </c>
      <c r="Q474" t="s">
        <v>465</v>
      </c>
    </row>
    <row r="475" spans="1:17" ht="17.45" customHeight="1" x14ac:dyDescent="0.2">
      <c r="A475" t="s">
        <v>1142</v>
      </c>
      <c r="B475" t="s">
        <v>1143</v>
      </c>
      <c r="C475" s="1">
        <f>DATE(2018,6,30)</f>
        <v>43281</v>
      </c>
      <c r="D475" s="1">
        <f>DATE(2018,6,30)</f>
        <v>43281</v>
      </c>
      <c r="E475" s="3">
        <v>1077.8499999999999</v>
      </c>
      <c r="F475" t="s">
        <v>20</v>
      </c>
      <c r="G475" s="2">
        <v>5</v>
      </c>
      <c r="H475" s="2">
        <v>0</v>
      </c>
      <c r="I475" s="1">
        <f t="shared" si="56"/>
        <v>44926</v>
      </c>
      <c r="J475" s="3">
        <v>18.010000000000002</v>
      </c>
      <c r="K475" s="3">
        <v>215.57</v>
      </c>
      <c r="L475" s="3">
        <v>970.07</v>
      </c>
      <c r="M475" s="3">
        <v>107.78</v>
      </c>
      <c r="N475" t="s">
        <v>466</v>
      </c>
      <c r="O475" t="s">
        <v>18</v>
      </c>
      <c r="P475" t="s">
        <v>19</v>
      </c>
      <c r="Q475" t="s">
        <v>465</v>
      </c>
    </row>
    <row r="476" spans="1:17" ht="17.45" customHeight="1" x14ac:dyDescent="0.2">
      <c r="E476" s="4">
        <f>SUM(E386:E475)</f>
        <v>305924.91000000003</v>
      </c>
      <c r="J476" s="4">
        <f t="shared" ref="J476:M476" si="59">SUM(J386:J475)</f>
        <v>2282.3200000000015</v>
      </c>
      <c r="K476" s="4">
        <f t="shared" si="59"/>
        <v>23290.759999999991</v>
      </c>
      <c r="L476" s="4">
        <f t="shared" si="59"/>
        <v>140038.59999999992</v>
      </c>
      <c r="M476" s="4">
        <f t="shared" si="59"/>
        <v>165886.31</v>
      </c>
    </row>
    <row r="477" spans="1:17" ht="17.45" customHeight="1" x14ac:dyDescent="0.2">
      <c r="A477" t="s">
        <v>510</v>
      </c>
      <c r="B477" t="s">
        <v>511</v>
      </c>
      <c r="C477" s="1">
        <f>DATE(2000,1,1)</f>
        <v>36526</v>
      </c>
      <c r="D477" s="1">
        <f>DATE(2000,1,1)</f>
        <v>36526</v>
      </c>
      <c r="E477" s="3">
        <v>6142</v>
      </c>
      <c r="F477" t="s">
        <v>21</v>
      </c>
      <c r="G477" s="2">
        <v>12</v>
      </c>
      <c r="H477" s="2">
        <v>244</v>
      </c>
      <c r="I477" s="1">
        <f>DATE(2014,6,30)</f>
        <v>41820</v>
      </c>
      <c r="J477" s="3">
        <v>0</v>
      </c>
      <c r="K477" s="3">
        <v>0</v>
      </c>
      <c r="L477" s="3">
        <v>6142</v>
      </c>
      <c r="M477" s="3">
        <v>0</v>
      </c>
      <c r="N477" t="s">
        <v>512</v>
      </c>
      <c r="O477" t="s">
        <v>18</v>
      </c>
      <c r="P477" t="s">
        <v>19</v>
      </c>
      <c r="Q477" t="s">
        <v>513</v>
      </c>
    </row>
    <row r="478" spans="1:17" ht="17.45" customHeight="1" x14ac:dyDescent="0.2">
      <c r="A478" t="s">
        <v>516</v>
      </c>
      <c r="B478" t="s">
        <v>517</v>
      </c>
      <c r="C478" s="1">
        <f>DATE(2003,4,1)</f>
        <v>37712</v>
      </c>
      <c r="D478" s="1">
        <f>DATE(2003,4,1)</f>
        <v>37712</v>
      </c>
      <c r="E478" s="3">
        <v>9350</v>
      </c>
      <c r="F478" t="s">
        <v>20</v>
      </c>
      <c r="G478" s="2">
        <v>10</v>
      </c>
      <c r="H478" s="2">
        <v>0</v>
      </c>
      <c r="I478" s="1">
        <f>DATE(2014,6,30)</f>
        <v>41820</v>
      </c>
      <c r="J478" s="3">
        <v>0</v>
      </c>
      <c r="K478" s="3">
        <v>0</v>
      </c>
      <c r="L478" s="3">
        <v>9350</v>
      </c>
      <c r="M478" s="3">
        <v>0</v>
      </c>
      <c r="N478" t="s">
        <v>512</v>
      </c>
      <c r="O478" t="s">
        <v>18</v>
      </c>
      <c r="P478" t="s">
        <v>19</v>
      </c>
      <c r="Q478" t="s">
        <v>513</v>
      </c>
    </row>
    <row r="479" spans="1:17" ht="17.45" customHeight="1" x14ac:dyDescent="0.2">
      <c r="A479" t="s">
        <v>518</v>
      </c>
      <c r="B479" t="s">
        <v>519</v>
      </c>
      <c r="C479" s="1">
        <f>DATE(2009,9,1)</f>
        <v>40057</v>
      </c>
      <c r="D479" s="1">
        <f>DATE(2009,9,1)</f>
        <v>40057</v>
      </c>
      <c r="E479" s="3">
        <v>1211.3499999999999</v>
      </c>
      <c r="F479" t="s">
        <v>20</v>
      </c>
      <c r="G479" s="2">
        <v>10</v>
      </c>
      <c r="H479" s="2">
        <v>0</v>
      </c>
      <c r="I479" s="1">
        <f>DATE(2019,8,31)</f>
        <v>43708</v>
      </c>
      <c r="J479" s="3">
        <v>0</v>
      </c>
      <c r="K479" s="3">
        <v>0</v>
      </c>
      <c r="L479" s="3">
        <v>1211.3499999999999</v>
      </c>
      <c r="M479" s="3">
        <v>0</v>
      </c>
      <c r="N479" t="s">
        <v>512</v>
      </c>
      <c r="O479" t="s">
        <v>18</v>
      </c>
      <c r="P479" t="s">
        <v>19</v>
      </c>
      <c r="Q479" t="s">
        <v>513</v>
      </c>
    </row>
    <row r="480" spans="1:17" ht="17.45" customHeight="1" x14ac:dyDescent="0.2">
      <c r="A480" t="s">
        <v>520</v>
      </c>
      <c r="B480" t="s">
        <v>521</v>
      </c>
      <c r="C480" s="1">
        <f>DATE(2010,5,31)</f>
        <v>40329</v>
      </c>
      <c r="D480" s="1">
        <f>DATE(2010,5,31)</f>
        <v>40329</v>
      </c>
      <c r="E480" s="3">
        <v>1041</v>
      </c>
      <c r="F480" t="s">
        <v>20</v>
      </c>
      <c r="G480" s="2">
        <v>10</v>
      </c>
      <c r="H480" s="2">
        <v>0</v>
      </c>
      <c r="I480" s="1">
        <f>DATE(2020,5,31)</f>
        <v>43982</v>
      </c>
      <c r="J480" s="3">
        <v>0</v>
      </c>
      <c r="K480" s="3">
        <v>0</v>
      </c>
      <c r="L480" s="3">
        <v>1041</v>
      </c>
      <c r="M480" s="3">
        <v>0</v>
      </c>
      <c r="N480" t="s">
        <v>514</v>
      </c>
      <c r="O480" t="s">
        <v>18</v>
      </c>
      <c r="P480" t="s">
        <v>19</v>
      </c>
      <c r="Q480" t="s">
        <v>513</v>
      </c>
    </row>
    <row r="481" spans="1:17" ht="17.45" customHeight="1" x14ac:dyDescent="0.2">
      <c r="A481" t="s">
        <v>522</v>
      </c>
      <c r="B481" t="s">
        <v>523</v>
      </c>
      <c r="C481" s="1">
        <f>DATE(2010,7,30)</f>
        <v>40389</v>
      </c>
      <c r="D481" s="1">
        <f>DATE(2010,7,30)</f>
        <v>40389</v>
      </c>
      <c r="E481" s="3">
        <v>25810</v>
      </c>
      <c r="F481" t="s">
        <v>20</v>
      </c>
      <c r="G481" s="2">
        <v>7</v>
      </c>
      <c r="H481" s="2">
        <v>0</v>
      </c>
      <c r="I481" s="1">
        <f>DATE(2017,7,31)</f>
        <v>42947</v>
      </c>
      <c r="J481" s="3">
        <v>0</v>
      </c>
      <c r="K481" s="3">
        <v>0</v>
      </c>
      <c r="L481" s="3">
        <v>25810</v>
      </c>
      <c r="M481" s="3">
        <v>0</v>
      </c>
      <c r="N481" t="s">
        <v>512</v>
      </c>
      <c r="O481" t="s">
        <v>18</v>
      </c>
      <c r="P481" t="s">
        <v>19</v>
      </c>
      <c r="Q481" t="s">
        <v>513</v>
      </c>
    </row>
    <row r="482" spans="1:17" ht="17.45" customHeight="1" x14ac:dyDescent="0.2">
      <c r="A482" t="s">
        <v>524</v>
      </c>
      <c r="B482" t="s">
        <v>31</v>
      </c>
      <c r="C482" s="1">
        <f>DATE(2011,2,28)</f>
        <v>40602</v>
      </c>
      <c r="D482" s="1">
        <f>DATE(2011,2,28)</f>
        <v>40602</v>
      </c>
      <c r="E482" s="3">
        <v>1518</v>
      </c>
      <c r="F482" t="s">
        <v>20</v>
      </c>
      <c r="G482" s="2">
        <v>7</v>
      </c>
      <c r="H482" s="2">
        <v>0</v>
      </c>
      <c r="I482" s="1">
        <f>DATE(2018,2,28)</f>
        <v>43159</v>
      </c>
      <c r="J482" s="3">
        <v>0</v>
      </c>
      <c r="K482" s="3">
        <v>0</v>
      </c>
      <c r="L482" s="3">
        <v>1518</v>
      </c>
      <c r="M482" s="3">
        <v>0</v>
      </c>
      <c r="N482" t="s">
        <v>514</v>
      </c>
      <c r="O482" t="s">
        <v>18</v>
      </c>
      <c r="P482" t="s">
        <v>19</v>
      </c>
      <c r="Q482" t="s">
        <v>513</v>
      </c>
    </row>
    <row r="483" spans="1:17" ht="17.45" customHeight="1" x14ac:dyDescent="0.2">
      <c r="A483" t="s">
        <v>525</v>
      </c>
      <c r="B483" t="s">
        <v>526</v>
      </c>
      <c r="C483" s="1">
        <f>DATE(2011,5,31)</f>
        <v>40694</v>
      </c>
      <c r="D483" s="1">
        <f>DATE(2011,5,31)</f>
        <v>40694</v>
      </c>
      <c r="E483" s="3">
        <v>1687.86</v>
      </c>
      <c r="F483" t="s">
        <v>20</v>
      </c>
      <c r="G483" s="2">
        <v>7</v>
      </c>
      <c r="H483" s="2">
        <v>0</v>
      </c>
      <c r="I483" s="1">
        <f>DATE(2018,5,31)</f>
        <v>43251</v>
      </c>
      <c r="J483" s="3">
        <v>0</v>
      </c>
      <c r="K483" s="3">
        <v>0</v>
      </c>
      <c r="L483" s="3">
        <v>1687.86</v>
      </c>
      <c r="M483" s="3">
        <v>0</v>
      </c>
      <c r="N483" t="s">
        <v>512</v>
      </c>
      <c r="O483" t="s">
        <v>18</v>
      </c>
      <c r="P483" t="s">
        <v>19</v>
      </c>
      <c r="Q483" t="s">
        <v>513</v>
      </c>
    </row>
    <row r="484" spans="1:17" ht="17.45" customHeight="1" x14ac:dyDescent="0.2">
      <c r="A484" t="s">
        <v>527</v>
      </c>
      <c r="B484" t="s">
        <v>528</v>
      </c>
      <c r="C484" s="1">
        <f>DATE(2011,8,31)</f>
        <v>40786</v>
      </c>
      <c r="D484" s="1">
        <f>DATE(2011,8,31)</f>
        <v>40786</v>
      </c>
      <c r="E484" s="3">
        <v>40402.78</v>
      </c>
      <c r="F484" t="s">
        <v>20</v>
      </c>
      <c r="G484" s="2">
        <v>7</v>
      </c>
      <c r="H484" s="2">
        <v>0</v>
      </c>
      <c r="I484" s="1">
        <f>DATE(2018,8,31)</f>
        <v>43343</v>
      </c>
      <c r="J484" s="3">
        <v>0</v>
      </c>
      <c r="K484" s="3">
        <v>0</v>
      </c>
      <c r="L484" s="3">
        <v>40402.78</v>
      </c>
      <c r="M484" s="3">
        <v>0</v>
      </c>
      <c r="N484" t="s">
        <v>515</v>
      </c>
      <c r="O484" t="s">
        <v>18</v>
      </c>
      <c r="P484" t="s">
        <v>19</v>
      </c>
      <c r="Q484" t="s">
        <v>513</v>
      </c>
    </row>
    <row r="485" spans="1:17" ht="17.45" customHeight="1" x14ac:dyDescent="0.2">
      <c r="A485" t="s">
        <v>529</v>
      </c>
      <c r="B485" t="s">
        <v>530</v>
      </c>
      <c r="C485" s="1">
        <f>DATE(2012,6,30)</f>
        <v>41090</v>
      </c>
      <c r="D485" s="1">
        <f>DATE(2012,6,30)</f>
        <v>41090</v>
      </c>
      <c r="E485" s="3">
        <v>37373.839999999997</v>
      </c>
      <c r="F485" t="s">
        <v>20</v>
      </c>
      <c r="G485" s="2">
        <v>7</v>
      </c>
      <c r="H485" s="2">
        <v>0</v>
      </c>
      <c r="I485" s="1">
        <f>DATE(2019,6,30)</f>
        <v>43646</v>
      </c>
      <c r="J485" s="3">
        <v>0</v>
      </c>
      <c r="K485" s="3">
        <v>0</v>
      </c>
      <c r="L485" s="3">
        <v>37373.839999999997</v>
      </c>
      <c r="M485" s="3">
        <v>0</v>
      </c>
      <c r="N485" t="s">
        <v>515</v>
      </c>
      <c r="O485" t="s">
        <v>18</v>
      </c>
      <c r="P485" t="s">
        <v>19</v>
      </c>
      <c r="Q485" t="s">
        <v>513</v>
      </c>
    </row>
    <row r="486" spans="1:17" ht="17.45" customHeight="1" x14ac:dyDescent="0.2">
      <c r="A486" t="s">
        <v>531</v>
      </c>
      <c r="B486" t="s">
        <v>532</v>
      </c>
      <c r="C486" s="1">
        <f>DATE(2012,7,31)</f>
        <v>41121</v>
      </c>
      <c r="D486" s="1">
        <f>DATE(2012,7,31)</f>
        <v>41121</v>
      </c>
      <c r="E486" s="3">
        <v>8858.27</v>
      </c>
      <c r="F486" t="s">
        <v>20</v>
      </c>
      <c r="G486" s="2">
        <v>7</v>
      </c>
      <c r="H486" s="2">
        <v>0</v>
      </c>
      <c r="I486" s="1">
        <f>DATE(2019,7,31)</f>
        <v>43677</v>
      </c>
      <c r="J486" s="3">
        <v>0</v>
      </c>
      <c r="K486" s="3">
        <v>0</v>
      </c>
      <c r="L486" s="3">
        <v>8858.27</v>
      </c>
      <c r="M486" s="3">
        <v>0</v>
      </c>
      <c r="N486" t="s">
        <v>515</v>
      </c>
      <c r="O486" t="s">
        <v>18</v>
      </c>
      <c r="P486" t="s">
        <v>19</v>
      </c>
      <c r="Q486" t="s">
        <v>513</v>
      </c>
    </row>
    <row r="487" spans="1:17" ht="17.45" customHeight="1" x14ac:dyDescent="0.2">
      <c r="A487" t="s">
        <v>533</v>
      </c>
      <c r="B487" t="s">
        <v>534</v>
      </c>
      <c r="C487" s="1">
        <f>DATE(2013,5,31)</f>
        <v>41425</v>
      </c>
      <c r="D487" s="1">
        <f>DATE(2013,5,31)</f>
        <v>41425</v>
      </c>
      <c r="E487" s="3">
        <v>1775.49</v>
      </c>
      <c r="F487" t="s">
        <v>20</v>
      </c>
      <c r="G487" s="2">
        <v>7</v>
      </c>
      <c r="H487" s="2">
        <v>0</v>
      </c>
      <c r="I487" s="1">
        <f>DATE(2020,5,31)</f>
        <v>43982</v>
      </c>
      <c r="J487" s="3">
        <v>0</v>
      </c>
      <c r="K487" s="3">
        <v>0</v>
      </c>
      <c r="L487" s="3">
        <v>1775.49</v>
      </c>
      <c r="M487" s="3">
        <v>0</v>
      </c>
      <c r="N487" t="s">
        <v>515</v>
      </c>
      <c r="O487" t="s">
        <v>18</v>
      </c>
      <c r="P487" t="s">
        <v>19</v>
      </c>
      <c r="Q487" t="s">
        <v>513</v>
      </c>
    </row>
    <row r="488" spans="1:17" ht="17.45" customHeight="1" x14ac:dyDescent="0.2">
      <c r="A488" t="s">
        <v>535</v>
      </c>
      <c r="B488" t="s">
        <v>536</v>
      </c>
      <c r="C488" s="1">
        <f>DATE(2013,10,31)</f>
        <v>41578</v>
      </c>
      <c r="D488" s="1">
        <f>DATE(2013,10,31)</f>
        <v>41578</v>
      </c>
      <c r="E488" s="3">
        <v>2695</v>
      </c>
      <c r="F488" t="s">
        <v>20</v>
      </c>
      <c r="G488" s="2">
        <v>7</v>
      </c>
      <c r="H488" s="2">
        <v>0</v>
      </c>
      <c r="I488" s="1">
        <f>DATE(2020,10,31)</f>
        <v>44135</v>
      </c>
      <c r="J488" s="3">
        <v>0</v>
      </c>
      <c r="K488" s="3">
        <v>0</v>
      </c>
      <c r="L488" s="3">
        <v>2695</v>
      </c>
      <c r="M488" s="3">
        <v>0</v>
      </c>
      <c r="N488" t="s">
        <v>514</v>
      </c>
      <c r="O488" t="s">
        <v>18</v>
      </c>
      <c r="P488" t="s">
        <v>19</v>
      </c>
      <c r="Q488" t="s">
        <v>513</v>
      </c>
    </row>
    <row r="489" spans="1:17" ht="17.45" customHeight="1" x14ac:dyDescent="0.2">
      <c r="A489" t="s">
        <v>537</v>
      </c>
      <c r="B489" t="s">
        <v>538</v>
      </c>
      <c r="C489" s="1">
        <f>DATE(2013,10,31)</f>
        <v>41578</v>
      </c>
      <c r="D489" s="1">
        <f>DATE(2013,10,31)</f>
        <v>41578</v>
      </c>
      <c r="E489" s="3">
        <v>2396</v>
      </c>
      <c r="F489" t="s">
        <v>20</v>
      </c>
      <c r="G489" s="2">
        <v>7</v>
      </c>
      <c r="H489" s="2">
        <v>0</v>
      </c>
      <c r="I489" s="1">
        <f>DATE(2020,10,31)</f>
        <v>44135</v>
      </c>
      <c r="J489" s="3">
        <v>0</v>
      </c>
      <c r="K489" s="3">
        <v>0</v>
      </c>
      <c r="L489" s="3">
        <v>2396</v>
      </c>
      <c r="M489" s="3">
        <v>0</v>
      </c>
      <c r="N489" t="s">
        <v>515</v>
      </c>
      <c r="O489" t="s">
        <v>18</v>
      </c>
      <c r="P489" t="s">
        <v>19</v>
      </c>
      <c r="Q489" t="s">
        <v>513</v>
      </c>
    </row>
    <row r="490" spans="1:17" ht="17.45" customHeight="1" x14ac:dyDescent="0.2">
      <c r="A490" t="s">
        <v>539</v>
      </c>
      <c r="B490" t="s">
        <v>540</v>
      </c>
      <c r="C490" s="1">
        <f>DATE(2014,3,31)</f>
        <v>41729</v>
      </c>
      <c r="D490" s="1">
        <f>DATE(2014,3,31)</f>
        <v>41729</v>
      </c>
      <c r="E490" s="3">
        <v>3786.4</v>
      </c>
      <c r="F490" t="s">
        <v>20</v>
      </c>
      <c r="G490" s="2">
        <v>7</v>
      </c>
      <c r="H490" s="2">
        <v>0</v>
      </c>
      <c r="I490" s="1">
        <f>DATE(2021,3,31)</f>
        <v>44286</v>
      </c>
      <c r="J490" s="3">
        <v>0</v>
      </c>
      <c r="K490" s="3">
        <v>0</v>
      </c>
      <c r="L490" s="3">
        <v>3786.4</v>
      </c>
      <c r="M490" s="3">
        <v>0</v>
      </c>
      <c r="N490" t="s">
        <v>515</v>
      </c>
      <c r="O490" t="s">
        <v>18</v>
      </c>
      <c r="P490" t="s">
        <v>19</v>
      </c>
      <c r="Q490" t="s">
        <v>513</v>
      </c>
    </row>
    <row r="491" spans="1:17" ht="17.45" customHeight="1" x14ac:dyDescent="0.2">
      <c r="A491" t="s">
        <v>706</v>
      </c>
      <c r="B491" t="s">
        <v>707</v>
      </c>
      <c r="C491" s="1">
        <f>DATE(2016,1,31)</f>
        <v>42400</v>
      </c>
      <c r="D491" s="1">
        <f>DATE(2016,1,31)</f>
        <v>42400</v>
      </c>
      <c r="E491" s="3">
        <v>3999.8</v>
      </c>
      <c r="F491" t="s">
        <v>20</v>
      </c>
      <c r="G491" s="2">
        <v>7</v>
      </c>
      <c r="H491" s="2">
        <v>0</v>
      </c>
      <c r="I491" s="1">
        <f>DATE(2022,12,31)</f>
        <v>44926</v>
      </c>
      <c r="J491" s="3">
        <v>47.58</v>
      </c>
      <c r="K491" s="3">
        <v>571.4</v>
      </c>
      <c r="L491" s="3">
        <v>3952.18</v>
      </c>
      <c r="M491" s="3">
        <v>47.62</v>
      </c>
      <c r="N491" t="s">
        <v>515</v>
      </c>
      <c r="O491" t="s">
        <v>18</v>
      </c>
      <c r="P491" t="s">
        <v>19</v>
      </c>
      <c r="Q491" t="s">
        <v>513</v>
      </c>
    </row>
    <row r="492" spans="1:17" ht="17.45" customHeight="1" x14ac:dyDescent="0.2">
      <c r="A492" t="s">
        <v>761</v>
      </c>
      <c r="B492" t="s">
        <v>762</v>
      </c>
      <c r="C492" s="1">
        <f t="shared" ref="C492:C501" si="60">DATE(2016,3,31)</f>
        <v>42460</v>
      </c>
      <c r="D492" s="1">
        <f>DATE(2009,6,30)</f>
        <v>39994</v>
      </c>
      <c r="E492" s="3">
        <v>238950</v>
      </c>
      <c r="F492" t="s">
        <v>20</v>
      </c>
      <c r="G492" s="2">
        <v>10</v>
      </c>
      <c r="H492" s="2">
        <v>0</v>
      </c>
      <c r="I492" s="1">
        <f>DATE(2019,6,30)</f>
        <v>43646</v>
      </c>
      <c r="J492" s="3">
        <v>0</v>
      </c>
      <c r="K492" s="3">
        <v>0</v>
      </c>
      <c r="L492" s="3">
        <v>238950</v>
      </c>
      <c r="M492" s="3">
        <v>0</v>
      </c>
      <c r="N492" t="s">
        <v>512</v>
      </c>
      <c r="O492" t="s">
        <v>18</v>
      </c>
      <c r="P492" t="s">
        <v>19</v>
      </c>
      <c r="Q492" t="s">
        <v>513</v>
      </c>
    </row>
    <row r="493" spans="1:17" ht="17.45" customHeight="1" x14ac:dyDescent="0.2">
      <c r="A493" t="s">
        <v>763</v>
      </c>
      <c r="B493" t="s">
        <v>764</v>
      </c>
      <c r="C493" s="1">
        <f t="shared" si="60"/>
        <v>42460</v>
      </c>
      <c r="D493" s="1">
        <f>DATE(2012,7,31)</f>
        <v>41121</v>
      </c>
      <c r="E493" s="3">
        <v>2020.95</v>
      </c>
      <c r="F493" t="s">
        <v>20</v>
      </c>
      <c r="G493" s="2">
        <v>10</v>
      </c>
      <c r="H493" s="2">
        <v>0</v>
      </c>
      <c r="I493" s="1">
        <f>DATE(2022,7,31)</f>
        <v>44773</v>
      </c>
      <c r="J493" s="3">
        <v>0</v>
      </c>
      <c r="K493" s="3">
        <v>117.84</v>
      </c>
      <c r="L493" s="3">
        <v>2020.95</v>
      </c>
      <c r="M493" s="3">
        <v>0</v>
      </c>
      <c r="N493" t="s">
        <v>512</v>
      </c>
      <c r="O493" t="s">
        <v>18</v>
      </c>
      <c r="P493" t="s">
        <v>19</v>
      </c>
      <c r="Q493" t="s">
        <v>513</v>
      </c>
    </row>
    <row r="494" spans="1:17" ht="17.45" customHeight="1" x14ac:dyDescent="0.2">
      <c r="A494" t="s">
        <v>765</v>
      </c>
      <c r="B494" t="s">
        <v>600</v>
      </c>
      <c r="C494" s="1">
        <f t="shared" si="60"/>
        <v>42460</v>
      </c>
      <c r="D494" s="1">
        <f>DATE(2014,9,30)</f>
        <v>41912</v>
      </c>
      <c r="E494" s="3">
        <v>17804.09</v>
      </c>
      <c r="F494" t="s">
        <v>20</v>
      </c>
      <c r="G494" s="2">
        <v>10</v>
      </c>
      <c r="H494" s="2">
        <v>0</v>
      </c>
      <c r="I494" s="1">
        <f>DATE(2022,12,31)</f>
        <v>44926</v>
      </c>
      <c r="J494" s="3">
        <v>148.34</v>
      </c>
      <c r="K494" s="3">
        <v>1780.41</v>
      </c>
      <c r="L494" s="3">
        <v>14688.38</v>
      </c>
      <c r="M494" s="3">
        <v>3115.71</v>
      </c>
      <c r="N494" t="s">
        <v>512</v>
      </c>
      <c r="O494" t="s">
        <v>18</v>
      </c>
      <c r="P494" t="s">
        <v>19</v>
      </c>
      <c r="Q494" t="s">
        <v>513</v>
      </c>
    </row>
    <row r="495" spans="1:17" ht="17.45" customHeight="1" x14ac:dyDescent="0.2">
      <c r="A495" t="s">
        <v>766</v>
      </c>
      <c r="B495" t="s">
        <v>32</v>
      </c>
      <c r="C495" s="1">
        <f t="shared" si="60"/>
        <v>42460</v>
      </c>
      <c r="D495" s="1">
        <f>DATE(2011,5,31)</f>
        <v>40694</v>
      </c>
      <c r="E495" s="3">
        <v>843.93</v>
      </c>
      <c r="F495" t="s">
        <v>20</v>
      </c>
      <c r="G495" s="2">
        <v>7</v>
      </c>
      <c r="H495" s="2">
        <v>0</v>
      </c>
      <c r="I495" s="1">
        <f>DATE(2018,5,31)</f>
        <v>43251</v>
      </c>
      <c r="J495" s="3">
        <v>0</v>
      </c>
      <c r="K495" s="3">
        <v>0</v>
      </c>
      <c r="L495" s="3">
        <v>843.93</v>
      </c>
      <c r="M495" s="3">
        <v>0</v>
      </c>
      <c r="N495" t="s">
        <v>512</v>
      </c>
      <c r="O495" t="s">
        <v>18</v>
      </c>
      <c r="P495" t="s">
        <v>19</v>
      </c>
      <c r="Q495" t="s">
        <v>513</v>
      </c>
    </row>
    <row r="496" spans="1:17" ht="17.45" customHeight="1" x14ac:dyDescent="0.2">
      <c r="A496" t="s">
        <v>767</v>
      </c>
      <c r="B496" t="s">
        <v>609</v>
      </c>
      <c r="C496" s="1">
        <f t="shared" si="60"/>
        <v>42460</v>
      </c>
      <c r="D496" s="1">
        <f>DATE(2014,10,31)</f>
        <v>41943</v>
      </c>
      <c r="E496" s="3">
        <v>2200.0300000000002</v>
      </c>
      <c r="F496" t="s">
        <v>20</v>
      </c>
      <c r="G496" s="2">
        <v>10</v>
      </c>
      <c r="H496" s="2">
        <v>0</v>
      </c>
      <c r="I496" s="1">
        <f>DATE(2022,12,31)</f>
        <v>44926</v>
      </c>
      <c r="J496" s="3">
        <v>18.37</v>
      </c>
      <c r="K496" s="3">
        <v>220</v>
      </c>
      <c r="L496" s="3">
        <v>1796.67</v>
      </c>
      <c r="M496" s="3">
        <v>403.36</v>
      </c>
      <c r="N496" t="s">
        <v>512</v>
      </c>
      <c r="O496" t="s">
        <v>18</v>
      </c>
      <c r="P496" t="s">
        <v>19</v>
      </c>
      <c r="Q496" t="s">
        <v>513</v>
      </c>
    </row>
    <row r="497" spans="1:17" ht="17.45" customHeight="1" x14ac:dyDescent="0.2">
      <c r="A497" t="s">
        <v>768</v>
      </c>
      <c r="B497" t="s">
        <v>769</v>
      </c>
      <c r="C497" s="1">
        <f t="shared" si="60"/>
        <v>42460</v>
      </c>
      <c r="D497" s="1">
        <f>DATE(2006,3,15)</f>
        <v>38791</v>
      </c>
      <c r="E497" s="3">
        <v>1763.66</v>
      </c>
      <c r="F497" t="s">
        <v>21</v>
      </c>
      <c r="G497" s="2">
        <v>6</v>
      </c>
      <c r="H497" s="2">
        <v>244</v>
      </c>
      <c r="I497" s="1">
        <f>DATE(2016,3,31)</f>
        <v>42460</v>
      </c>
      <c r="J497" s="3">
        <v>0</v>
      </c>
      <c r="K497" s="3">
        <v>0</v>
      </c>
      <c r="L497" s="3">
        <v>1763.66</v>
      </c>
      <c r="M497" s="3">
        <v>0</v>
      </c>
      <c r="N497" t="s">
        <v>512</v>
      </c>
      <c r="O497" t="s">
        <v>18</v>
      </c>
      <c r="P497" t="s">
        <v>19</v>
      </c>
      <c r="Q497" t="s">
        <v>513</v>
      </c>
    </row>
    <row r="498" spans="1:17" ht="17.45" customHeight="1" x14ac:dyDescent="0.2">
      <c r="A498" t="s">
        <v>770</v>
      </c>
      <c r="B498" t="s">
        <v>35</v>
      </c>
      <c r="C498" s="1">
        <f t="shared" si="60"/>
        <v>42460</v>
      </c>
      <c r="D498" s="1">
        <f>DATE(2009,6,30)</f>
        <v>39994</v>
      </c>
      <c r="E498" s="3">
        <v>56050</v>
      </c>
      <c r="F498" t="s">
        <v>20</v>
      </c>
      <c r="G498" s="2">
        <v>10</v>
      </c>
      <c r="H498" s="2">
        <v>0</v>
      </c>
      <c r="I498" s="1">
        <f>DATE(2019,6,30)</f>
        <v>43646</v>
      </c>
      <c r="J498" s="3">
        <v>0</v>
      </c>
      <c r="K498" s="3">
        <v>0</v>
      </c>
      <c r="L498" s="3">
        <v>56050</v>
      </c>
      <c r="M498" s="3">
        <v>0</v>
      </c>
      <c r="N498" t="s">
        <v>512</v>
      </c>
      <c r="O498" t="s">
        <v>18</v>
      </c>
      <c r="P498" t="s">
        <v>19</v>
      </c>
      <c r="Q498" t="s">
        <v>513</v>
      </c>
    </row>
    <row r="499" spans="1:17" ht="17.45" customHeight="1" x14ac:dyDescent="0.2">
      <c r="A499" t="s">
        <v>771</v>
      </c>
      <c r="B499" t="s">
        <v>772</v>
      </c>
      <c r="C499" s="1">
        <f t="shared" si="60"/>
        <v>42460</v>
      </c>
      <c r="D499" s="1">
        <f>DATE(2012,7,31)</f>
        <v>41121</v>
      </c>
      <c r="E499" s="3">
        <v>474.05</v>
      </c>
      <c r="F499" t="s">
        <v>20</v>
      </c>
      <c r="G499" s="2">
        <v>10</v>
      </c>
      <c r="H499" s="2">
        <v>0</v>
      </c>
      <c r="I499" s="1">
        <f>DATE(2022,7,31)</f>
        <v>44773</v>
      </c>
      <c r="J499" s="3">
        <v>0</v>
      </c>
      <c r="K499" s="3">
        <v>27.61</v>
      </c>
      <c r="L499" s="3">
        <v>474.05</v>
      </c>
      <c r="M499" s="3">
        <v>0</v>
      </c>
      <c r="N499" t="s">
        <v>512</v>
      </c>
      <c r="O499" t="s">
        <v>18</v>
      </c>
      <c r="P499" t="s">
        <v>19</v>
      </c>
      <c r="Q499" t="s">
        <v>513</v>
      </c>
    </row>
    <row r="500" spans="1:17" ht="17.45" customHeight="1" x14ac:dyDescent="0.2">
      <c r="A500" t="s">
        <v>773</v>
      </c>
      <c r="B500" t="s">
        <v>601</v>
      </c>
      <c r="C500" s="1">
        <f t="shared" si="60"/>
        <v>42460</v>
      </c>
      <c r="D500" s="1">
        <f>DATE(2014,9,30)</f>
        <v>41912</v>
      </c>
      <c r="E500" s="3">
        <v>4176.28</v>
      </c>
      <c r="F500" t="s">
        <v>20</v>
      </c>
      <c r="G500" s="2">
        <v>10</v>
      </c>
      <c r="H500" s="2">
        <v>0</v>
      </c>
      <c r="I500" s="1">
        <f>DATE(2022,12,31)</f>
        <v>44926</v>
      </c>
      <c r="J500" s="3">
        <v>34.83</v>
      </c>
      <c r="K500" s="3">
        <v>417.63</v>
      </c>
      <c r="L500" s="3">
        <v>3445.45</v>
      </c>
      <c r="M500" s="3">
        <v>730.83</v>
      </c>
      <c r="N500" t="s">
        <v>512</v>
      </c>
      <c r="O500" t="s">
        <v>18</v>
      </c>
      <c r="P500" t="s">
        <v>19</v>
      </c>
      <c r="Q500" t="s">
        <v>513</v>
      </c>
    </row>
    <row r="501" spans="1:17" ht="17.45" customHeight="1" x14ac:dyDescent="0.2">
      <c r="A501" t="s">
        <v>774</v>
      </c>
      <c r="B501" t="s">
        <v>775</v>
      </c>
      <c r="C501" s="1">
        <f t="shared" si="60"/>
        <v>42460</v>
      </c>
      <c r="D501" s="1">
        <f>DATE(2011,5,31)</f>
        <v>40694</v>
      </c>
      <c r="E501" s="3">
        <v>140.65</v>
      </c>
      <c r="F501" t="s">
        <v>20</v>
      </c>
      <c r="G501" s="2">
        <v>7</v>
      </c>
      <c r="H501" s="2">
        <v>0</v>
      </c>
      <c r="I501" s="1">
        <f>DATE(2018,5,31)</f>
        <v>43251</v>
      </c>
      <c r="J501" s="3">
        <v>0</v>
      </c>
      <c r="K501" s="3">
        <v>0</v>
      </c>
      <c r="L501" s="3">
        <v>140.65</v>
      </c>
      <c r="M501" s="3">
        <v>0</v>
      </c>
      <c r="N501" t="s">
        <v>512</v>
      </c>
      <c r="O501" t="s">
        <v>18</v>
      </c>
      <c r="P501" t="s">
        <v>19</v>
      </c>
      <c r="Q501" t="s">
        <v>513</v>
      </c>
    </row>
    <row r="502" spans="1:17" ht="17.45" customHeight="1" x14ac:dyDescent="0.2">
      <c r="A502" t="s">
        <v>776</v>
      </c>
      <c r="B502" t="s">
        <v>777</v>
      </c>
      <c r="C502" s="1">
        <f>DATE(2016,4,30)</f>
        <v>42490</v>
      </c>
      <c r="D502" s="1">
        <f>DATE(2016,4,30)</f>
        <v>42490</v>
      </c>
      <c r="E502" s="3">
        <v>1000</v>
      </c>
      <c r="F502" t="s">
        <v>20</v>
      </c>
      <c r="G502" s="2">
        <v>7</v>
      </c>
      <c r="H502" s="2">
        <v>0</v>
      </c>
      <c r="I502" s="1">
        <f t="shared" ref="I502:I512" si="61">DATE(2022,12,31)</f>
        <v>44926</v>
      </c>
      <c r="J502" s="3">
        <v>11.96</v>
      </c>
      <c r="K502" s="3">
        <v>142.86000000000001</v>
      </c>
      <c r="L502" s="3">
        <v>952.4</v>
      </c>
      <c r="M502" s="3">
        <v>47.6</v>
      </c>
      <c r="N502" t="s">
        <v>514</v>
      </c>
      <c r="O502" t="s">
        <v>18</v>
      </c>
      <c r="P502" t="s">
        <v>19</v>
      </c>
      <c r="Q502" t="s">
        <v>513</v>
      </c>
    </row>
    <row r="503" spans="1:17" ht="17.45" customHeight="1" x14ac:dyDescent="0.2">
      <c r="A503" t="s">
        <v>796</v>
      </c>
      <c r="B503" t="s">
        <v>797</v>
      </c>
      <c r="C503" s="1">
        <f t="shared" ref="C503:D505" si="62">DATE(2016,8,31)</f>
        <v>42613</v>
      </c>
      <c r="D503" s="1">
        <f t="shared" si="62"/>
        <v>42613</v>
      </c>
      <c r="E503" s="3">
        <v>29256</v>
      </c>
      <c r="F503" t="s">
        <v>20</v>
      </c>
      <c r="G503" s="2">
        <v>7</v>
      </c>
      <c r="H503" s="2">
        <v>0</v>
      </c>
      <c r="I503" s="1">
        <f t="shared" si="61"/>
        <v>44926</v>
      </c>
      <c r="J503" s="3">
        <v>348.24</v>
      </c>
      <c r="K503" s="3">
        <v>4179.43</v>
      </c>
      <c r="L503" s="3">
        <v>26469.72</v>
      </c>
      <c r="M503" s="3">
        <v>2786.28</v>
      </c>
      <c r="N503" t="s">
        <v>515</v>
      </c>
      <c r="O503" t="s">
        <v>18</v>
      </c>
      <c r="P503" t="s">
        <v>19</v>
      </c>
      <c r="Q503" t="s">
        <v>513</v>
      </c>
    </row>
    <row r="504" spans="1:17" ht="17.45" customHeight="1" x14ac:dyDescent="0.2">
      <c r="A504" t="s">
        <v>798</v>
      </c>
      <c r="B504" t="s">
        <v>799</v>
      </c>
      <c r="C504" s="1">
        <f t="shared" si="62"/>
        <v>42613</v>
      </c>
      <c r="D504" s="1">
        <f t="shared" si="62"/>
        <v>42613</v>
      </c>
      <c r="E504" s="3">
        <v>32717.95</v>
      </c>
      <c r="F504" t="s">
        <v>20</v>
      </c>
      <c r="G504" s="2">
        <v>7</v>
      </c>
      <c r="H504" s="2">
        <v>0</v>
      </c>
      <c r="I504" s="1">
        <f t="shared" si="61"/>
        <v>44926</v>
      </c>
      <c r="J504" s="3">
        <v>389.49</v>
      </c>
      <c r="K504" s="3">
        <v>4673.99</v>
      </c>
      <c r="L504" s="3">
        <v>29601.94</v>
      </c>
      <c r="M504" s="3">
        <v>3116.01</v>
      </c>
      <c r="N504" t="s">
        <v>515</v>
      </c>
      <c r="O504" t="s">
        <v>18</v>
      </c>
      <c r="P504" t="s">
        <v>19</v>
      </c>
      <c r="Q504" t="s">
        <v>513</v>
      </c>
    </row>
    <row r="505" spans="1:17" ht="17.45" customHeight="1" x14ac:dyDescent="0.2">
      <c r="A505" t="s">
        <v>800</v>
      </c>
      <c r="B505" t="s">
        <v>801</v>
      </c>
      <c r="C505" s="1">
        <f t="shared" si="62"/>
        <v>42613</v>
      </c>
      <c r="D505" s="1">
        <f t="shared" si="62"/>
        <v>42613</v>
      </c>
      <c r="E505" s="3">
        <v>41471.99</v>
      </c>
      <c r="F505" t="s">
        <v>20</v>
      </c>
      <c r="G505" s="2">
        <v>7</v>
      </c>
      <c r="H505" s="2">
        <v>0</v>
      </c>
      <c r="I505" s="1">
        <f t="shared" si="61"/>
        <v>44926</v>
      </c>
      <c r="J505" s="3">
        <v>493.76</v>
      </c>
      <c r="K505" s="3">
        <v>5924.57</v>
      </c>
      <c r="L505" s="3">
        <v>37522.28</v>
      </c>
      <c r="M505" s="3">
        <v>3949.71</v>
      </c>
      <c r="N505" t="s">
        <v>515</v>
      </c>
      <c r="O505" t="s">
        <v>18</v>
      </c>
      <c r="P505" t="s">
        <v>19</v>
      </c>
      <c r="Q505" t="s">
        <v>513</v>
      </c>
    </row>
    <row r="506" spans="1:17" ht="17.45" customHeight="1" x14ac:dyDescent="0.2">
      <c r="A506" t="s">
        <v>806</v>
      </c>
      <c r="B506" t="s">
        <v>807</v>
      </c>
      <c r="C506" s="1">
        <f>DATE(2016,9,30)</f>
        <v>42643</v>
      </c>
      <c r="D506" s="1">
        <f>DATE(2016,9,30)</f>
        <v>42643</v>
      </c>
      <c r="E506" s="3">
        <v>11656.63</v>
      </c>
      <c r="F506" t="s">
        <v>20</v>
      </c>
      <c r="G506" s="2">
        <v>10</v>
      </c>
      <c r="H506" s="2">
        <v>0</v>
      </c>
      <c r="I506" s="1">
        <f t="shared" si="61"/>
        <v>44926</v>
      </c>
      <c r="J506" s="3">
        <v>97.12</v>
      </c>
      <c r="K506" s="3">
        <v>1165.6600000000001</v>
      </c>
      <c r="L506" s="3">
        <v>7285.38</v>
      </c>
      <c r="M506" s="3">
        <v>4371.25</v>
      </c>
      <c r="N506" t="s">
        <v>512</v>
      </c>
      <c r="O506" t="s">
        <v>18</v>
      </c>
      <c r="P506" t="s">
        <v>19</v>
      </c>
      <c r="Q506" t="s">
        <v>513</v>
      </c>
    </row>
    <row r="507" spans="1:17" ht="17.45" customHeight="1" x14ac:dyDescent="0.2">
      <c r="A507" t="s">
        <v>836</v>
      </c>
      <c r="B507" t="s">
        <v>837</v>
      </c>
      <c r="C507" s="1">
        <f>DATE(2017,3,31)</f>
        <v>42825</v>
      </c>
      <c r="D507" s="1">
        <f>DATE(2017,3,31)</f>
        <v>42825</v>
      </c>
      <c r="E507" s="3">
        <v>13250</v>
      </c>
      <c r="F507" t="s">
        <v>20</v>
      </c>
      <c r="G507" s="2">
        <v>10</v>
      </c>
      <c r="H507" s="2">
        <v>0</v>
      </c>
      <c r="I507" s="1">
        <f t="shared" si="61"/>
        <v>44926</v>
      </c>
      <c r="J507" s="3">
        <v>110.38</v>
      </c>
      <c r="K507" s="3">
        <v>1325</v>
      </c>
      <c r="L507" s="3">
        <v>7618.75</v>
      </c>
      <c r="M507" s="3">
        <v>5631.25</v>
      </c>
      <c r="N507" t="s">
        <v>512</v>
      </c>
      <c r="O507" t="s">
        <v>18</v>
      </c>
      <c r="P507" t="s">
        <v>19</v>
      </c>
      <c r="Q507" t="s">
        <v>513</v>
      </c>
    </row>
    <row r="508" spans="1:17" ht="17.45" customHeight="1" x14ac:dyDescent="0.2">
      <c r="A508" t="s">
        <v>838</v>
      </c>
      <c r="B508" t="s">
        <v>839</v>
      </c>
      <c r="C508" s="1">
        <f>DATE(2017,4,30)</f>
        <v>42855</v>
      </c>
      <c r="D508" s="1">
        <f>DATE(2017,4,30)</f>
        <v>42855</v>
      </c>
      <c r="E508" s="3">
        <v>11156.81</v>
      </c>
      <c r="F508" t="s">
        <v>20</v>
      </c>
      <c r="G508" s="2">
        <v>7</v>
      </c>
      <c r="H508" s="2">
        <v>0</v>
      </c>
      <c r="I508" s="1">
        <f t="shared" si="61"/>
        <v>44926</v>
      </c>
      <c r="J508" s="3">
        <v>132.81</v>
      </c>
      <c r="K508" s="3">
        <v>1593.83</v>
      </c>
      <c r="L508" s="3">
        <v>9031.7000000000007</v>
      </c>
      <c r="M508" s="3">
        <v>2125.11</v>
      </c>
      <c r="N508" t="s">
        <v>515</v>
      </c>
      <c r="O508" t="s">
        <v>18</v>
      </c>
      <c r="P508" t="s">
        <v>19</v>
      </c>
      <c r="Q508" t="s">
        <v>513</v>
      </c>
    </row>
    <row r="509" spans="1:17" ht="17.45" customHeight="1" x14ac:dyDescent="0.2">
      <c r="A509" t="s">
        <v>840</v>
      </c>
      <c r="B509" t="s">
        <v>841</v>
      </c>
      <c r="C509" s="1">
        <f>DATE(2017,5,31)</f>
        <v>42886</v>
      </c>
      <c r="D509" s="1">
        <f>DATE(2017,5,31)</f>
        <v>42886</v>
      </c>
      <c r="E509" s="3">
        <v>4867</v>
      </c>
      <c r="F509" t="s">
        <v>20</v>
      </c>
      <c r="G509" s="2">
        <v>7</v>
      </c>
      <c r="H509" s="2">
        <v>0</v>
      </c>
      <c r="I509" s="1">
        <f t="shared" si="61"/>
        <v>44926</v>
      </c>
      <c r="J509" s="3">
        <v>57.95</v>
      </c>
      <c r="K509" s="3">
        <v>695.29</v>
      </c>
      <c r="L509" s="3">
        <v>3882.03</v>
      </c>
      <c r="M509" s="3">
        <v>984.97</v>
      </c>
      <c r="N509" t="s">
        <v>514</v>
      </c>
      <c r="O509" t="s">
        <v>18</v>
      </c>
      <c r="P509" t="s">
        <v>19</v>
      </c>
      <c r="Q509" t="s">
        <v>513</v>
      </c>
    </row>
    <row r="510" spans="1:17" ht="17.45" customHeight="1" x14ac:dyDescent="0.2">
      <c r="A510" t="s">
        <v>842</v>
      </c>
      <c r="B510" t="s">
        <v>843</v>
      </c>
      <c r="C510" s="1">
        <f>DATE(2017,7,31)</f>
        <v>42947</v>
      </c>
      <c r="D510" s="1">
        <f>DATE(2017,7,31)</f>
        <v>42947</v>
      </c>
      <c r="E510" s="3">
        <v>11156.81</v>
      </c>
      <c r="F510" t="s">
        <v>20</v>
      </c>
      <c r="G510" s="2">
        <v>7</v>
      </c>
      <c r="H510" s="2">
        <v>0</v>
      </c>
      <c r="I510" s="1">
        <f t="shared" si="61"/>
        <v>44926</v>
      </c>
      <c r="J510" s="3">
        <v>132.81</v>
      </c>
      <c r="K510" s="3">
        <v>1593.83</v>
      </c>
      <c r="L510" s="3">
        <v>8633.25</v>
      </c>
      <c r="M510" s="3">
        <v>2523.56</v>
      </c>
      <c r="N510" t="s">
        <v>515</v>
      </c>
      <c r="O510" t="s">
        <v>18</v>
      </c>
      <c r="P510" t="s">
        <v>19</v>
      </c>
      <c r="Q510" t="s">
        <v>513</v>
      </c>
    </row>
    <row r="511" spans="1:17" ht="17.45" customHeight="1" x14ac:dyDescent="0.2">
      <c r="A511" t="s">
        <v>850</v>
      </c>
      <c r="B511" t="s">
        <v>851</v>
      </c>
      <c r="C511" s="1">
        <f>DATE(2017,12,31)</f>
        <v>43100</v>
      </c>
      <c r="D511" s="1">
        <f>DATE(2017,12,31)</f>
        <v>43100</v>
      </c>
      <c r="E511" s="3">
        <v>55281.8</v>
      </c>
      <c r="F511" t="s">
        <v>20</v>
      </c>
      <c r="G511" s="2">
        <v>7</v>
      </c>
      <c r="H511" s="2">
        <v>0</v>
      </c>
      <c r="I511" s="1">
        <f t="shared" si="61"/>
        <v>44926</v>
      </c>
      <c r="J511" s="3">
        <v>658.08</v>
      </c>
      <c r="K511" s="3">
        <v>7897.4</v>
      </c>
      <c r="L511" s="3">
        <v>39487</v>
      </c>
      <c r="M511" s="3">
        <v>15794.8</v>
      </c>
      <c r="N511" t="s">
        <v>515</v>
      </c>
      <c r="O511" t="s">
        <v>18</v>
      </c>
      <c r="P511" t="s">
        <v>19</v>
      </c>
      <c r="Q511" t="s">
        <v>513</v>
      </c>
    </row>
    <row r="512" spans="1:17" ht="17.45" customHeight="1" x14ac:dyDescent="0.2">
      <c r="A512" t="s">
        <v>864</v>
      </c>
      <c r="B512" t="s">
        <v>865</v>
      </c>
      <c r="C512" s="1">
        <f>DATE(2017,12,31)</f>
        <v>43100</v>
      </c>
      <c r="D512" s="1">
        <f>DATE(2017,12,31)</f>
        <v>43100</v>
      </c>
      <c r="E512" s="3">
        <v>98195.02</v>
      </c>
      <c r="F512" t="s">
        <v>20</v>
      </c>
      <c r="G512" s="2">
        <v>10</v>
      </c>
      <c r="H512" s="2">
        <v>0</v>
      </c>
      <c r="I512" s="1">
        <f t="shared" si="61"/>
        <v>44926</v>
      </c>
      <c r="J512" s="3">
        <v>818.31</v>
      </c>
      <c r="K512" s="3">
        <v>9819.5</v>
      </c>
      <c r="L512" s="3">
        <v>49097.5</v>
      </c>
      <c r="M512" s="3">
        <v>49097.52</v>
      </c>
      <c r="N512" t="s">
        <v>515</v>
      </c>
      <c r="O512" t="s">
        <v>18</v>
      </c>
      <c r="P512" t="s">
        <v>19</v>
      </c>
      <c r="Q512" t="s">
        <v>513</v>
      </c>
    </row>
    <row r="513" spans="1:17" ht="17.45" customHeight="1" x14ac:dyDescent="0.2">
      <c r="A513" t="s">
        <v>886</v>
      </c>
      <c r="B513" t="s">
        <v>887</v>
      </c>
      <c r="C513" s="1">
        <f>DATE(2010,10,31)</f>
        <v>40482</v>
      </c>
      <c r="D513" s="1">
        <f>DATE(2010,10,31)</f>
        <v>40482</v>
      </c>
      <c r="E513" s="3">
        <v>1869</v>
      </c>
      <c r="F513" t="s">
        <v>20</v>
      </c>
      <c r="G513" s="2">
        <v>7</v>
      </c>
      <c r="H513" s="2">
        <v>0</v>
      </c>
      <c r="I513" s="1">
        <f>DATE(2017,10,31)</f>
        <v>43039</v>
      </c>
      <c r="J513" s="3">
        <v>0</v>
      </c>
      <c r="K513" s="3">
        <v>0</v>
      </c>
      <c r="L513" s="3">
        <v>1869</v>
      </c>
      <c r="M513" s="3">
        <v>0</v>
      </c>
      <c r="N513" t="s">
        <v>515</v>
      </c>
      <c r="O513" t="s">
        <v>18</v>
      </c>
      <c r="P513" t="s">
        <v>19</v>
      </c>
      <c r="Q513" t="s">
        <v>513</v>
      </c>
    </row>
    <row r="514" spans="1:17" ht="17.45" customHeight="1" x14ac:dyDescent="0.2">
      <c r="A514" t="s">
        <v>888</v>
      </c>
      <c r="B514" t="s">
        <v>889</v>
      </c>
      <c r="C514" s="1">
        <f>DATE(2018,11,30)</f>
        <v>43434</v>
      </c>
      <c r="D514" s="1">
        <f>DATE(2018,11,30)</f>
        <v>43434</v>
      </c>
      <c r="E514" s="3">
        <v>30597</v>
      </c>
      <c r="F514" t="s">
        <v>20</v>
      </c>
      <c r="G514" s="2">
        <v>7</v>
      </c>
      <c r="H514" s="2">
        <v>0</v>
      </c>
      <c r="I514" s="1">
        <f>DATE(2022,12,31)</f>
        <v>44926</v>
      </c>
      <c r="J514" s="3">
        <v>364.25</v>
      </c>
      <c r="K514" s="3">
        <v>4371</v>
      </c>
      <c r="L514" s="3">
        <v>17848.25</v>
      </c>
      <c r="M514" s="3">
        <v>12748.75</v>
      </c>
      <c r="N514" t="s">
        <v>515</v>
      </c>
      <c r="O514" t="s">
        <v>18</v>
      </c>
      <c r="P514" t="s">
        <v>19</v>
      </c>
      <c r="Q514" t="s">
        <v>513</v>
      </c>
    </row>
    <row r="515" spans="1:17" ht="17.45" customHeight="1" x14ac:dyDescent="0.2">
      <c r="A515" t="s">
        <v>916</v>
      </c>
      <c r="B515" t="s">
        <v>917</v>
      </c>
      <c r="C515" s="1">
        <f>DATE(2019,5,31)</f>
        <v>43616</v>
      </c>
      <c r="D515" s="1">
        <f>DATE(2019,5,31)</f>
        <v>43616</v>
      </c>
      <c r="E515" s="3">
        <v>56475</v>
      </c>
      <c r="F515" t="s">
        <v>21</v>
      </c>
      <c r="G515" s="2">
        <v>10</v>
      </c>
      <c r="H515" s="2">
        <v>0</v>
      </c>
      <c r="I515" s="1">
        <f>DATE(2022,12,31)</f>
        <v>44926</v>
      </c>
      <c r="J515" s="3">
        <v>457.82</v>
      </c>
      <c r="K515" s="3">
        <v>5494.5</v>
      </c>
      <c r="L515" s="3">
        <v>21204.81</v>
      </c>
      <c r="M515" s="3">
        <v>35270.19</v>
      </c>
      <c r="N515" t="s">
        <v>515</v>
      </c>
      <c r="O515" t="s">
        <v>18</v>
      </c>
      <c r="P515" t="s">
        <v>19</v>
      </c>
      <c r="Q515" t="s">
        <v>513</v>
      </c>
    </row>
    <row r="516" spans="1:17" ht="17.45" customHeight="1" x14ac:dyDescent="0.2">
      <c r="A516" t="s">
        <v>926</v>
      </c>
      <c r="B516" t="s">
        <v>927</v>
      </c>
      <c r="C516" s="1">
        <f>DATE(2019,7,31)</f>
        <v>43677</v>
      </c>
      <c r="D516" s="1">
        <f>DATE(2019,7,31)</f>
        <v>43677</v>
      </c>
      <c r="E516" s="3">
        <v>10926.72</v>
      </c>
      <c r="F516" t="s">
        <v>20</v>
      </c>
      <c r="G516" s="2">
        <v>7</v>
      </c>
      <c r="H516" s="2">
        <v>0</v>
      </c>
      <c r="I516" s="1">
        <f>DATE(2022,12,31)</f>
        <v>44926</v>
      </c>
      <c r="J516" s="3">
        <v>130.08000000000001</v>
      </c>
      <c r="K516" s="3">
        <v>1560.96</v>
      </c>
      <c r="L516" s="3">
        <v>5333.28</v>
      </c>
      <c r="M516" s="3">
        <v>5593.44</v>
      </c>
      <c r="N516" t="s">
        <v>515</v>
      </c>
      <c r="O516" t="s">
        <v>18</v>
      </c>
      <c r="P516" t="s">
        <v>19</v>
      </c>
      <c r="Q516" t="s">
        <v>513</v>
      </c>
    </row>
    <row r="517" spans="1:17" ht="17.45" customHeight="1" x14ac:dyDescent="0.2">
      <c r="A517" t="s">
        <v>1010</v>
      </c>
      <c r="B517" t="s">
        <v>1011</v>
      </c>
      <c r="C517" s="1">
        <f>DATE(2020,10,31)</f>
        <v>44135</v>
      </c>
      <c r="D517" s="1">
        <f>DATE(2020,10,31)</f>
        <v>44135</v>
      </c>
      <c r="E517" s="3">
        <v>7905.2</v>
      </c>
      <c r="F517" t="s">
        <v>20</v>
      </c>
      <c r="G517" s="2">
        <v>10</v>
      </c>
      <c r="H517" s="2">
        <v>0</v>
      </c>
      <c r="I517" s="1">
        <f>DATE(2020,10,31)</f>
        <v>44135</v>
      </c>
      <c r="J517" s="3">
        <v>0</v>
      </c>
      <c r="K517" s="3">
        <v>0</v>
      </c>
      <c r="L517" s="3">
        <v>7905.2</v>
      </c>
      <c r="M517" s="3">
        <v>0</v>
      </c>
      <c r="N517" t="s">
        <v>512</v>
      </c>
      <c r="O517" t="s">
        <v>18</v>
      </c>
      <c r="P517" t="s">
        <v>19</v>
      </c>
      <c r="Q517" t="s">
        <v>513</v>
      </c>
    </row>
    <row r="518" spans="1:17" ht="17.45" customHeight="1" x14ac:dyDescent="0.2">
      <c r="A518" t="s">
        <v>1120</v>
      </c>
      <c r="B518" t="s">
        <v>1121</v>
      </c>
      <c r="C518" s="1">
        <f>DATE(2022,11,30)</f>
        <v>44895</v>
      </c>
      <c r="D518" s="1">
        <f>DATE(2022,11,30)</f>
        <v>44895</v>
      </c>
      <c r="E518" s="3">
        <v>17010</v>
      </c>
      <c r="F518" t="s">
        <v>20</v>
      </c>
      <c r="G518" s="2">
        <v>7</v>
      </c>
      <c r="H518" s="2">
        <v>0</v>
      </c>
      <c r="I518" s="1">
        <f>DATE(2022,12,31)</f>
        <v>44926</v>
      </c>
      <c r="J518" s="3">
        <v>202.5</v>
      </c>
      <c r="K518" s="3">
        <v>202.5</v>
      </c>
      <c r="L518" s="3">
        <v>202.5</v>
      </c>
      <c r="M518" s="3">
        <v>16807.5</v>
      </c>
      <c r="N518" t="s">
        <v>515</v>
      </c>
      <c r="O518" t="s">
        <v>18</v>
      </c>
      <c r="P518" t="s">
        <v>19</v>
      </c>
      <c r="Q518" t="s">
        <v>513</v>
      </c>
    </row>
    <row r="519" spans="1:17" ht="17.45" customHeight="1" x14ac:dyDescent="0.2">
      <c r="E519" s="4">
        <f>SUM(E477:E518)</f>
        <v>907264.3600000001</v>
      </c>
      <c r="J519" s="4">
        <f>SUM(J477:J518)</f>
        <v>4654.68</v>
      </c>
      <c r="K519" s="4">
        <f>SUM(K477:K518)</f>
        <v>53775.21</v>
      </c>
      <c r="L519" s="4">
        <f t="shared" ref="L519:M519" si="63">SUM(L477:L518)</f>
        <v>742118.89999999991</v>
      </c>
      <c r="M519" s="4">
        <f t="shared" si="63"/>
        <v>165145.46000000002</v>
      </c>
    </row>
    <row r="520" spans="1:17" ht="17.45" customHeight="1" x14ac:dyDescent="0.2">
      <c r="A520" t="s">
        <v>541</v>
      </c>
      <c r="B520" t="s">
        <v>542</v>
      </c>
      <c r="C520" s="1">
        <f>DATE(2000,1,1)</f>
        <v>36526</v>
      </c>
      <c r="D520" s="1">
        <f>DATE(2000,1,1)</f>
        <v>36526</v>
      </c>
      <c r="E520" s="3">
        <v>3670</v>
      </c>
      <c r="F520" t="s">
        <v>20</v>
      </c>
      <c r="G520" s="2">
        <v>10</v>
      </c>
      <c r="H520" s="2">
        <v>0</v>
      </c>
      <c r="I520" s="1">
        <f>DATE(2014,6,30)</f>
        <v>41820</v>
      </c>
      <c r="J520" s="3">
        <v>0</v>
      </c>
      <c r="K520" s="3">
        <v>0</v>
      </c>
      <c r="L520" s="3">
        <v>3670</v>
      </c>
      <c r="M520" s="3">
        <v>0</v>
      </c>
      <c r="N520" t="s">
        <v>543</v>
      </c>
      <c r="O520" t="s">
        <v>18</v>
      </c>
      <c r="P520" t="s">
        <v>19</v>
      </c>
      <c r="Q520" t="s">
        <v>544</v>
      </c>
    </row>
    <row r="521" spans="1:17" ht="17.45" customHeight="1" x14ac:dyDescent="0.2">
      <c r="A521" t="s">
        <v>545</v>
      </c>
      <c r="B521" t="s">
        <v>546</v>
      </c>
      <c r="C521" s="1">
        <f>DATE(2002,5,1)</f>
        <v>37377</v>
      </c>
      <c r="D521" s="1">
        <f>DATE(2002,5,1)</f>
        <v>37377</v>
      </c>
      <c r="E521" s="3">
        <v>3820</v>
      </c>
      <c r="F521" t="s">
        <v>21</v>
      </c>
      <c r="G521" s="2">
        <v>12</v>
      </c>
      <c r="H521" s="2">
        <v>244</v>
      </c>
      <c r="I521" s="1">
        <f>DATE(2014,12,30)</f>
        <v>42003</v>
      </c>
      <c r="J521" s="3">
        <v>0</v>
      </c>
      <c r="K521" s="3">
        <v>0</v>
      </c>
      <c r="L521" s="3">
        <v>3820</v>
      </c>
      <c r="M521" s="3">
        <v>0</v>
      </c>
      <c r="N521" t="s">
        <v>543</v>
      </c>
      <c r="O521" t="s">
        <v>18</v>
      </c>
      <c r="P521" t="s">
        <v>19</v>
      </c>
      <c r="Q521" t="s">
        <v>544</v>
      </c>
    </row>
    <row r="522" spans="1:17" ht="17.45" customHeight="1" x14ac:dyDescent="0.2">
      <c r="A522" t="s">
        <v>547</v>
      </c>
      <c r="B522" t="s">
        <v>548</v>
      </c>
      <c r="C522" s="1">
        <f>DATE(2013,6,30)</f>
        <v>41455</v>
      </c>
      <c r="D522" s="1">
        <f>DATE(2013,6,30)</f>
        <v>41455</v>
      </c>
      <c r="E522" s="3">
        <v>10717.8</v>
      </c>
      <c r="F522" t="s">
        <v>20</v>
      </c>
      <c r="G522" s="2">
        <v>10</v>
      </c>
      <c r="H522" s="2">
        <v>0</v>
      </c>
      <c r="I522" s="1">
        <f>DATE(2022,12,31)</f>
        <v>44926</v>
      </c>
      <c r="J522" s="3">
        <v>89.26</v>
      </c>
      <c r="K522" s="3">
        <v>1071.78</v>
      </c>
      <c r="L522" s="3">
        <v>10181.91</v>
      </c>
      <c r="M522" s="3">
        <v>535.89</v>
      </c>
      <c r="N522" t="s">
        <v>543</v>
      </c>
      <c r="O522" t="s">
        <v>18</v>
      </c>
      <c r="P522" t="s">
        <v>19</v>
      </c>
      <c r="Q522" t="s">
        <v>544</v>
      </c>
    </row>
    <row r="523" spans="1:17" ht="17.45" customHeight="1" x14ac:dyDescent="0.2">
      <c r="A523" t="s">
        <v>652</v>
      </c>
      <c r="B523" t="s">
        <v>653</v>
      </c>
      <c r="C523" s="1">
        <f>DATE(2015,4,30)</f>
        <v>42124</v>
      </c>
      <c r="D523" s="1">
        <f>DATE(2015,4,30)</f>
        <v>42124</v>
      </c>
      <c r="E523" s="3">
        <v>3920</v>
      </c>
      <c r="F523" t="s">
        <v>20</v>
      </c>
      <c r="G523" s="2">
        <v>10</v>
      </c>
      <c r="H523" s="2">
        <v>0</v>
      </c>
      <c r="I523" s="1">
        <f>DATE(2022,12,31)</f>
        <v>44926</v>
      </c>
      <c r="J523" s="3">
        <v>32.630000000000003</v>
      </c>
      <c r="K523" s="3">
        <v>392</v>
      </c>
      <c r="L523" s="3">
        <v>3005.33</v>
      </c>
      <c r="M523" s="3">
        <v>914.67</v>
      </c>
      <c r="N523" t="s">
        <v>543</v>
      </c>
      <c r="O523" t="s">
        <v>18</v>
      </c>
      <c r="P523" t="s">
        <v>19</v>
      </c>
      <c r="Q523" t="s">
        <v>544</v>
      </c>
    </row>
    <row r="524" spans="1:17" ht="17.45" customHeight="1" x14ac:dyDescent="0.2">
      <c r="A524" t="s">
        <v>878</v>
      </c>
      <c r="B524" t="s">
        <v>879</v>
      </c>
      <c r="C524" s="1">
        <f>DATE(2018,9,30)</f>
        <v>43373</v>
      </c>
      <c r="D524" s="1">
        <f>DATE(2018,9,30)</f>
        <v>43373</v>
      </c>
      <c r="E524" s="3">
        <v>1291.99</v>
      </c>
      <c r="F524" t="s">
        <v>20</v>
      </c>
      <c r="G524" s="2">
        <v>10</v>
      </c>
      <c r="H524" s="2">
        <v>0</v>
      </c>
      <c r="I524" s="1">
        <f>DATE(2022,12,31)</f>
        <v>44926</v>
      </c>
      <c r="J524" s="3">
        <v>10.73</v>
      </c>
      <c r="K524" s="3">
        <v>129.19999999999999</v>
      </c>
      <c r="L524" s="3">
        <v>549.1</v>
      </c>
      <c r="M524" s="3">
        <v>742.89</v>
      </c>
      <c r="N524" t="s">
        <v>543</v>
      </c>
      <c r="O524" t="s">
        <v>18</v>
      </c>
      <c r="P524" t="s">
        <v>19</v>
      </c>
      <c r="Q524" t="s">
        <v>544</v>
      </c>
    </row>
    <row r="525" spans="1:17" ht="17.45" customHeight="1" x14ac:dyDescent="0.2">
      <c r="A525" t="s">
        <v>1042</v>
      </c>
      <c r="B525" t="s">
        <v>1043</v>
      </c>
      <c r="C525" s="1">
        <f>DATE(2021,11,30)</f>
        <v>44530</v>
      </c>
      <c r="D525" s="1">
        <f>DATE(2021,11,30)</f>
        <v>44530</v>
      </c>
      <c r="E525" s="3">
        <v>5049.49</v>
      </c>
      <c r="F525" t="s">
        <v>20</v>
      </c>
      <c r="G525" s="2">
        <v>10</v>
      </c>
      <c r="H525" s="2">
        <v>0</v>
      </c>
      <c r="I525" s="1">
        <f>DATE(2022,12,31)</f>
        <v>44926</v>
      </c>
      <c r="J525" s="3">
        <v>42.07</v>
      </c>
      <c r="K525" s="3">
        <v>504.95</v>
      </c>
      <c r="L525" s="3">
        <v>547.03</v>
      </c>
      <c r="M525" s="3">
        <v>4502.46</v>
      </c>
      <c r="N525" t="s">
        <v>543</v>
      </c>
      <c r="O525" t="s">
        <v>18</v>
      </c>
      <c r="P525" t="s">
        <v>19</v>
      </c>
      <c r="Q525" t="s">
        <v>544</v>
      </c>
    </row>
    <row r="526" spans="1:17" ht="17.45" customHeight="1" x14ac:dyDescent="0.2">
      <c r="E526" s="4">
        <f>SUM(E520:E525)</f>
        <v>28469.279999999999</v>
      </c>
      <c r="J526" s="4">
        <f t="shared" ref="J526:M526" si="64">SUM(J520:J525)</f>
        <v>174.69</v>
      </c>
      <c r="K526" s="4">
        <f t="shared" si="64"/>
        <v>2097.9299999999998</v>
      </c>
      <c r="L526" s="4">
        <f t="shared" si="64"/>
        <v>21773.369999999995</v>
      </c>
      <c r="M526" s="4">
        <f t="shared" si="64"/>
        <v>6695.91</v>
      </c>
    </row>
    <row r="527" spans="1:17" ht="17.45" customHeight="1" x14ac:dyDescent="0.2">
      <c r="A527" t="s">
        <v>551</v>
      </c>
      <c r="B527" t="s">
        <v>552</v>
      </c>
      <c r="C527" s="1">
        <f>DATE(2003,1,1)</f>
        <v>37622</v>
      </c>
      <c r="D527" s="1">
        <f>DATE(1994,1,1)</f>
        <v>34335</v>
      </c>
      <c r="E527" s="3">
        <v>16191</v>
      </c>
      <c r="F527" t="s">
        <v>20</v>
      </c>
      <c r="G527" s="2">
        <v>10</v>
      </c>
      <c r="H527" s="2">
        <v>0</v>
      </c>
      <c r="I527" s="1">
        <f>DATE(2014,6,30)</f>
        <v>41820</v>
      </c>
      <c r="J527" s="3">
        <v>0</v>
      </c>
      <c r="K527" s="3">
        <v>0</v>
      </c>
      <c r="L527" s="3">
        <v>16191</v>
      </c>
      <c r="M527" s="3">
        <v>0</v>
      </c>
      <c r="N527" t="s">
        <v>549</v>
      </c>
      <c r="O527" t="s">
        <v>18</v>
      </c>
      <c r="P527" t="s">
        <v>19</v>
      </c>
      <c r="Q527" t="s">
        <v>550</v>
      </c>
    </row>
    <row r="528" spans="1:17" ht="17.45" customHeight="1" x14ac:dyDescent="0.2">
      <c r="A528" t="s">
        <v>553</v>
      </c>
      <c r="B528" t="s">
        <v>554</v>
      </c>
      <c r="C528" s="1">
        <f>DATE(2006,8,1)</f>
        <v>38930</v>
      </c>
      <c r="D528" s="1">
        <f>DATE(2006,8,1)</f>
        <v>38930</v>
      </c>
      <c r="E528" s="3">
        <v>23486</v>
      </c>
      <c r="F528" t="s">
        <v>20</v>
      </c>
      <c r="G528" s="2">
        <v>10</v>
      </c>
      <c r="H528" s="2">
        <v>0</v>
      </c>
      <c r="I528" s="1">
        <f>DATE(2016,7,31)</f>
        <v>42582</v>
      </c>
      <c r="J528" s="3">
        <v>0</v>
      </c>
      <c r="K528" s="3">
        <v>0</v>
      </c>
      <c r="L528" s="3">
        <v>23486</v>
      </c>
      <c r="M528" s="3">
        <v>0</v>
      </c>
      <c r="N528" t="s">
        <v>549</v>
      </c>
      <c r="O528" t="s">
        <v>18</v>
      </c>
      <c r="P528" t="s">
        <v>19</v>
      </c>
      <c r="Q528" t="s">
        <v>550</v>
      </c>
    </row>
    <row r="529" spans="1:17" ht="17.45" customHeight="1" x14ac:dyDescent="0.2">
      <c r="A529" t="s">
        <v>555</v>
      </c>
      <c r="B529" t="s">
        <v>29</v>
      </c>
      <c r="C529" s="1">
        <f>DATE(2008,3,31)</f>
        <v>39538</v>
      </c>
      <c r="D529" s="1">
        <f>DATE(2008,3,31)</f>
        <v>39538</v>
      </c>
      <c r="E529" s="3">
        <v>843.65</v>
      </c>
      <c r="F529" t="s">
        <v>20</v>
      </c>
      <c r="G529" s="2">
        <v>10</v>
      </c>
      <c r="H529" s="2">
        <v>0</v>
      </c>
      <c r="I529" s="1">
        <f>DATE(2017,12,31)</f>
        <v>43100</v>
      </c>
      <c r="J529" s="3">
        <v>0</v>
      </c>
      <c r="K529" s="3">
        <v>0</v>
      </c>
      <c r="L529" s="3">
        <v>843.65</v>
      </c>
      <c r="M529" s="3">
        <v>0</v>
      </c>
      <c r="N529" t="s">
        <v>549</v>
      </c>
      <c r="O529" t="s">
        <v>18</v>
      </c>
      <c r="P529" t="s">
        <v>19</v>
      </c>
      <c r="Q529" t="s">
        <v>550</v>
      </c>
    </row>
    <row r="530" spans="1:17" ht="17.45" customHeight="1" x14ac:dyDescent="0.2">
      <c r="A530" t="s">
        <v>556</v>
      </c>
      <c r="B530" t="s">
        <v>557</v>
      </c>
      <c r="C530" s="1">
        <f>DATE(2009,12,1)</f>
        <v>40148</v>
      </c>
      <c r="D530" s="1">
        <f>DATE(2009,12,1)</f>
        <v>40148</v>
      </c>
      <c r="E530" s="3">
        <v>89281.74</v>
      </c>
      <c r="F530" t="s">
        <v>20</v>
      </c>
      <c r="G530" s="2">
        <v>10</v>
      </c>
      <c r="H530" s="2">
        <v>0</v>
      </c>
      <c r="I530" s="1">
        <f>DATE(2019,11,30)</f>
        <v>43799</v>
      </c>
      <c r="J530" s="3">
        <v>0</v>
      </c>
      <c r="K530" s="3">
        <v>0</v>
      </c>
      <c r="L530" s="3">
        <v>89281.74</v>
      </c>
      <c r="M530" s="3">
        <v>0</v>
      </c>
      <c r="N530" t="s">
        <v>549</v>
      </c>
      <c r="O530" t="s">
        <v>18</v>
      </c>
      <c r="P530" t="s">
        <v>19</v>
      </c>
      <c r="Q530" t="s">
        <v>550</v>
      </c>
    </row>
    <row r="531" spans="1:17" ht="17.45" customHeight="1" x14ac:dyDescent="0.2">
      <c r="A531" t="s">
        <v>558</v>
      </c>
      <c r="B531" t="s">
        <v>34</v>
      </c>
      <c r="C531" s="1">
        <f>DATE(2011,5,31)</f>
        <v>40694</v>
      </c>
      <c r="D531" s="1">
        <f>DATE(2011,5,31)</f>
        <v>40694</v>
      </c>
      <c r="E531" s="3">
        <v>2280</v>
      </c>
      <c r="F531" t="s">
        <v>20</v>
      </c>
      <c r="G531" s="2">
        <v>10</v>
      </c>
      <c r="H531" s="2">
        <v>0</v>
      </c>
      <c r="I531" s="1">
        <f>DATE(2021,5,31)</f>
        <v>44347</v>
      </c>
      <c r="J531" s="3">
        <v>0</v>
      </c>
      <c r="K531" s="3">
        <v>0</v>
      </c>
      <c r="L531" s="3">
        <v>2280</v>
      </c>
      <c r="M531" s="3">
        <v>0</v>
      </c>
      <c r="N531" t="s">
        <v>549</v>
      </c>
      <c r="O531" t="s">
        <v>18</v>
      </c>
      <c r="P531" t="s">
        <v>19</v>
      </c>
      <c r="Q531" t="s">
        <v>550</v>
      </c>
    </row>
    <row r="532" spans="1:17" ht="17.45" customHeight="1" x14ac:dyDescent="0.2">
      <c r="A532" t="s">
        <v>559</v>
      </c>
      <c r="B532" t="s">
        <v>560</v>
      </c>
      <c r="C532" s="1">
        <f>DATE(2011,11,30)</f>
        <v>40877</v>
      </c>
      <c r="D532" s="1">
        <f>DATE(2011,11,30)</f>
        <v>40877</v>
      </c>
      <c r="E532" s="3">
        <v>71443.09</v>
      </c>
      <c r="F532" t="s">
        <v>20</v>
      </c>
      <c r="G532" s="2">
        <v>10</v>
      </c>
      <c r="H532" s="2">
        <v>0</v>
      </c>
      <c r="I532" s="1">
        <f>DATE(2021,11,30)</f>
        <v>44530</v>
      </c>
      <c r="J532" s="3">
        <v>0</v>
      </c>
      <c r="K532" s="3">
        <v>0</v>
      </c>
      <c r="L532" s="3">
        <v>71443.09</v>
      </c>
      <c r="M532" s="3">
        <v>0</v>
      </c>
      <c r="N532" t="s">
        <v>549</v>
      </c>
      <c r="O532" t="s">
        <v>18</v>
      </c>
      <c r="P532" t="s">
        <v>19</v>
      </c>
      <c r="Q532" t="s">
        <v>550</v>
      </c>
    </row>
    <row r="533" spans="1:17" ht="17.45" customHeight="1" x14ac:dyDescent="0.2">
      <c r="A533" t="s">
        <v>668</v>
      </c>
      <c r="B533" t="s">
        <v>669</v>
      </c>
      <c r="C533" s="1">
        <f>DATE(2015,7,31)</f>
        <v>42216</v>
      </c>
      <c r="D533" s="1">
        <f>DATE(2015,7,31)</f>
        <v>42216</v>
      </c>
      <c r="E533" s="3">
        <v>10377.6</v>
      </c>
      <c r="F533" t="s">
        <v>20</v>
      </c>
      <c r="G533" s="2">
        <v>10</v>
      </c>
      <c r="H533" s="2">
        <v>0</v>
      </c>
      <c r="I533" s="1">
        <f t="shared" ref="I533:I545" si="65">DATE(2022,12,31)</f>
        <v>44926</v>
      </c>
      <c r="J533" s="3">
        <v>86.48</v>
      </c>
      <c r="K533" s="3">
        <v>1037.76</v>
      </c>
      <c r="L533" s="3">
        <v>7696.72</v>
      </c>
      <c r="M533" s="3">
        <v>2680.88</v>
      </c>
      <c r="N533" t="s">
        <v>549</v>
      </c>
      <c r="O533" t="s">
        <v>18</v>
      </c>
      <c r="P533" t="s">
        <v>19</v>
      </c>
      <c r="Q533" t="s">
        <v>550</v>
      </c>
    </row>
    <row r="534" spans="1:17" ht="17.45" customHeight="1" x14ac:dyDescent="0.2">
      <c r="A534" t="s">
        <v>684</v>
      </c>
      <c r="B534" t="s">
        <v>685</v>
      </c>
      <c r="C534" s="1">
        <f>DATE(2015,9,30)</f>
        <v>42277</v>
      </c>
      <c r="D534" s="1">
        <f>DATE(2015,9,30)</f>
        <v>42277</v>
      </c>
      <c r="E534" s="3">
        <v>249</v>
      </c>
      <c r="F534" t="s">
        <v>20</v>
      </c>
      <c r="G534" s="2">
        <v>10</v>
      </c>
      <c r="H534" s="2">
        <v>0</v>
      </c>
      <c r="I534" s="1">
        <f t="shared" si="65"/>
        <v>44926</v>
      </c>
      <c r="J534" s="3">
        <v>2.02</v>
      </c>
      <c r="K534" s="3">
        <v>24.9</v>
      </c>
      <c r="L534" s="3">
        <v>180.53</v>
      </c>
      <c r="M534" s="3">
        <v>68.47</v>
      </c>
      <c r="N534" t="s">
        <v>549</v>
      </c>
      <c r="O534" t="s">
        <v>18</v>
      </c>
      <c r="P534" t="s">
        <v>19</v>
      </c>
      <c r="Q534" t="s">
        <v>550</v>
      </c>
    </row>
    <row r="535" spans="1:17" ht="17.45" customHeight="1" x14ac:dyDescent="0.2">
      <c r="A535" t="s">
        <v>728</v>
      </c>
      <c r="B535" t="s">
        <v>729</v>
      </c>
      <c r="C535" s="1">
        <f>DATE(2016,2,29)</f>
        <v>42429</v>
      </c>
      <c r="D535" s="1">
        <f>DATE(2016,2,29)</f>
        <v>42429</v>
      </c>
      <c r="E535" s="3">
        <v>3913.14</v>
      </c>
      <c r="F535" t="s">
        <v>20</v>
      </c>
      <c r="G535" s="2">
        <v>10</v>
      </c>
      <c r="H535" s="2">
        <v>0</v>
      </c>
      <c r="I535" s="1">
        <f t="shared" si="65"/>
        <v>44926</v>
      </c>
      <c r="J535" s="3">
        <v>32.6</v>
      </c>
      <c r="K535" s="3">
        <v>391.31</v>
      </c>
      <c r="L535" s="3">
        <v>2673.96</v>
      </c>
      <c r="M535" s="3">
        <v>1239.18</v>
      </c>
      <c r="N535" t="s">
        <v>549</v>
      </c>
      <c r="O535" t="s">
        <v>18</v>
      </c>
      <c r="P535" t="s">
        <v>19</v>
      </c>
      <c r="Q535" t="s">
        <v>550</v>
      </c>
    </row>
    <row r="536" spans="1:17" ht="17.45" customHeight="1" x14ac:dyDescent="0.2">
      <c r="A536" t="s">
        <v>751</v>
      </c>
      <c r="B536" t="s">
        <v>752</v>
      </c>
      <c r="C536" s="1">
        <f>DATE(2016,3,1)</f>
        <v>42430</v>
      </c>
      <c r="D536" s="1">
        <f>DATE(2016,3,1)</f>
        <v>42430</v>
      </c>
      <c r="E536" s="3">
        <v>4257.41</v>
      </c>
      <c r="F536" t="s">
        <v>20</v>
      </c>
      <c r="G536" s="2">
        <v>10</v>
      </c>
      <c r="H536" s="2">
        <v>0</v>
      </c>
      <c r="I536" s="1">
        <f t="shared" si="65"/>
        <v>44926</v>
      </c>
      <c r="J536" s="3">
        <v>35.46</v>
      </c>
      <c r="K536" s="3">
        <v>425.74</v>
      </c>
      <c r="L536" s="3">
        <v>2909.22</v>
      </c>
      <c r="M536" s="3">
        <v>1348.19</v>
      </c>
      <c r="N536" t="s">
        <v>549</v>
      </c>
      <c r="O536" t="s">
        <v>18</v>
      </c>
      <c r="P536" t="s">
        <v>19</v>
      </c>
      <c r="Q536" t="s">
        <v>550</v>
      </c>
    </row>
    <row r="537" spans="1:17" ht="17.45" customHeight="1" x14ac:dyDescent="0.2">
      <c r="A537" t="s">
        <v>753</v>
      </c>
      <c r="B537" t="s">
        <v>754</v>
      </c>
      <c r="C537" s="1">
        <f>DATE(2016,3,1)</f>
        <v>42430</v>
      </c>
      <c r="D537" s="1">
        <f>DATE(2016,3,1)</f>
        <v>42430</v>
      </c>
      <c r="E537" s="3">
        <v>15769.07</v>
      </c>
      <c r="F537" t="s">
        <v>20</v>
      </c>
      <c r="G537" s="2">
        <v>10</v>
      </c>
      <c r="H537" s="2">
        <v>0</v>
      </c>
      <c r="I537" s="1">
        <f t="shared" si="65"/>
        <v>44926</v>
      </c>
      <c r="J537" s="3">
        <v>131.4</v>
      </c>
      <c r="K537" s="3">
        <v>1576.91</v>
      </c>
      <c r="L537" s="3">
        <v>10775.55</v>
      </c>
      <c r="M537" s="3">
        <v>4993.5200000000004</v>
      </c>
      <c r="N537" t="s">
        <v>549</v>
      </c>
      <c r="O537" t="s">
        <v>18</v>
      </c>
      <c r="P537" t="s">
        <v>19</v>
      </c>
      <c r="Q537" t="s">
        <v>550</v>
      </c>
    </row>
    <row r="538" spans="1:17" ht="17.45" customHeight="1" x14ac:dyDescent="0.2">
      <c r="A538" t="s">
        <v>780</v>
      </c>
      <c r="B538" t="s">
        <v>781</v>
      </c>
      <c r="C538" s="1">
        <f>DATE(2016,4,30)</f>
        <v>42490</v>
      </c>
      <c r="D538" s="1">
        <f>DATE(2016,4,30)</f>
        <v>42490</v>
      </c>
      <c r="E538" s="3">
        <v>95575</v>
      </c>
      <c r="F538" t="s">
        <v>20</v>
      </c>
      <c r="G538" s="2">
        <v>10</v>
      </c>
      <c r="H538" s="2">
        <v>0</v>
      </c>
      <c r="I538" s="1">
        <f t="shared" si="65"/>
        <v>44926</v>
      </c>
      <c r="J538" s="3">
        <v>796.44</v>
      </c>
      <c r="K538" s="3">
        <v>9557.5</v>
      </c>
      <c r="L538" s="3">
        <v>63716.67</v>
      </c>
      <c r="M538" s="3">
        <v>31858.33</v>
      </c>
      <c r="N538" t="s">
        <v>549</v>
      </c>
      <c r="O538" t="s">
        <v>18</v>
      </c>
      <c r="P538" t="s">
        <v>19</v>
      </c>
      <c r="Q538" t="s">
        <v>550</v>
      </c>
    </row>
    <row r="539" spans="1:17" ht="17.45" customHeight="1" x14ac:dyDescent="0.2">
      <c r="A539" t="s">
        <v>816</v>
      </c>
      <c r="B539" t="s">
        <v>817</v>
      </c>
      <c r="C539" s="1">
        <f>DATE(2016,12,31)</f>
        <v>42735</v>
      </c>
      <c r="D539" s="1">
        <f>DATE(2016,12,31)</f>
        <v>42735</v>
      </c>
      <c r="E539" s="3">
        <v>113508.33</v>
      </c>
      <c r="F539" t="s">
        <v>20</v>
      </c>
      <c r="G539" s="2">
        <v>10</v>
      </c>
      <c r="H539" s="2">
        <v>0</v>
      </c>
      <c r="I539" s="1">
        <f t="shared" si="65"/>
        <v>44926</v>
      </c>
      <c r="J539" s="3">
        <v>945.93</v>
      </c>
      <c r="K539" s="3">
        <v>11350.83</v>
      </c>
      <c r="L539" s="3">
        <v>68104.990000000005</v>
      </c>
      <c r="M539" s="3">
        <v>45403.34</v>
      </c>
      <c r="N539" t="s">
        <v>549</v>
      </c>
      <c r="O539" t="s">
        <v>18</v>
      </c>
      <c r="P539" t="s">
        <v>19</v>
      </c>
      <c r="Q539" t="s">
        <v>550</v>
      </c>
    </row>
    <row r="540" spans="1:17" ht="17.45" customHeight="1" x14ac:dyDescent="0.2">
      <c r="A540" t="s">
        <v>830</v>
      </c>
      <c r="B540" t="s">
        <v>831</v>
      </c>
      <c r="C540" s="1">
        <f>DATE(2017,2,28)</f>
        <v>42794</v>
      </c>
      <c r="D540" s="1">
        <f>DATE(2017,2,28)</f>
        <v>42794</v>
      </c>
      <c r="E540" s="3">
        <v>2082.1799999999998</v>
      </c>
      <c r="F540" t="s">
        <v>20</v>
      </c>
      <c r="G540" s="2">
        <v>10</v>
      </c>
      <c r="H540" s="2">
        <v>0</v>
      </c>
      <c r="I540" s="1">
        <f t="shared" si="65"/>
        <v>44926</v>
      </c>
      <c r="J540" s="3">
        <v>17.37</v>
      </c>
      <c r="K540" s="3">
        <v>208.22</v>
      </c>
      <c r="L540" s="3">
        <v>1214.6199999999999</v>
      </c>
      <c r="M540" s="3">
        <v>867.56</v>
      </c>
      <c r="N540" t="s">
        <v>549</v>
      </c>
      <c r="O540" t="s">
        <v>18</v>
      </c>
      <c r="P540" t="s">
        <v>19</v>
      </c>
      <c r="Q540" t="s">
        <v>550</v>
      </c>
    </row>
    <row r="541" spans="1:17" ht="17.45" customHeight="1" x14ac:dyDescent="0.2">
      <c r="A541" t="s">
        <v>872</v>
      </c>
      <c r="B541" t="s">
        <v>873</v>
      </c>
      <c r="C541" s="1">
        <f>DATE(2018,7,31)</f>
        <v>43312</v>
      </c>
      <c r="D541" s="1">
        <f>DATE(2018,7,31)</f>
        <v>43312</v>
      </c>
      <c r="E541" s="3">
        <v>1865</v>
      </c>
      <c r="F541" t="s">
        <v>20</v>
      </c>
      <c r="G541" s="2">
        <v>10</v>
      </c>
      <c r="H541" s="2">
        <v>0</v>
      </c>
      <c r="I541" s="1">
        <f t="shared" si="65"/>
        <v>44926</v>
      </c>
      <c r="J541" s="3">
        <v>15.56</v>
      </c>
      <c r="K541" s="3">
        <v>186.5</v>
      </c>
      <c r="L541" s="3">
        <v>823.71</v>
      </c>
      <c r="M541" s="3">
        <v>1041.29</v>
      </c>
      <c r="N541" t="s">
        <v>549</v>
      </c>
      <c r="O541" t="s">
        <v>18</v>
      </c>
      <c r="P541" t="s">
        <v>19</v>
      </c>
      <c r="Q541" t="s">
        <v>550</v>
      </c>
    </row>
    <row r="542" spans="1:17" ht="17.45" customHeight="1" x14ac:dyDescent="0.2">
      <c r="A542" t="s">
        <v>876</v>
      </c>
      <c r="B542" t="s">
        <v>877</v>
      </c>
      <c r="C542" s="1">
        <f>DATE(2018,9,30)</f>
        <v>43373</v>
      </c>
      <c r="D542" s="1">
        <f>DATE(2018,9,30)</f>
        <v>43373</v>
      </c>
      <c r="E542" s="3">
        <v>4863</v>
      </c>
      <c r="F542" t="s">
        <v>20</v>
      </c>
      <c r="G542" s="2">
        <v>10</v>
      </c>
      <c r="H542" s="2">
        <v>0</v>
      </c>
      <c r="I542" s="1">
        <f t="shared" si="65"/>
        <v>44926</v>
      </c>
      <c r="J542" s="3">
        <v>40.47</v>
      </c>
      <c r="K542" s="3">
        <v>486.3</v>
      </c>
      <c r="L542" s="3">
        <v>2066.7800000000002</v>
      </c>
      <c r="M542" s="3">
        <v>2796.22</v>
      </c>
      <c r="N542" t="s">
        <v>549</v>
      </c>
      <c r="O542" t="s">
        <v>18</v>
      </c>
      <c r="P542" t="s">
        <v>19</v>
      </c>
      <c r="Q542" t="s">
        <v>550</v>
      </c>
    </row>
    <row r="543" spans="1:17" ht="17.45" customHeight="1" x14ac:dyDescent="0.2">
      <c r="A543" t="s">
        <v>984</v>
      </c>
      <c r="B543" t="s">
        <v>985</v>
      </c>
      <c r="C543" s="1">
        <f>DATE(2020,2,29)</f>
        <v>43890</v>
      </c>
      <c r="D543" s="1">
        <f>DATE(2020,2,29)</f>
        <v>43890</v>
      </c>
      <c r="E543" s="3">
        <v>75691.899999999994</v>
      </c>
      <c r="F543" t="s">
        <v>20</v>
      </c>
      <c r="G543" s="2">
        <v>10</v>
      </c>
      <c r="H543" s="2">
        <v>0</v>
      </c>
      <c r="I543" s="1">
        <f t="shared" si="65"/>
        <v>44926</v>
      </c>
      <c r="J543" s="3">
        <v>630.72</v>
      </c>
      <c r="K543" s="3">
        <v>7569.19</v>
      </c>
      <c r="L543" s="3">
        <v>21446.04</v>
      </c>
      <c r="M543" s="3">
        <v>54245.86</v>
      </c>
      <c r="N543" t="s">
        <v>549</v>
      </c>
      <c r="O543" t="s">
        <v>18</v>
      </c>
      <c r="P543" t="s">
        <v>19</v>
      </c>
      <c r="Q543" t="s">
        <v>550</v>
      </c>
    </row>
    <row r="544" spans="1:17" ht="17.45" customHeight="1" x14ac:dyDescent="0.2">
      <c r="A544" t="s">
        <v>1030</v>
      </c>
      <c r="B544" t="s">
        <v>1031</v>
      </c>
      <c r="C544" s="1">
        <f>DATE(2021,7,31)</f>
        <v>44408</v>
      </c>
      <c r="D544" s="1">
        <f>DATE(2021,7,31)</f>
        <v>44408</v>
      </c>
      <c r="E544" s="3">
        <v>2958.51</v>
      </c>
      <c r="F544" t="s">
        <v>20</v>
      </c>
      <c r="G544" s="2">
        <v>10</v>
      </c>
      <c r="H544" s="2">
        <v>0</v>
      </c>
      <c r="I544" s="1">
        <f t="shared" si="65"/>
        <v>44926</v>
      </c>
      <c r="J544" s="3">
        <v>24.7</v>
      </c>
      <c r="K544" s="3">
        <v>295.85000000000002</v>
      </c>
      <c r="L544" s="3">
        <v>419.12</v>
      </c>
      <c r="M544" s="3">
        <v>2539.39</v>
      </c>
      <c r="N544" t="s">
        <v>549</v>
      </c>
      <c r="O544" t="s">
        <v>18</v>
      </c>
      <c r="P544" t="s">
        <v>19</v>
      </c>
      <c r="Q544" t="s">
        <v>550</v>
      </c>
    </row>
    <row r="545" spans="1:17" ht="17.45" customHeight="1" x14ac:dyDescent="0.2">
      <c r="A545" t="s">
        <v>1082</v>
      </c>
      <c r="B545" t="s">
        <v>1083</v>
      </c>
      <c r="C545" s="1">
        <f>DATE(2022,7,31)</f>
        <v>44773</v>
      </c>
      <c r="D545" s="1">
        <f>DATE(2022,7,31)</f>
        <v>44773</v>
      </c>
      <c r="E545" s="3">
        <v>1989.13</v>
      </c>
      <c r="F545" t="s">
        <v>20</v>
      </c>
      <c r="G545" s="2">
        <v>10</v>
      </c>
      <c r="H545" s="2">
        <v>0</v>
      </c>
      <c r="I545" s="1">
        <f t="shared" si="65"/>
        <v>44926</v>
      </c>
      <c r="J545" s="3">
        <v>16.559999999999999</v>
      </c>
      <c r="K545" s="3">
        <v>82.88</v>
      </c>
      <c r="L545" s="3">
        <v>82.88</v>
      </c>
      <c r="M545" s="3">
        <v>1906.25</v>
      </c>
      <c r="N545" t="s">
        <v>549</v>
      </c>
      <c r="O545" t="s">
        <v>18</v>
      </c>
      <c r="P545" t="s">
        <v>19</v>
      </c>
      <c r="Q545" t="s">
        <v>550</v>
      </c>
    </row>
    <row r="546" spans="1:17" ht="17.45" customHeight="1" x14ac:dyDescent="0.2">
      <c r="E546" s="4">
        <f>SUM(E527:E545)</f>
        <v>536624.75000000012</v>
      </c>
      <c r="J546" s="4">
        <f t="shared" ref="J546:M546" si="66">SUM(J527:J545)</f>
        <v>2775.7099999999996</v>
      </c>
      <c r="K546" s="4">
        <f t="shared" si="66"/>
        <v>33193.889999999992</v>
      </c>
      <c r="L546" s="4">
        <f t="shared" si="66"/>
        <v>385636.27</v>
      </c>
      <c r="M546" s="4">
        <f t="shared" si="66"/>
        <v>150988.48000000001</v>
      </c>
    </row>
    <row r="547" spans="1:17" ht="17.45" customHeight="1" x14ac:dyDescent="0.2">
      <c r="A547" t="s">
        <v>561</v>
      </c>
      <c r="B547" t="s">
        <v>562</v>
      </c>
      <c r="C547" s="1">
        <f>DATE(2012,5,31)</f>
        <v>41060</v>
      </c>
      <c r="D547" s="1">
        <f>DATE(2012,5,31)</f>
        <v>41060</v>
      </c>
      <c r="E547" s="3">
        <v>2898.24</v>
      </c>
      <c r="F547" t="s">
        <v>20</v>
      </c>
      <c r="G547" s="2">
        <v>10</v>
      </c>
      <c r="H547" s="2">
        <v>0</v>
      </c>
      <c r="I547" s="1">
        <f>DATE(2022,5,31)</f>
        <v>44712</v>
      </c>
      <c r="J547" s="3">
        <v>0</v>
      </c>
      <c r="K547" s="3">
        <v>120.8</v>
      </c>
      <c r="L547" s="3">
        <v>2898.24</v>
      </c>
      <c r="M547" s="3">
        <v>0</v>
      </c>
      <c r="N547" t="s">
        <v>563</v>
      </c>
      <c r="O547" t="s">
        <v>18</v>
      </c>
      <c r="P547" t="s">
        <v>19</v>
      </c>
      <c r="Q547" t="s">
        <v>564</v>
      </c>
    </row>
    <row r="548" spans="1:17" ht="17.45" customHeight="1" x14ac:dyDescent="0.2">
      <c r="A548" t="s">
        <v>565</v>
      </c>
      <c r="B548" t="s">
        <v>566</v>
      </c>
      <c r="C548" s="1">
        <f>DATE(2012,6,30)</f>
        <v>41090</v>
      </c>
      <c r="D548" s="1">
        <f>DATE(2012,6,30)</f>
        <v>41090</v>
      </c>
      <c r="E548" s="3">
        <v>3973.56</v>
      </c>
      <c r="F548" t="s">
        <v>20</v>
      </c>
      <c r="G548" s="2">
        <v>10</v>
      </c>
      <c r="H548" s="2">
        <v>0</v>
      </c>
      <c r="I548" s="1">
        <f>DATE(2022,6,30)</f>
        <v>44742</v>
      </c>
      <c r="J548" s="3">
        <v>0</v>
      </c>
      <c r="K548" s="3">
        <v>198.64</v>
      </c>
      <c r="L548" s="3">
        <v>3973.56</v>
      </c>
      <c r="M548" s="3">
        <v>0</v>
      </c>
      <c r="N548" t="s">
        <v>567</v>
      </c>
      <c r="O548" t="s">
        <v>18</v>
      </c>
      <c r="P548" t="s">
        <v>19</v>
      </c>
      <c r="Q548" t="s">
        <v>564</v>
      </c>
    </row>
    <row r="549" spans="1:17" ht="17.45" customHeight="1" x14ac:dyDescent="0.2">
      <c r="A549" t="s">
        <v>593</v>
      </c>
      <c r="B549" t="s">
        <v>594</v>
      </c>
      <c r="C549" s="1">
        <f>DATE(2014,8,31)</f>
        <v>41882</v>
      </c>
      <c r="D549" s="1">
        <f>DATE(2014,8,31)</f>
        <v>41882</v>
      </c>
      <c r="E549" s="3">
        <v>2309.11</v>
      </c>
      <c r="F549" t="s">
        <v>20</v>
      </c>
      <c r="G549" s="2">
        <v>10</v>
      </c>
      <c r="H549" s="2">
        <v>0</v>
      </c>
      <c r="I549" s="1">
        <f t="shared" ref="I549:I557" si="67">DATE(2022,12,31)</f>
        <v>44926</v>
      </c>
      <c r="J549" s="3">
        <v>19.27</v>
      </c>
      <c r="K549" s="3">
        <v>230.91</v>
      </c>
      <c r="L549" s="3">
        <v>1924.25</v>
      </c>
      <c r="M549" s="3">
        <v>384.86</v>
      </c>
      <c r="N549" t="s">
        <v>595</v>
      </c>
      <c r="O549" t="s">
        <v>18</v>
      </c>
      <c r="P549" t="s">
        <v>19</v>
      </c>
      <c r="Q549" t="s">
        <v>564</v>
      </c>
    </row>
    <row r="550" spans="1:17" ht="17.45" customHeight="1" x14ac:dyDescent="0.2">
      <c r="A550" t="s">
        <v>642</v>
      </c>
      <c r="B550" t="s">
        <v>643</v>
      </c>
      <c r="C550" s="1">
        <f>DATE(2015,1,31)</f>
        <v>42035</v>
      </c>
      <c r="D550" s="1">
        <f>DATE(2015,1,31)</f>
        <v>42035</v>
      </c>
      <c r="E550" s="3">
        <v>15950.2</v>
      </c>
      <c r="F550" t="s">
        <v>20</v>
      </c>
      <c r="G550" s="2">
        <v>10</v>
      </c>
      <c r="H550" s="2">
        <v>0</v>
      </c>
      <c r="I550" s="1">
        <f t="shared" si="67"/>
        <v>44926</v>
      </c>
      <c r="J550" s="3">
        <v>132.9</v>
      </c>
      <c r="K550" s="3">
        <v>1595.02</v>
      </c>
      <c r="L550" s="3">
        <v>12627.24</v>
      </c>
      <c r="M550" s="3">
        <v>3322.96</v>
      </c>
      <c r="N550" t="s">
        <v>595</v>
      </c>
      <c r="O550" t="s">
        <v>18</v>
      </c>
      <c r="P550" t="s">
        <v>19</v>
      </c>
      <c r="Q550" t="s">
        <v>564</v>
      </c>
    </row>
    <row r="551" spans="1:17" ht="17.45" customHeight="1" x14ac:dyDescent="0.2">
      <c r="A551" t="s">
        <v>690</v>
      </c>
      <c r="B551" t="s">
        <v>691</v>
      </c>
      <c r="C551" s="1">
        <f>DATE(2015,9,30)</f>
        <v>42277</v>
      </c>
      <c r="D551" s="1">
        <f>DATE(2015,9,30)</f>
        <v>42277</v>
      </c>
      <c r="E551" s="3">
        <v>2309.11</v>
      </c>
      <c r="F551" t="s">
        <v>20</v>
      </c>
      <c r="G551" s="2">
        <v>10</v>
      </c>
      <c r="H551" s="2">
        <v>0</v>
      </c>
      <c r="I551" s="1">
        <f t="shared" si="67"/>
        <v>44926</v>
      </c>
      <c r="J551" s="3">
        <v>19.27</v>
      </c>
      <c r="K551" s="3">
        <v>230.91</v>
      </c>
      <c r="L551" s="3">
        <v>1674.1</v>
      </c>
      <c r="M551" s="3">
        <v>635.01</v>
      </c>
      <c r="N551" t="s">
        <v>595</v>
      </c>
      <c r="O551" t="s">
        <v>18</v>
      </c>
      <c r="P551" t="s">
        <v>19</v>
      </c>
      <c r="Q551" t="s">
        <v>564</v>
      </c>
    </row>
    <row r="552" spans="1:17" ht="17.45" customHeight="1" x14ac:dyDescent="0.2">
      <c r="A552" t="s">
        <v>792</v>
      </c>
      <c r="B552" t="s">
        <v>793</v>
      </c>
      <c r="C552" s="1">
        <f>DATE(2016,7,31)</f>
        <v>42582</v>
      </c>
      <c r="D552" s="1">
        <f>DATE(2016,7,31)</f>
        <v>42582</v>
      </c>
      <c r="E552" s="3">
        <v>3863.85</v>
      </c>
      <c r="F552" t="s">
        <v>20</v>
      </c>
      <c r="G552" s="2">
        <v>10</v>
      </c>
      <c r="H552" s="2">
        <v>0</v>
      </c>
      <c r="I552" s="1">
        <f t="shared" si="67"/>
        <v>44926</v>
      </c>
      <c r="J552" s="3">
        <v>32.19</v>
      </c>
      <c r="K552" s="3">
        <v>386.39</v>
      </c>
      <c r="L552" s="3">
        <v>2479.33</v>
      </c>
      <c r="M552" s="3">
        <v>1384.52</v>
      </c>
      <c r="N552" t="s">
        <v>563</v>
      </c>
      <c r="O552" t="s">
        <v>18</v>
      </c>
      <c r="P552" t="s">
        <v>19</v>
      </c>
      <c r="Q552" t="s">
        <v>564</v>
      </c>
    </row>
    <row r="553" spans="1:17" ht="17.45" customHeight="1" x14ac:dyDescent="0.2">
      <c r="A553" t="s">
        <v>924</v>
      </c>
      <c r="B553" t="s">
        <v>925</v>
      </c>
      <c r="C553" s="1">
        <f>DATE(2019,6,30)</f>
        <v>43646</v>
      </c>
      <c r="D553" s="1">
        <f>DATE(2019,6,30)</f>
        <v>43646</v>
      </c>
      <c r="E553" s="3">
        <v>1344.2</v>
      </c>
      <c r="F553" t="s">
        <v>20</v>
      </c>
      <c r="G553" s="2">
        <v>10</v>
      </c>
      <c r="H553" s="2">
        <v>0</v>
      </c>
      <c r="I553" s="1">
        <f t="shared" si="67"/>
        <v>44926</v>
      </c>
      <c r="J553" s="3">
        <v>11.22</v>
      </c>
      <c r="K553" s="3">
        <v>134.41999999999999</v>
      </c>
      <c r="L553" s="3">
        <v>470.47</v>
      </c>
      <c r="M553" s="3">
        <v>873.73</v>
      </c>
      <c r="N553" t="s">
        <v>563</v>
      </c>
      <c r="O553" t="s">
        <v>18</v>
      </c>
      <c r="P553" t="s">
        <v>19</v>
      </c>
      <c r="Q553" t="s">
        <v>564</v>
      </c>
    </row>
    <row r="554" spans="1:17" ht="17.45" customHeight="1" x14ac:dyDescent="0.2">
      <c r="A554" t="s">
        <v>1059</v>
      </c>
      <c r="B554" t="s">
        <v>1060</v>
      </c>
      <c r="C554" s="1">
        <f t="shared" ref="C554:D556" si="68">DATE(2022,2,28)</f>
        <v>44620</v>
      </c>
      <c r="D554" s="1">
        <f t="shared" si="68"/>
        <v>44620</v>
      </c>
      <c r="E554" s="3">
        <v>312695.26</v>
      </c>
      <c r="F554" t="s">
        <v>20</v>
      </c>
      <c r="G554" s="2">
        <v>10</v>
      </c>
      <c r="H554" s="2">
        <v>0</v>
      </c>
      <c r="I554" s="1">
        <f t="shared" si="67"/>
        <v>44926</v>
      </c>
      <c r="J554" s="3">
        <v>2605.83</v>
      </c>
      <c r="K554" s="3">
        <v>26057.94</v>
      </c>
      <c r="L554" s="3">
        <v>26057.94</v>
      </c>
      <c r="M554" s="3">
        <v>286637.32</v>
      </c>
      <c r="N554" t="s">
        <v>1061</v>
      </c>
      <c r="O554" t="s">
        <v>18</v>
      </c>
      <c r="P554" t="s">
        <v>19</v>
      </c>
      <c r="Q554" t="s">
        <v>564</v>
      </c>
    </row>
    <row r="555" spans="1:17" ht="17.45" customHeight="1" x14ac:dyDescent="0.2">
      <c r="A555" t="s">
        <v>1062</v>
      </c>
      <c r="B555" t="s">
        <v>1063</v>
      </c>
      <c r="C555" s="1">
        <f t="shared" si="68"/>
        <v>44620</v>
      </c>
      <c r="D555" s="1">
        <f t="shared" si="68"/>
        <v>44620</v>
      </c>
      <c r="E555" s="3">
        <v>397026.55</v>
      </c>
      <c r="F555" t="s">
        <v>20</v>
      </c>
      <c r="G555" s="2">
        <v>25</v>
      </c>
      <c r="H555" s="2">
        <v>0</v>
      </c>
      <c r="I555" s="1">
        <f t="shared" si="67"/>
        <v>44926</v>
      </c>
      <c r="J555" s="3">
        <v>1323.44</v>
      </c>
      <c r="K555" s="3">
        <v>13234.22</v>
      </c>
      <c r="L555" s="3">
        <v>13234.22</v>
      </c>
      <c r="M555" s="3">
        <v>383792.33</v>
      </c>
      <c r="N555" t="s">
        <v>1061</v>
      </c>
      <c r="O555" t="s">
        <v>18</v>
      </c>
      <c r="P555" t="s">
        <v>19</v>
      </c>
      <c r="Q555" t="s">
        <v>564</v>
      </c>
    </row>
    <row r="556" spans="1:17" ht="17.45" customHeight="1" x14ac:dyDescent="0.2">
      <c r="A556" t="s">
        <v>1064</v>
      </c>
      <c r="B556" t="s">
        <v>1065</v>
      </c>
      <c r="C556" s="1">
        <f t="shared" si="68"/>
        <v>44620</v>
      </c>
      <c r="D556" s="1">
        <f t="shared" si="68"/>
        <v>44620</v>
      </c>
      <c r="E556" s="3">
        <v>268105.43</v>
      </c>
      <c r="F556" t="s">
        <v>20</v>
      </c>
      <c r="G556" s="2">
        <v>35</v>
      </c>
      <c r="H556" s="2">
        <v>0</v>
      </c>
      <c r="I556" s="1">
        <f t="shared" si="67"/>
        <v>44926</v>
      </c>
      <c r="J556" s="3">
        <v>638.30999999999995</v>
      </c>
      <c r="K556" s="3">
        <v>6383.46</v>
      </c>
      <c r="L556" s="3">
        <v>6383.46</v>
      </c>
      <c r="M556" s="3">
        <v>261721.97</v>
      </c>
      <c r="N556" t="s">
        <v>1061</v>
      </c>
      <c r="O556" t="s">
        <v>18</v>
      </c>
      <c r="P556" t="s">
        <v>19</v>
      </c>
      <c r="Q556" t="s">
        <v>564</v>
      </c>
    </row>
    <row r="557" spans="1:17" ht="17.45" customHeight="1" x14ac:dyDescent="0.2">
      <c r="A557" t="s">
        <v>1140</v>
      </c>
      <c r="B557" t="s">
        <v>1141</v>
      </c>
      <c r="C557" s="1">
        <f>DATE(2018,5,31)</f>
        <v>43251</v>
      </c>
      <c r="D557" s="1">
        <f>DATE(2018,5,31)</f>
        <v>43251</v>
      </c>
      <c r="E557" s="3">
        <v>10806.95</v>
      </c>
      <c r="F557" t="s">
        <v>20</v>
      </c>
      <c r="G557" s="2">
        <v>10</v>
      </c>
      <c r="H557" s="2">
        <v>0</v>
      </c>
      <c r="I557" s="1">
        <f t="shared" si="67"/>
        <v>44926</v>
      </c>
      <c r="J557" s="3">
        <v>90.04</v>
      </c>
      <c r="K557" s="3">
        <v>1080.7</v>
      </c>
      <c r="L557" s="3">
        <v>4953.21</v>
      </c>
      <c r="M557" s="3">
        <v>5853.74</v>
      </c>
      <c r="N557" t="s">
        <v>563</v>
      </c>
      <c r="O557" t="s">
        <v>18</v>
      </c>
      <c r="P557" t="s">
        <v>19</v>
      </c>
      <c r="Q557" t="s">
        <v>564</v>
      </c>
    </row>
    <row r="558" spans="1:17" ht="17.45" customHeight="1" x14ac:dyDescent="0.2">
      <c r="E558" s="4">
        <f>SUM(E547:E557)</f>
        <v>1021282.46</v>
      </c>
      <c r="J558" s="4">
        <f t="shared" ref="J558:M558" si="69">SUM(J547:J557)</f>
        <v>4872.47</v>
      </c>
      <c r="K558" s="4">
        <f t="shared" si="69"/>
        <v>49653.409999999996</v>
      </c>
      <c r="L558" s="4">
        <f t="shared" si="69"/>
        <v>76676.020000000019</v>
      </c>
      <c r="M558" s="4">
        <f t="shared" si="69"/>
        <v>944606.44</v>
      </c>
    </row>
    <row r="559" spans="1:17" ht="17.45" customHeight="1" x14ac:dyDescent="0.2">
      <c r="E559" s="4">
        <f>SUM(E558,E546,E526,E519,E476,E385,E374,E320,E318,E273,E265,E239,E236,E214,E122,E4)</f>
        <v>52737635.280000009</v>
      </c>
      <c r="J559" s="4">
        <f t="shared" ref="J559:M559" si="70">SUM(J558,J546,J526,J519,J476,J385,J374,J320,J318,J273,J265,J239,J236,J214,J122,J4)</f>
        <v>125333.48000000001</v>
      </c>
      <c r="K559" s="4">
        <f t="shared" si="70"/>
        <v>1482799.4500000004</v>
      </c>
      <c r="L559" s="4">
        <f t="shared" si="70"/>
        <v>25410948.339999985</v>
      </c>
      <c r="M559" s="4">
        <f t="shared" si="70"/>
        <v>27326686.939999998</v>
      </c>
    </row>
  </sheetData>
  <sortState xmlns:xlrd2="http://schemas.microsoft.com/office/spreadsheetml/2017/richdata2" ref="A2:Q1983">
    <sortCondition ref="Q2:Q1983"/>
  </sortState>
  <pageMargins left="0.25" right="0.25" top="0.23478893263342082" bottom="0.38812445319335082" header="0.3" footer="0.3"/>
  <pageSetup scale="52" fitToHeight="0" orientation="landscape" r:id="rId1"/>
  <headerFooter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IONE Fixed Asset - Mthly Deprec</vt:lpstr>
      <vt:lpstr>'IONE Fixed Asset - Mthly Deprec'!Print_Titles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2023-08-20T20:25:26Z</dcterms:created>
  <dcterms:modified xsi:type="dcterms:W3CDTF">2023-08-20T20:25:43Z</dcterms:modified>
</cp:coreProperties>
</file>