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510 - Black Mountain Utility\Drafts\Staff's First DR\Attachments\"/>
    </mc:Choice>
  </mc:AlternateContent>
  <xr:revisionPtr revIDLastSave="0" documentId="8_{CA38D9FE-B697-46EE-A1E7-B0C51DB28A11}" xr6:coauthVersionLast="47" xr6:coauthVersionMax="47" xr10:uidLastSave="{00000000-0000-0000-0000-000000000000}"/>
  <bookViews>
    <workbookView xWindow="-120" yWindow="-120" windowWidth="27645" windowHeight="16440" xr2:uid="{00000000-000D-0000-FFFF-FFFF00000000}"/>
  </bookViews>
  <sheets>
    <sheet name="Adjusted 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1" l="1"/>
  <c r="D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G137" i="1"/>
  <c r="C137" i="1"/>
  <c r="G136" i="1"/>
  <c r="C136" i="1"/>
  <c r="G135" i="1"/>
  <c r="C135" i="1"/>
  <c r="G134" i="1"/>
  <c r="C134" i="1"/>
  <c r="G133" i="1"/>
  <c r="C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G112" i="1"/>
  <c r="C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G92" i="1"/>
  <c r="C92" i="1"/>
  <c r="G91" i="1"/>
  <c r="C91" i="1"/>
  <c r="G90" i="1"/>
  <c r="C90" i="1"/>
  <c r="G89" i="1"/>
  <c r="C89" i="1"/>
  <c r="F88" i="1"/>
  <c r="B88" i="1"/>
  <c r="G87" i="1"/>
  <c r="C87" i="1"/>
  <c r="F86" i="1"/>
  <c r="B86" i="1"/>
  <c r="F85" i="1"/>
  <c r="B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F72" i="1"/>
  <c r="B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F57" i="1"/>
  <c r="B57" i="1"/>
  <c r="G56" i="1"/>
  <c r="C56" i="1"/>
  <c r="F55" i="1"/>
  <c r="B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G10" i="1"/>
  <c r="G144" i="1" s="1"/>
  <c r="C10" i="1"/>
  <c r="C144" i="1" s="1"/>
  <c r="F9" i="1"/>
  <c r="B9" i="1"/>
  <c r="F8" i="1"/>
  <c r="B8" i="1"/>
  <c r="B144" i="1" s="1"/>
  <c r="F7" i="1"/>
  <c r="F144" i="1" s="1"/>
  <c r="B7" i="1"/>
</calcChain>
</file>

<file path=xl/sharedStrings.xml><?xml version="1.0" encoding="utf-8"?>
<sst xmlns="http://schemas.openxmlformats.org/spreadsheetml/2006/main" count="151" uniqueCount="147">
  <si>
    <t>Unadjusted Balance</t>
  </si>
  <si>
    <t>Adjustments</t>
  </si>
  <si>
    <t>Adjusted Balance</t>
  </si>
  <si>
    <t>Debit</t>
  </si>
  <si>
    <t>Credit</t>
  </si>
  <si>
    <t>131 CASH:HS - HOLDING</t>
  </si>
  <si>
    <t>131 CASH:HS - HOLDING:CONTINGENCY</t>
  </si>
  <si>
    <t>131 CASH:HS - HOLDING:SEWER</t>
  </si>
  <si>
    <t>131 CASH:HS - O&amp;M</t>
  </si>
  <si>
    <t>131 CASH:HS - PAYROLL</t>
  </si>
  <si>
    <t>131 CASH:HS - PETTY CASH</t>
  </si>
  <si>
    <t>131 CASH:HS - REVENUE</t>
  </si>
  <si>
    <t>131 CASH:HS - SEWAGE</t>
  </si>
  <si>
    <t>132 SPECIAL DEPOSITS:HS - GRANT FUNDS</t>
  </si>
  <si>
    <t>132 SPECIAL DEPOSITS:HS - NEW CUSTOMER</t>
  </si>
  <si>
    <t>132 SPECIAL DEPOSITS:HS - SURCHARGE, BOND &amp; INTEREST</t>
  </si>
  <si>
    <t>132 SPECIAL DEPOSITS:HS - WL SURCHARGE FUND</t>
  </si>
  <si>
    <t>141 ACCTS RECEIVABLE-WATER</t>
  </si>
  <si>
    <t>142 UNBILLED ACCTS RECEIVABLE</t>
  </si>
  <si>
    <t>145 DUE FROM SEWER FUND</t>
  </si>
  <si>
    <t>151 PLANT MATERIAL &amp; SUPPLIES</t>
  </si>
  <si>
    <t>101-106 UTILITY PLANT:301 ORGANIZATIONAL COSTS</t>
  </si>
  <si>
    <t>101-106 UTILITY PLANT:302 FRANCHISE FEES</t>
  </si>
  <si>
    <t>101-106 UTILITY PLANT:303 LAND &amp; LAND RIGHTS</t>
  </si>
  <si>
    <t>101-106 UTILITY PLANT:304 BUILDING</t>
  </si>
  <si>
    <t>101-106 UTILITY PLANT:307 WELLS &amp; SPRINGS</t>
  </si>
  <si>
    <t>101-106 UTILITY PLANT:311 PUMPING EQUIPMENT</t>
  </si>
  <si>
    <t>101-106 UTILITY PLANT:320 WATER TRATMENT EQUIP.</t>
  </si>
  <si>
    <t>101-106 UTILITY PLANT:330 DIST.RES. &amp; STANDPIPES</t>
  </si>
  <si>
    <t>101-106 UTILITY PLANT:331 TRANS &amp; DIST. MAINS</t>
  </si>
  <si>
    <t>101-106 UTILITY PLANT:334 METERS &amp; INSTALLATION</t>
  </si>
  <si>
    <t>101-106 UTILITY PLANT:339 OTHER PLANT EQUIPMENT</t>
  </si>
  <si>
    <t>101-106 UTILITY PLANT:340 OFFICE EQUIP.</t>
  </si>
  <si>
    <t>101-106 UTILITY PLANT:341 VEHICLES</t>
  </si>
  <si>
    <t>101-106 UTILITY PLANT:345 POWER EQUIP.</t>
  </si>
  <si>
    <t>101-106 UTILITY PLANT:346 TELEMETRY</t>
  </si>
  <si>
    <t>108-110 ACCUMULATED DEPRECIATION:301 ORG. COST-ACCUM DEPR</t>
  </si>
  <si>
    <t>108-110 ACCUMULATED DEPRECIATION:302 FRANCHISE FEES-ACCUM DEPR</t>
  </si>
  <si>
    <t>108-110 ACCUMULATED DEPRECIATION:304 BUILDING-ACCUM DEPR</t>
  </si>
  <si>
    <t>108-110 ACCUMULATED DEPRECIATION:307 WELLS &amp; SPRINGS-ACCUM DEPR</t>
  </si>
  <si>
    <t>108-110 ACCUMULATED DEPRECIATION:311 PUMPING EQ-ACCUM DEPR</t>
  </si>
  <si>
    <t>108-110 ACCUMULATED DEPRECIATION:320 WATER TREATMENT EQ-ACCUM DEPR</t>
  </si>
  <si>
    <t>108-110 ACCUMULATED DEPRECIATION:330 DIST. RES. &amp; STANPIPE-ACC. DEPR</t>
  </si>
  <si>
    <t>108-110 ACCUMULATED DEPRECIATION:331 TRANS &amp; DIST MAINS-ACCUM DEPR</t>
  </si>
  <si>
    <t>108-110 ACCUMULATED DEPRECIATION:334 METERS &amp; INSTALL.-ACCUM DEPR</t>
  </si>
  <si>
    <t>108-110 ACCUMULATED DEPRECIATION:339 OTHER PLANT EQ-ACCUM DEPR</t>
  </si>
  <si>
    <t>108-110 ACCUMULATED DEPRECIATION:340 OFFICE EQ. - ACCUM DEPR</t>
  </si>
  <si>
    <t>108-110 ACCUMULATED DEPRECIATION:341 VEHICLES-ACCUM DEPR</t>
  </si>
  <si>
    <t>108-110 ACCUMULATED DEPRECIATION:345 POWER EQ.-ACCUM DEPR</t>
  </si>
  <si>
    <t>108-110 ACCUMULATED DEPRECIATION:346 ACCUM DEPR-TELEMETRY</t>
  </si>
  <si>
    <t>231 ACCOUNTS PAYABLE</t>
  </si>
  <si>
    <t>235 CUSTOMER DEPOSITS</t>
  </si>
  <si>
    <t>241 TAXES COLLECTIONS PAYABLE:HARLAN COUNTY SCH TAX PAYABLE</t>
  </si>
  <si>
    <t>241 TAXES COLLECTIONS PAYABLE:KY SALES TAX PAYABLE</t>
  </si>
  <si>
    <t>MISCELLANEOUS CURRENT LIABILITIES:236 PAYROLL TAX PAYABLES:GARNISHMENT PAYABLE</t>
  </si>
  <si>
    <t>MISCELLANEOUS CURRENT LIABILITIES:236 PAYROLL TAX PAYABLES:KY UNEMPLOYMENT PAYABLE</t>
  </si>
  <si>
    <t>MISCELLANEOUS CURRENT LIABILITIES:236 PAYROLL TAX PAYABLES:KY W/H PAYABLE</t>
  </si>
  <si>
    <t>MISCELLANEOUS CURRENT LIABILITIES:236 PAYROLL TAX PAYABLES:LIFE INS PAYABLE</t>
  </si>
  <si>
    <t>MISCELLANEOUS CURRENT LIABILITIES:236 PAYROLL TAX PAYABLES:SARSEP PAYABLE</t>
  </si>
  <si>
    <t>MISCELLANEOUS CURRENT LIABILITIES:242 COLLECTIONS PAYABLE:DUE TO CITY OF HARLAN SEWER</t>
  </si>
  <si>
    <t>221 LONG TERM BONDS PAYABLE:91-01</t>
  </si>
  <si>
    <t>221 LONG TERM BONDS PAYABLE:91-02</t>
  </si>
  <si>
    <t>221 LONG TERM BONDS PAYABLE:91-05</t>
  </si>
  <si>
    <t>221 LONG TERM BONDS PAYABLE:91-08</t>
  </si>
  <si>
    <t>221 LONG TERM BONDS PAYABLE:91-10</t>
  </si>
  <si>
    <t>221 LONG TERM BONDS PAYABLE:91-12</t>
  </si>
  <si>
    <t>221 LONG TERM BONDS PAYABLE:91-15</t>
  </si>
  <si>
    <t>224 LONG TERM NOTES PAYABLE:224 MBC LINE OF CREDIT</t>
  </si>
  <si>
    <t>224 LONG TERM NOTES PAYABLE:224 NOTE PAYBALE-KIA</t>
  </si>
  <si>
    <t>224 LONG TERM NOTES PAYABLE:224 NP-KIA 2010</t>
  </si>
  <si>
    <t>215.1 Retained Earnings</t>
  </si>
  <si>
    <t>215.2 CONTRIBUTIONS - IN - AID:215.2 GRANTS:GRANTS - COAL SEVERANCE</t>
  </si>
  <si>
    <t>215.2 CONTRIBUTIONS - IN - AID:215.2 GRANTS:GRANTS - COUNTY</t>
  </si>
  <si>
    <t>215.2 CONTRIBUTIONS - IN - AID:215.2 OTHER:CONT-IN-AID--COUNTY</t>
  </si>
  <si>
    <t>215.2 CONTRIBUTIONS - IN - AID:215.2 OTHER:CONT-IN-AID--KIA 2011</t>
  </si>
  <si>
    <t>215.2 CONTRIBUTIONS - IN - AID:215.2 OTHER:CONT-IN-AID-Other</t>
  </si>
  <si>
    <t>215.2 CONTRIBUTIONS - IN - AID:215.2 OTHER:CONT-IN-AID/RUD GRANTS</t>
  </si>
  <si>
    <t>215.2 CONTRIBUTIONS - IN - AID:215.2 OTHER:CONT.- IN-AID/ PSC AUDIT</t>
  </si>
  <si>
    <t>215.2 CONTRIBUTIONS - IN - AID:215.2 OTHER:CONT.-IN-AID--CDBG FUNDS</t>
  </si>
  <si>
    <t>215.2 CONTRIBUTIONS - IN - AID:215.2 OTHER:COUNTY-IN-AID--ARC FUNDS</t>
  </si>
  <si>
    <t>215.2 CONTRIBUTIONS - IN - AID:215.2 OTHER:GREEN HILLS WATER DIST</t>
  </si>
  <si>
    <t>215.2 CONTRIBUTIONS - IN - AID:215.2 TAPPING FEES:CUST-TAP-FEES</t>
  </si>
  <si>
    <t>Uncategorized Income</t>
  </si>
  <si>
    <t>WATER NSF - RETURNS</t>
  </si>
  <si>
    <t>WATER SALES</t>
  </si>
  <si>
    <t>WATER SALES:PENALTY</t>
  </si>
  <si>
    <t>WATER SALES:WATER ADJUSTMENTS</t>
  </si>
  <si>
    <t>WATER SALES:WATER OTHER</t>
  </si>
  <si>
    <t>WATER SALES:WATER SALES-COMM</t>
  </si>
  <si>
    <t>WATER SALES:WATER SALES-GOVT.</t>
  </si>
  <si>
    <t>WATER SALES:WATER SALES-RESIDENTIAL</t>
  </si>
  <si>
    <t>401 OPERATING EXPENSES:601 WAGES:601 SALARIES AND WAGES - EMPLOYEES:GROSS WAGES</t>
  </si>
  <si>
    <t>401 OPERATING EXPENSES:601 WAGES:601 SALARIES AND WAGES - EMPLOYEES:HOLIDAY WAGES</t>
  </si>
  <si>
    <t>401 OPERATING EXPENSES:601 WAGES:601 SALARIES AND WAGES - EMPLOYEES:OT WAGES</t>
  </si>
  <si>
    <t>401 OPERATING EXPENSES:601 WAGES:601 SALARIES AND WAGES - EMPLOYEES:SICK WAGES</t>
  </si>
  <si>
    <t>401 OPERATING EXPENSES:601 WAGES:601 SALARIES AND WAGES - EMPLOYEES:VACATION WAGES</t>
  </si>
  <si>
    <t>401 OPERATING EXPENSES:601 WAGES:604 EMPLOYEE PENSIONS AND BENEFITS:604 HEALTH INSURANCE</t>
  </si>
  <si>
    <t>401 OPERATING EXPENSES:601 WAGES:604 EMPLOYEE PENSIONS AND BENEFITS:604 RETIREMENT EXP (MATCH)</t>
  </si>
  <si>
    <t>401 OPERATING EXPENSES:610 PURCHASED WATER</t>
  </si>
  <si>
    <t>401 OPERATING EXPENSES:615 PURCHASED POWER</t>
  </si>
  <si>
    <t>401 OPERATING EXPENSES:620 MATERIALS &amp; SUPPLIES</t>
  </si>
  <si>
    <t>401 OPERATING EXPENSES:620 MATERIALS &amp; SUPPLIES:OPERATING SUPPLIES</t>
  </si>
  <si>
    <t>401 OPERATING EXPENSES:632 CONTRACTUAL SERVICES:ACCOUNTING</t>
  </si>
  <si>
    <t>401 OPERATING EXPENSES:633 CONTRACTUAL SERVICES - LEGAL</t>
  </si>
  <si>
    <t>401 OPERATING EXPENSES:635 CONTRACTUAL SERVICES - WATER TESTING</t>
  </si>
  <si>
    <t>401 OPERATING EXPENSES:642 EQUIP. RENTAL:VEHICLE LEASE</t>
  </si>
  <si>
    <t>401 OPERATING EXPENSES:650 TRANSPORTATION EXPENSE:TRAINING &amp; TRAVEL EXPENSE</t>
  </si>
  <si>
    <t>401 OPERATING EXPENSES:650 TRANSPORTATION EXPENSE:VEHICLE FUEL</t>
  </si>
  <si>
    <t>401 OPERATING EXPENSES:650 TRANSPORTATION EXPENSE:VEHICLE MAINT</t>
  </si>
  <si>
    <t>401 OPERATING EXPENSES:657 INSURANCE</t>
  </si>
  <si>
    <t>401 OPERATING EXPENSES:657 INSURANCE:PROPERTY &amp; LIABILITY INS.</t>
  </si>
  <si>
    <t>401 OPERATING EXPENSES:660 ADVERTISING</t>
  </si>
  <si>
    <t>401 OPERATING EXPENSES:675 MISCELLANEOUS:BANK SERVICE CHARGES</t>
  </si>
  <si>
    <t>401 OPERATING EXPENSES:675 MISCELLANEOUS:DUES AND SUBSCRIPTIONS</t>
  </si>
  <si>
    <t>401 OPERATING EXPENSES:675 MISCELLANEOUS:EASEMENTS</t>
  </si>
  <si>
    <t>401 OPERATING EXPENSES:675 MISCELLANEOUS:LICENSES AND PERMITS</t>
  </si>
  <si>
    <t>401 OPERATING EXPENSES:675 MISCELLANEOUS:MEAL</t>
  </si>
  <si>
    <t>401 OPERATING EXPENSES:675 MISCELLANEOUS:OFFICE SUPPLIES</t>
  </si>
  <si>
    <t>401 OPERATING EXPENSES:675 MISCELLANEOUS:OFFICE UTILITIES</t>
  </si>
  <si>
    <t>401 OPERATING EXPENSES:675 MISCELLANEOUS:PEST CONTROL</t>
  </si>
  <si>
    <t>401 OPERATING EXPENSES:675 MISCELLANEOUS:POSTAGE AND DELIVERY</t>
  </si>
  <si>
    <t>401 OPERATING EXPENSES:675 MISCELLANEOUS:PROMTIONAL EXPENSE</t>
  </si>
  <si>
    <t>401 OPERATING EXPENSES:675 MISCELLANEOUS:RADIO COMMUNICATION EXP.</t>
  </si>
  <si>
    <t>401 OPERATING EXPENSES:675 MISCELLANEOUS:REPAIRS</t>
  </si>
  <si>
    <t>401 OPERATING EXPENSES:675 MISCELLANEOUS:SECURITY MONITORING</t>
  </si>
  <si>
    <t>401 OPERATING EXPENSES:675 MISCELLANEOUS:SOFTWARE</t>
  </si>
  <si>
    <t>401 OPERATING EXPENSES:675 MISCELLANEOUS:TANK SITE LEASE</t>
  </si>
  <si>
    <t>401 OPERATING EXPENSES:675 MISCELLANEOUS:TELEPHONE</t>
  </si>
  <si>
    <t>401 OPERATING EXPENSES:675 MISCELLANEOUS:VEHICLE SECURITY</t>
  </si>
  <si>
    <t>408-10 - 408.13 TAXES OTHER THAN INCOME:408.10 PSC FILING EXPENSE</t>
  </si>
  <si>
    <t>408-10 - 408.13 TAXES OTHER THAN INCOME:408.12 PAYROLL TAX EXPENSE:FICA/MED</t>
  </si>
  <si>
    <t>419 INTEREST INCOME</t>
  </si>
  <si>
    <t>421 NONUTILITY INCOME:COLLECTION FEE-SEWER</t>
  </si>
  <si>
    <t>421 NONUTILITY INCOME:COLLECTION FEES</t>
  </si>
  <si>
    <t>421 NONUTILITY INCOME:SURCHARGE INCOME</t>
  </si>
  <si>
    <t>421 NONUTILITY INCOME:WL SURCHARGE INCOME</t>
  </si>
  <si>
    <t>427 INTEREST EXPENSE:INTEREST</t>
  </si>
  <si>
    <t>427 INTEREST EXPENSE:KIA 2010 INTEREST EXPENSE</t>
  </si>
  <si>
    <t>427 INTEREST EXPENSE:KIA INTEREST EXPENSE</t>
  </si>
  <si>
    <t>427 INTEREST EXPENSE:LONG TERM BOND INTEREST</t>
  </si>
  <si>
    <t>427 INTEREST EXPENSE:MBC INTEREST EXPENSE</t>
  </si>
  <si>
    <t>OTHER EXPENSE</t>
  </si>
  <si>
    <t>TOTAL</t>
  </si>
  <si>
    <t>Thursday, Dec 07, 2023 11:45:34 AM GMT-8 - Accrual Basis</t>
  </si>
  <si>
    <t>BLACK MOUNTAIN UTILITY DISTRICT</t>
  </si>
  <si>
    <t>Adjusted Trial Balance</t>
  </si>
  <si>
    <t>As of December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</si>
</sst>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"/>
  <sheetViews>
    <sheetView tabSelected="1" workbookViewId="0">
      <selection sqref="A1:G1"/>
    </sheetView>
  </sheetViews>
  <sheetFormatPr defaultRowHeight="14.5" x14ac:dyDescent="0.35"/>
  <cols>
    <col min="1" max="1" width="81.6328125" customWidth="1"/>
    <col min="2" max="3" width="12.90625" customWidth="1"/>
    <col min="4" max="5" width="7.7265625" customWidth="1"/>
    <col min="6" max="7" width="12.90625" customWidth="1"/>
  </cols>
  <sheetData>
    <row r="1" spans="1:7" ht="18" x14ac:dyDescent="0.4">
      <c r="A1" s="11" t="s">
        <v>144</v>
      </c>
      <c r="B1" s="10"/>
      <c r="C1" s="10"/>
      <c r="D1" s="10"/>
      <c r="E1" s="10"/>
      <c r="F1" s="10"/>
      <c r="G1" s="10"/>
    </row>
    <row r="2" spans="1:7" ht="18" x14ac:dyDescent="0.4">
      <c r="A2" s="11" t="s">
        <v>145</v>
      </c>
      <c r="B2" s="10"/>
      <c r="C2" s="10"/>
      <c r="D2" s="10"/>
      <c r="E2" s="10"/>
      <c r="F2" s="10"/>
      <c r="G2" s="10"/>
    </row>
    <row r="3" spans="1:7" x14ac:dyDescent="0.35">
      <c r="A3" s="12" t="s">
        <v>146</v>
      </c>
      <c r="B3" s="10"/>
      <c r="C3" s="10"/>
      <c r="D3" s="10"/>
      <c r="E3" s="10"/>
      <c r="F3" s="10"/>
      <c r="G3" s="10"/>
    </row>
    <row r="5" spans="1:7" x14ac:dyDescent="0.35">
      <c r="A5" s="1"/>
      <c r="B5" s="7" t="s">
        <v>0</v>
      </c>
      <c r="C5" s="8"/>
      <c r="D5" s="7" t="s">
        <v>1</v>
      </c>
      <c r="E5" s="8"/>
      <c r="F5" s="7" t="s">
        <v>2</v>
      </c>
      <c r="G5" s="8"/>
    </row>
    <row r="6" spans="1:7" x14ac:dyDescent="0.35">
      <c r="A6" s="1"/>
      <c r="B6" s="2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</row>
    <row r="7" spans="1:7" x14ac:dyDescent="0.35">
      <c r="A7" s="3" t="s">
        <v>5</v>
      </c>
      <c r="B7" s="4">
        <f>74.92</f>
        <v>74.92</v>
      </c>
      <c r="C7" s="5"/>
      <c r="D7" s="5"/>
      <c r="E7" s="5"/>
      <c r="F7" s="4">
        <f>74.92</f>
        <v>74.92</v>
      </c>
      <c r="G7" s="5"/>
    </row>
    <row r="8" spans="1:7" x14ac:dyDescent="0.35">
      <c r="A8" s="3" t="s">
        <v>6</v>
      </c>
      <c r="B8" s="4">
        <f>3559.85</f>
        <v>3559.85</v>
      </c>
      <c r="C8" s="5"/>
      <c r="D8" s="5"/>
      <c r="E8" s="5"/>
      <c r="F8" s="4">
        <f>3559.85</f>
        <v>3559.85</v>
      </c>
      <c r="G8" s="5"/>
    </row>
    <row r="9" spans="1:7" x14ac:dyDescent="0.35">
      <c r="A9" s="3" t="s">
        <v>7</v>
      </c>
      <c r="B9" s="4">
        <f>1836.52</f>
        <v>1836.52</v>
      </c>
      <c r="C9" s="5"/>
      <c r="D9" s="5"/>
      <c r="E9" s="5"/>
      <c r="F9" s="4">
        <f>1836.52</f>
        <v>1836.52</v>
      </c>
      <c r="G9" s="5"/>
    </row>
    <row r="10" spans="1:7" x14ac:dyDescent="0.35">
      <c r="A10" s="3" t="s">
        <v>8</v>
      </c>
      <c r="B10" s="5"/>
      <c r="C10" s="4">
        <f>150.1</f>
        <v>150.1</v>
      </c>
      <c r="D10" s="5"/>
      <c r="E10" s="5"/>
      <c r="F10" s="5"/>
      <c r="G10" s="4">
        <f>150.1</f>
        <v>150.1</v>
      </c>
    </row>
    <row r="11" spans="1:7" x14ac:dyDescent="0.35">
      <c r="A11" s="3" t="s">
        <v>9</v>
      </c>
      <c r="B11" s="4">
        <f>14491.42</f>
        <v>14491.42</v>
      </c>
      <c r="C11" s="5"/>
      <c r="D11" s="5"/>
      <c r="E11" s="5"/>
      <c r="F11" s="4">
        <f>14491.42</f>
        <v>14491.42</v>
      </c>
      <c r="G11" s="5"/>
    </row>
    <row r="12" spans="1:7" x14ac:dyDescent="0.35">
      <c r="A12" s="3" t="s">
        <v>10</v>
      </c>
      <c r="B12" s="4">
        <f>1000</f>
        <v>1000</v>
      </c>
      <c r="C12" s="5"/>
      <c r="D12" s="5"/>
      <c r="E12" s="5"/>
      <c r="F12" s="4">
        <f>1000</f>
        <v>1000</v>
      </c>
      <c r="G12" s="5"/>
    </row>
    <row r="13" spans="1:7" x14ac:dyDescent="0.35">
      <c r="A13" s="3" t="s">
        <v>11</v>
      </c>
      <c r="B13" s="4">
        <f>36601.11</f>
        <v>36601.11</v>
      </c>
      <c r="C13" s="5"/>
      <c r="D13" s="5"/>
      <c r="E13" s="5"/>
      <c r="F13" s="4">
        <f>36601.11</f>
        <v>36601.11</v>
      </c>
      <c r="G13" s="5"/>
    </row>
    <row r="14" spans="1:7" x14ac:dyDescent="0.35">
      <c r="A14" s="3" t="s">
        <v>12</v>
      </c>
      <c r="B14" s="4">
        <f>2925.63</f>
        <v>2925.63</v>
      </c>
      <c r="C14" s="5"/>
      <c r="D14" s="5"/>
      <c r="E14" s="5"/>
      <c r="F14" s="4">
        <f>2925.63</f>
        <v>2925.63</v>
      </c>
      <c r="G14" s="5"/>
    </row>
    <row r="15" spans="1:7" x14ac:dyDescent="0.35">
      <c r="A15" s="3" t="s">
        <v>13</v>
      </c>
      <c r="B15" s="4">
        <f>100</f>
        <v>100</v>
      </c>
      <c r="C15" s="5"/>
      <c r="D15" s="5"/>
      <c r="E15" s="5"/>
      <c r="F15" s="4">
        <f>100</f>
        <v>100</v>
      </c>
      <c r="G15" s="5"/>
    </row>
    <row r="16" spans="1:7" x14ac:dyDescent="0.35">
      <c r="A16" s="3" t="s">
        <v>14</v>
      </c>
      <c r="B16" s="4">
        <f>84117.69</f>
        <v>84117.69</v>
      </c>
      <c r="C16" s="5"/>
      <c r="D16" s="5"/>
      <c r="E16" s="5"/>
      <c r="F16" s="4">
        <f>84117.69</f>
        <v>84117.69</v>
      </c>
      <c r="G16" s="5"/>
    </row>
    <row r="17" spans="1:7" x14ac:dyDescent="0.35">
      <c r="A17" s="3" t="s">
        <v>15</v>
      </c>
      <c r="B17" s="4">
        <f>97192.47</f>
        <v>97192.47</v>
      </c>
      <c r="C17" s="5"/>
      <c r="D17" s="5"/>
      <c r="E17" s="5"/>
      <c r="F17" s="4">
        <f>97192.47</f>
        <v>97192.47</v>
      </c>
      <c r="G17" s="5"/>
    </row>
    <row r="18" spans="1:7" x14ac:dyDescent="0.35">
      <c r="A18" s="3" t="s">
        <v>16</v>
      </c>
      <c r="B18" s="4">
        <f>7808.54</f>
        <v>7808.54</v>
      </c>
      <c r="C18" s="5"/>
      <c r="D18" s="5"/>
      <c r="E18" s="5"/>
      <c r="F18" s="4">
        <f>7808.54</f>
        <v>7808.54</v>
      </c>
      <c r="G18" s="5"/>
    </row>
    <row r="19" spans="1:7" x14ac:dyDescent="0.35">
      <c r="A19" s="3" t="s">
        <v>17</v>
      </c>
      <c r="B19" s="4">
        <f>126938.82</f>
        <v>126938.82</v>
      </c>
      <c r="C19" s="5"/>
      <c r="D19" s="5"/>
      <c r="E19" s="5"/>
      <c r="F19" s="4">
        <f>126938.82</f>
        <v>126938.82</v>
      </c>
      <c r="G19" s="5"/>
    </row>
    <row r="20" spans="1:7" x14ac:dyDescent="0.35">
      <c r="A20" s="3" t="s">
        <v>18</v>
      </c>
      <c r="B20" s="4">
        <f>83000</f>
        <v>83000</v>
      </c>
      <c r="C20" s="5"/>
      <c r="D20" s="5"/>
      <c r="E20" s="5"/>
      <c r="F20" s="4">
        <f>83000</f>
        <v>83000</v>
      </c>
      <c r="G20" s="5"/>
    </row>
    <row r="21" spans="1:7" x14ac:dyDescent="0.35">
      <c r="A21" s="3" t="s">
        <v>19</v>
      </c>
      <c r="B21" s="4">
        <f>145376.64</f>
        <v>145376.64000000001</v>
      </c>
      <c r="C21" s="5"/>
      <c r="D21" s="5"/>
      <c r="E21" s="5"/>
      <c r="F21" s="4">
        <f>145376.64</f>
        <v>145376.64000000001</v>
      </c>
      <c r="G21" s="5"/>
    </row>
    <row r="22" spans="1:7" x14ac:dyDescent="0.35">
      <c r="A22" s="3" t="s">
        <v>20</v>
      </c>
      <c r="B22" s="4">
        <f>225114.5</f>
        <v>225114.5</v>
      </c>
      <c r="C22" s="5"/>
      <c r="D22" s="5"/>
      <c r="E22" s="5"/>
      <c r="F22" s="4">
        <f>225114.5</f>
        <v>225114.5</v>
      </c>
      <c r="G22" s="5"/>
    </row>
    <row r="23" spans="1:7" x14ac:dyDescent="0.35">
      <c r="A23" s="3" t="s">
        <v>21</v>
      </c>
      <c r="B23" s="4">
        <f>1597</f>
        <v>1597</v>
      </c>
      <c r="C23" s="5"/>
      <c r="D23" s="5"/>
      <c r="E23" s="5"/>
      <c r="F23" s="4">
        <f>1597</f>
        <v>1597</v>
      </c>
      <c r="G23" s="5"/>
    </row>
    <row r="24" spans="1:7" x14ac:dyDescent="0.35">
      <c r="A24" s="3" t="s">
        <v>22</v>
      </c>
      <c r="B24" s="4">
        <f>840</f>
        <v>840</v>
      </c>
      <c r="C24" s="5"/>
      <c r="D24" s="5"/>
      <c r="E24" s="5"/>
      <c r="F24" s="4">
        <f>840</f>
        <v>840</v>
      </c>
      <c r="G24" s="5"/>
    </row>
    <row r="25" spans="1:7" x14ac:dyDescent="0.35">
      <c r="A25" s="3" t="s">
        <v>23</v>
      </c>
      <c r="B25" s="4">
        <f>29112</f>
        <v>29112</v>
      </c>
      <c r="C25" s="5"/>
      <c r="D25" s="5"/>
      <c r="E25" s="5"/>
      <c r="F25" s="4">
        <f>29112</f>
        <v>29112</v>
      </c>
      <c r="G25" s="5"/>
    </row>
    <row r="26" spans="1:7" x14ac:dyDescent="0.35">
      <c r="A26" s="3" t="s">
        <v>24</v>
      </c>
      <c r="B26" s="4">
        <f>165068</f>
        <v>165068</v>
      </c>
      <c r="C26" s="5"/>
      <c r="D26" s="5"/>
      <c r="E26" s="5"/>
      <c r="F26" s="4">
        <f>165068</f>
        <v>165068</v>
      </c>
      <c r="G26" s="5"/>
    </row>
    <row r="27" spans="1:7" x14ac:dyDescent="0.35">
      <c r="A27" s="3" t="s">
        <v>25</v>
      </c>
      <c r="B27" s="4">
        <f>10508</f>
        <v>10508</v>
      </c>
      <c r="C27" s="5"/>
      <c r="D27" s="5"/>
      <c r="E27" s="5"/>
      <c r="F27" s="4">
        <f>10508</f>
        <v>10508</v>
      </c>
      <c r="G27" s="5"/>
    </row>
    <row r="28" spans="1:7" x14ac:dyDescent="0.35">
      <c r="A28" s="3" t="s">
        <v>26</v>
      </c>
      <c r="B28" s="4">
        <f>1460855</f>
        <v>1460855</v>
      </c>
      <c r="C28" s="5"/>
      <c r="D28" s="5"/>
      <c r="E28" s="5"/>
      <c r="F28" s="4">
        <f>1460855</f>
        <v>1460855</v>
      </c>
      <c r="G28" s="5"/>
    </row>
    <row r="29" spans="1:7" x14ac:dyDescent="0.35">
      <c r="A29" s="3" t="s">
        <v>27</v>
      </c>
      <c r="B29" s="4">
        <f>141978</f>
        <v>141978</v>
      </c>
      <c r="C29" s="5"/>
      <c r="D29" s="5"/>
      <c r="E29" s="5"/>
      <c r="F29" s="4">
        <f>141978</f>
        <v>141978</v>
      </c>
      <c r="G29" s="5"/>
    </row>
    <row r="30" spans="1:7" x14ac:dyDescent="0.35">
      <c r="A30" s="3" t="s">
        <v>28</v>
      </c>
      <c r="B30" s="4">
        <f>2352581</f>
        <v>2352581</v>
      </c>
      <c r="C30" s="5"/>
      <c r="D30" s="5"/>
      <c r="E30" s="5"/>
      <c r="F30" s="4">
        <f>2352581</f>
        <v>2352581</v>
      </c>
      <c r="G30" s="5"/>
    </row>
    <row r="31" spans="1:7" x14ac:dyDescent="0.35">
      <c r="A31" s="3" t="s">
        <v>29</v>
      </c>
      <c r="B31" s="4">
        <f>14844364.1</f>
        <v>14844364.1</v>
      </c>
      <c r="C31" s="5"/>
      <c r="D31" s="5"/>
      <c r="E31" s="5"/>
      <c r="F31" s="4">
        <f>14844364.1</f>
        <v>14844364.1</v>
      </c>
      <c r="G31" s="5"/>
    </row>
    <row r="32" spans="1:7" x14ac:dyDescent="0.35">
      <c r="A32" s="3" t="s">
        <v>30</v>
      </c>
      <c r="B32" s="4">
        <f>645802</f>
        <v>645802</v>
      </c>
      <c r="C32" s="5"/>
      <c r="D32" s="5"/>
      <c r="E32" s="5"/>
      <c r="F32" s="4">
        <f>645802</f>
        <v>645802</v>
      </c>
      <c r="G32" s="5"/>
    </row>
    <row r="33" spans="1:7" x14ac:dyDescent="0.35">
      <c r="A33" s="3" t="s">
        <v>31</v>
      </c>
      <c r="B33" s="4">
        <f>49271</f>
        <v>49271</v>
      </c>
      <c r="C33" s="5"/>
      <c r="D33" s="5"/>
      <c r="E33" s="5"/>
      <c r="F33" s="4">
        <f>49271</f>
        <v>49271</v>
      </c>
      <c r="G33" s="5"/>
    </row>
    <row r="34" spans="1:7" x14ac:dyDescent="0.35">
      <c r="A34" s="3" t="s">
        <v>32</v>
      </c>
      <c r="B34" s="4">
        <f>60131</f>
        <v>60131</v>
      </c>
      <c r="C34" s="5"/>
      <c r="D34" s="5"/>
      <c r="E34" s="5"/>
      <c r="F34" s="4">
        <f>60131</f>
        <v>60131</v>
      </c>
      <c r="G34" s="5"/>
    </row>
    <row r="35" spans="1:7" x14ac:dyDescent="0.35">
      <c r="A35" s="3" t="s">
        <v>33</v>
      </c>
      <c r="B35" s="4">
        <f>147545.15</f>
        <v>147545.15</v>
      </c>
      <c r="C35" s="5"/>
      <c r="D35" s="5"/>
      <c r="E35" s="5"/>
      <c r="F35" s="4">
        <f>147545.15</f>
        <v>147545.15</v>
      </c>
      <c r="G35" s="5"/>
    </row>
    <row r="36" spans="1:7" x14ac:dyDescent="0.35">
      <c r="A36" s="3" t="s">
        <v>34</v>
      </c>
      <c r="B36" s="4">
        <f>83172</f>
        <v>83172</v>
      </c>
      <c r="C36" s="5"/>
      <c r="D36" s="5"/>
      <c r="E36" s="5"/>
      <c r="F36" s="4">
        <f>83172</f>
        <v>83172</v>
      </c>
      <c r="G36" s="5"/>
    </row>
    <row r="37" spans="1:7" x14ac:dyDescent="0.35">
      <c r="A37" s="3" t="s">
        <v>35</v>
      </c>
      <c r="B37" s="4">
        <f>270402</f>
        <v>270402</v>
      </c>
      <c r="C37" s="5"/>
      <c r="D37" s="5"/>
      <c r="E37" s="5"/>
      <c r="F37" s="4">
        <f>270402</f>
        <v>270402</v>
      </c>
      <c r="G37" s="5"/>
    </row>
    <row r="38" spans="1:7" x14ac:dyDescent="0.35">
      <c r="A38" s="3" t="s">
        <v>36</v>
      </c>
      <c r="B38" s="5"/>
      <c r="C38" s="4">
        <f>1530</f>
        <v>1530</v>
      </c>
      <c r="D38" s="5"/>
      <c r="E38" s="5"/>
      <c r="F38" s="5"/>
      <c r="G38" s="4">
        <f>1530</f>
        <v>1530</v>
      </c>
    </row>
    <row r="39" spans="1:7" x14ac:dyDescent="0.35">
      <c r="A39" s="3" t="s">
        <v>37</v>
      </c>
      <c r="B39" s="5"/>
      <c r="C39" s="4">
        <f>805</f>
        <v>805</v>
      </c>
      <c r="D39" s="5"/>
      <c r="E39" s="5"/>
      <c r="F39" s="5"/>
      <c r="G39" s="4">
        <f>805</f>
        <v>805</v>
      </c>
    </row>
    <row r="40" spans="1:7" x14ac:dyDescent="0.35">
      <c r="A40" s="3" t="s">
        <v>38</v>
      </c>
      <c r="B40" s="5"/>
      <c r="C40" s="4">
        <f>101562</f>
        <v>101562</v>
      </c>
      <c r="D40" s="5"/>
      <c r="E40" s="5"/>
      <c r="F40" s="5"/>
      <c r="G40" s="4">
        <f>101562</f>
        <v>101562</v>
      </c>
    </row>
    <row r="41" spans="1:7" x14ac:dyDescent="0.35">
      <c r="A41" s="3" t="s">
        <v>39</v>
      </c>
      <c r="B41" s="5"/>
      <c r="C41" s="4">
        <f>10507</f>
        <v>10507</v>
      </c>
      <c r="D41" s="5"/>
      <c r="E41" s="5"/>
      <c r="F41" s="5"/>
      <c r="G41" s="4">
        <f>10507</f>
        <v>10507</v>
      </c>
    </row>
    <row r="42" spans="1:7" x14ac:dyDescent="0.35">
      <c r="A42" s="3" t="s">
        <v>40</v>
      </c>
      <c r="B42" s="5"/>
      <c r="C42" s="4">
        <f>861146</f>
        <v>861146</v>
      </c>
      <c r="D42" s="5"/>
      <c r="E42" s="5"/>
      <c r="F42" s="5"/>
      <c r="G42" s="4">
        <f>861146</f>
        <v>861146</v>
      </c>
    </row>
    <row r="43" spans="1:7" x14ac:dyDescent="0.35">
      <c r="A43" s="3" t="s">
        <v>41</v>
      </c>
      <c r="B43" s="5"/>
      <c r="C43" s="4">
        <f>132269</f>
        <v>132269</v>
      </c>
      <c r="D43" s="5"/>
      <c r="E43" s="5"/>
      <c r="F43" s="5"/>
      <c r="G43" s="4">
        <f>132269</f>
        <v>132269</v>
      </c>
    </row>
    <row r="44" spans="1:7" x14ac:dyDescent="0.35">
      <c r="A44" s="3" t="s">
        <v>42</v>
      </c>
      <c r="B44" s="5"/>
      <c r="C44" s="4">
        <f>1042453</f>
        <v>1042453</v>
      </c>
      <c r="D44" s="5"/>
      <c r="E44" s="5"/>
      <c r="F44" s="5"/>
      <c r="G44" s="4">
        <f>1042453</f>
        <v>1042453</v>
      </c>
    </row>
    <row r="45" spans="1:7" x14ac:dyDescent="0.35">
      <c r="A45" s="3" t="s">
        <v>43</v>
      </c>
      <c r="B45" s="5"/>
      <c r="C45" s="4">
        <f>5715226</f>
        <v>5715226</v>
      </c>
      <c r="D45" s="5"/>
      <c r="E45" s="5"/>
      <c r="F45" s="5"/>
      <c r="G45" s="4">
        <f>5715226</f>
        <v>5715226</v>
      </c>
    </row>
    <row r="46" spans="1:7" x14ac:dyDescent="0.35">
      <c r="A46" s="3" t="s">
        <v>44</v>
      </c>
      <c r="B46" s="5"/>
      <c r="C46" s="4">
        <f>229216</f>
        <v>229216</v>
      </c>
      <c r="D46" s="5"/>
      <c r="E46" s="5"/>
      <c r="F46" s="5"/>
      <c r="G46" s="4">
        <f>229216</f>
        <v>229216</v>
      </c>
    </row>
    <row r="47" spans="1:7" x14ac:dyDescent="0.35">
      <c r="A47" s="3" t="s">
        <v>45</v>
      </c>
      <c r="B47" s="5"/>
      <c r="C47" s="4">
        <f>42421</f>
        <v>42421</v>
      </c>
      <c r="D47" s="5"/>
      <c r="E47" s="5"/>
      <c r="F47" s="5"/>
      <c r="G47" s="4">
        <f>42421</f>
        <v>42421</v>
      </c>
    </row>
    <row r="48" spans="1:7" x14ac:dyDescent="0.35">
      <c r="A48" s="3" t="s">
        <v>46</v>
      </c>
      <c r="B48" s="5"/>
      <c r="C48" s="4">
        <f>61125</f>
        <v>61125</v>
      </c>
      <c r="D48" s="5"/>
      <c r="E48" s="5"/>
      <c r="F48" s="5"/>
      <c r="G48" s="4">
        <f>61125</f>
        <v>61125</v>
      </c>
    </row>
    <row r="49" spans="1:7" x14ac:dyDescent="0.35">
      <c r="A49" s="3" t="s">
        <v>47</v>
      </c>
      <c r="B49" s="5"/>
      <c r="C49" s="4">
        <f>107691</f>
        <v>107691</v>
      </c>
      <c r="D49" s="5"/>
      <c r="E49" s="5"/>
      <c r="F49" s="5"/>
      <c r="G49" s="4">
        <f>107691</f>
        <v>107691</v>
      </c>
    </row>
    <row r="50" spans="1:7" x14ac:dyDescent="0.35">
      <c r="A50" s="3" t="s">
        <v>48</v>
      </c>
      <c r="B50" s="5"/>
      <c r="C50" s="4">
        <f>91067</f>
        <v>91067</v>
      </c>
      <c r="D50" s="5"/>
      <c r="E50" s="5"/>
      <c r="F50" s="5"/>
      <c r="G50" s="4">
        <f>91067</f>
        <v>91067</v>
      </c>
    </row>
    <row r="51" spans="1:7" x14ac:dyDescent="0.35">
      <c r="A51" s="3" t="s">
        <v>49</v>
      </c>
      <c r="B51" s="5"/>
      <c r="C51" s="4">
        <f>250377</f>
        <v>250377</v>
      </c>
      <c r="D51" s="5"/>
      <c r="E51" s="5"/>
      <c r="F51" s="5"/>
      <c r="G51" s="4">
        <f>250377</f>
        <v>250377</v>
      </c>
    </row>
    <row r="52" spans="1:7" x14ac:dyDescent="0.35">
      <c r="A52" s="3" t="s">
        <v>50</v>
      </c>
      <c r="B52" s="5"/>
      <c r="C52" s="4">
        <f>265851.78</f>
        <v>265851.78000000003</v>
      </c>
      <c r="D52" s="5"/>
      <c r="E52" s="5"/>
      <c r="F52" s="5"/>
      <c r="G52" s="4">
        <f>265851.78</f>
        <v>265851.78000000003</v>
      </c>
    </row>
    <row r="53" spans="1:7" x14ac:dyDescent="0.35">
      <c r="A53" s="3" t="s">
        <v>51</v>
      </c>
      <c r="B53" s="5"/>
      <c r="C53" s="4">
        <f>165610.31</f>
        <v>165610.31</v>
      </c>
      <c r="D53" s="5"/>
      <c r="E53" s="5"/>
      <c r="F53" s="5"/>
      <c r="G53" s="4">
        <f>165610.31</f>
        <v>165610.31</v>
      </c>
    </row>
    <row r="54" spans="1:7" x14ac:dyDescent="0.35">
      <c r="A54" s="3" t="s">
        <v>52</v>
      </c>
      <c r="B54" s="5"/>
      <c r="C54" s="4">
        <f>2457.49</f>
        <v>2457.4899999999998</v>
      </c>
      <c r="D54" s="5"/>
      <c r="E54" s="5"/>
      <c r="F54" s="5"/>
      <c r="G54" s="4">
        <f>2457.49</f>
        <v>2457.4899999999998</v>
      </c>
    </row>
    <row r="55" spans="1:7" x14ac:dyDescent="0.35">
      <c r="A55" s="3" t="s">
        <v>53</v>
      </c>
      <c r="B55" s="4">
        <f>1116.48</f>
        <v>1116.48</v>
      </c>
      <c r="C55" s="5"/>
      <c r="D55" s="5"/>
      <c r="E55" s="5"/>
      <c r="F55" s="4">
        <f>1116.48</f>
        <v>1116.48</v>
      </c>
      <c r="G55" s="5"/>
    </row>
    <row r="56" spans="1:7" x14ac:dyDescent="0.35">
      <c r="A56" s="3" t="s">
        <v>54</v>
      </c>
      <c r="B56" s="5"/>
      <c r="C56" s="4">
        <f>138.88</f>
        <v>138.88</v>
      </c>
      <c r="D56" s="5"/>
      <c r="E56" s="5"/>
      <c r="F56" s="5"/>
      <c r="G56" s="4">
        <f>138.88</f>
        <v>138.88</v>
      </c>
    </row>
    <row r="57" spans="1:7" x14ac:dyDescent="0.35">
      <c r="A57" s="3" t="s">
        <v>55</v>
      </c>
      <c r="B57" s="4">
        <f>342.67</f>
        <v>342.67</v>
      </c>
      <c r="C57" s="5"/>
      <c r="D57" s="5"/>
      <c r="E57" s="5"/>
      <c r="F57" s="4">
        <f>342.67</f>
        <v>342.67</v>
      </c>
      <c r="G57" s="5"/>
    </row>
    <row r="58" spans="1:7" x14ac:dyDescent="0.35">
      <c r="A58" s="3" t="s">
        <v>56</v>
      </c>
      <c r="B58" s="5"/>
      <c r="C58" s="4">
        <f>1541.1</f>
        <v>1541.1</v>
      </c>
      <c r="D58" s="5"/>
      <c r="E58" s="5"/>
      <c r="F58" s="5"/>
      <c r="G58" s="4">
        <f>1541.1</f>
        <v>1541.1</v>
      </c>
    </row>
    <row r="59" spans="1:7" x14ac:dyDescent="0.35">
      <c r="A59" s="3" t="s">
        <v>57</v>
      </c>
      <c r="B59" s="5"/>
      <c r="C59" s="4">
        <f>1985.82</f>
        <v>1985.82</v>
      </c>
      <c r="D59" s="5"/>
      <c r="E59" s="5"/>
      <c r="F59" s="5"/>
      <c r="G59" s="4">
        <f>1985.82</f>
        <v>1985.82</v>
      </c>
    </row>
    <row r="60" spans="1:7" x14ac:dyDescent="0.35">
      <c r="A60" s="3" t="s">
        <v>58</v>
      </c>
      <c r="B60" s="5"/>
      <c r="C60" s="4">
        <f>240</f>
        <v>240</v>
      </c>
      <c r="D60" s="5"/>
      <c r="E60" s="5"/>
      <c r="F60" s="5"/>
      <c r="G60" s="4">
        <f>240</f>
        <v>240</v>
      </c>
    </row>
    <row r="61" spans="1:7" x14ac:dyDescent="0.35">
      <c r="A61" s="3" t="s">
        <v>59</v>
      </c>
      <c r="B61" s="5"/>
      <c r="C61" s="4">
        <f>46179.13</f>
        <v>46179.13</v>
      </c>
      <c r="D61" s="5"/>
      <c r="E61" s="5"/>
      <c r="F61" s="5"/>
      <c r="G61" s="4">
        <f>46179.13</f>
        <v>46179.13</v>
      </c>
    </row>
    <row r="62" spans="1:7" x14ac:dyDescent="0.35">
      <c r="A62" s="3" t="s">
        <v>60</v>
      </c>
      <c r="B62" s="5"/>
      <c r="C62" s="4">
        <f>63000</f>
        <v>63000</v>
      </c>
      <c r="D62" s="5"/>
      <c r="E62" s="5"/>
      <c r="F62" s="5"/>
      <c r="G62" s="4">
        <f>63000</f>
        <v>63000</v>
      </c>
    </row>
    <row r="63" spans="1:7" x14ac:dyDescent="0.35">
      <c r="A63" s="3" t="s">
        <v>61</v>
      </c>
      <c r="B63" s="5"/>
      <c r="C63" s="4">
        <f>116500</f>
        <v>116500</v>
      </c>
      <c r="D63" s="5"/>
      <c r="E63" s="5"/>
      <c r="F63" s="5"/>
      <c r="G63" s="4">
        <f>116500</f>
        <v>116500</v>
      </c>
    </row>
    <row r="64" spans="1:7" x14ac:dyDescent="0.35">
      <c r="A64" s="3" t="s">
        <v>62</v>
      </c>
      <c r="B64" s="5"/>
      <c r="C64" s="4">
        <f>176000</f>
        <v>176000</v>
      </c>
      <c r="D64" s="5"/>
      <c r="E64" s="5"/>
      <c r="F64" s="5"/>
      <c r="G64" s="4">
        <f>176000</f>
        <v>176000</v>
      </c>
    </row>
    <row r="65" spans="1:7" x14ac:dyDescent="0.35">
      <c r="A65" s="3" t="s">
        <v>63</v>
      </c>
      <c r="B65" s="5"/>
      <c r="C65" s="4">
        <f>46200</f>
        <v>46200</v>
      </c>
      <c r="D65" s="5"/>
      <c r="E65" s="5"/>
      <c r="F65" s="5"/>
      <c r="G65" s="4">
        <f>46200</f>
        <v>46200</v>
      </c>
    </row>
    <row r="66" spans="1:7" x14ac:dyDescent="0.35">
      <c r="A66" s="3" t="s">
        <v>64</v>
      </c>
      <c r="B66" s="5"/>
      <c r="C66" s="4">
        <f>104000</f>
        <v>104000</v>
      </c>
      <c r="D66" s="5"/>
      <c r="E66" s="5"/>
      <c r="F66" s="5"/>
      <c r="G66" s="4">
        <f>104000</f>
        <v>104000</v>
      </c>
    </row>
    <row r="67" spans="1:7" x14ac:dyDescent="0.35">
      <c r="A67" s="3" t="s">
        <v>65</v>
      </c>
      <c r="B67" s="5"/>
      <c r="C67" s="4">
        <f>281000</f>
        <v>281000</v>
      </c>
      <c r="D67" s="5"/>
      <c r="E67" s="5"/>
      <c r="F67" s="5"/>
      <c r="G67" s="4">
        <f>281000</f>
        <v>281000</v>
      </c>
    </row>
    <row r="68" spans="1:7" x14ac:dyDescent="0.35">
      <c r="A68" s="3" t="s">
        <v>66</v>
      </c>
      <c r="B68" s="5"/>
      <c r="C68" s="4">
        <f>60174.78</f>
        <v>60174.78</v>
      </c>
      <c r="D68" s="5"/>
      <c r="E68" s="5"/>
      <c r="F68" s="5"/>
      <c r="G68" s="4">
        <f>60174.78</f>
        <v>60174.78</v>
      </c>
    </row>
    <row r="69" spans="1:7" x14ac:dyDescent="0.35">
      <c r="A69" s="3" t="s">
        <v>67</v>
      </c>
      <c r="B69" s="5"/>
      <c r="C69" s="4">
        <f>83782.97</f>
        <v>83782.97</v>
      </c>
      <c r="D69" s="5"/>
      <c r="E69" s="5"/>
      <c r="F69" s="5"/>
      <c r="G69" s="4">
        <f>83782.97</f>
        <v>83782.97</v>
      </c>
    </row>
    <row r="70" spans="1:7" x14ac:dyDescent="0.35">
      <c r="A70" s="3" t="s">
        <v>68</v>
      </c>
      <c r="B70" s="5"/>
      <c r="C70" s="4">
        <f>39967.49</f>
        <v>39967.49</v>
      </c>
      <c r="D70" s="5"/>
      <c r="E70" s="5"/>
      <c r="F70" s="5"/>
      <c r="G70" s="4">
        <f>39967.49</f>
        <v>39967.49</v>
      </c>
    </row>
    <row r="71" spans="1:7" x14ac:dyDescent="0.35">
      <c r="A71" s="3" t="s">
        <v>69</v>
      </c>
      <c r="B71" s="5"/>
      <c r="C71" s="4">
        <f>91560.81</f>
        <v>91560.81</v>
      </c>
      <c r="D71" s="5"/>
      <c r="E71" s="5"/>
      <c r="F71" s="5"/>
      <c r="G71" s="4">
        <f>91560.81</f>
        <v>91560.81</v>
      </c>
    </row>
    <row r="72" spans="1:7" x14ac:dyDescent="0.35">
      <c r="A72" s="3" t="s">
        <v>70</v>
      </c>
      <c r="B72" s="4">
        <f>9625310.4</f>
        <v>9625310.4000000004</v>
      </c>
      <c r="C72" s="5"/>
      <c r="D72" s="5"/>
      <c r="E72" s="5"/>
      <c r="F72" s="4">
        <f>9625310.4</f>
        <v>9625310.4000000004</v>
      </c>
      <c r="G72" s="5"/>
    </row>
    <row r="73" spans="1:7" x14ac:dyDescent="0.35">
      <c r="A73" s="3" t="s">
        <v>71</v>
      </c>
      <c r="B73" s="5"/>
      <c r="C73" s="4">
        <f>1431217.81</f>
        <v>1431217.81</v>
      </c>
      <c r="D73" s="5"/>
      <c r="E73" s="5"/>
      <c r="F73" s="5"/>
      <c r="G73" s="4">
        <f>1431217.81</f>
        <v>1431217.81</v>
      </c>
    </row>
    <row r="74" spans="1:7" x14ac:dyDescent="0.35">
      <c r="A74" s="3" t="s">
        <v>72</v>
      </c>
      <c r="B74" s="5"/>
      <c r="C74" s="4">
        <f>2555300</f>
        <v>2555300</v>
      </c>
      <c r="D74" s="5"/>
      <c r="E74" s="5"/>
      <c r="F74" s="5"/>
      <c r="G74" s="4">
        <f>2555300</f>
        <v>2555300</v>
      </c>
    </row>
    <row r="75" spans="1:7" x14ac:dyDescent="0.35">
      <c r="A75" s="3" t="s">
        <v>73</v>
      </c>
      <c r="B75" s="5"/>
      <c r="C75" s="4">
        <f>308861.11</f>
        <v>308861.11</v>
      </c>
      <c r="D75" s="5"/>
      <c r="E75" s="5"/>
      <c r="F75" s="5"/>
      <c r="G75" s="4">
        <f>308861.11</f>
        <v>308861.11</v>
      </c>
    </row>
    <row r="76" spans="1:7" x14ac:dyDescent="0.35">
      <c r="A76" s="3" t="s">
        <v>74</v>
      </c>
      <c r="B76" s="5"/>
      <c r="C76" s="4">
        <f>250000</f>
        <v>250000</v>
      </c>
      <c r="D76" s="5"/>
      <c r="E76" s="5"/>
      <c r="F76" s="5"/>
      <c r="G76" s="4">
        <f>250000</f>
        <v>250000</v>
      </c>
    </row>
    <row r="77" spans="1:7" x14ac:dyDescent="0.35">
      <c r="A77" s="3" t="s">
        <v>75</v>
      </c>
      <c r="B77" s="5"/>
      <c r="C77" s="4">
        <f>7728165.88</f>
        <v>7728165.8799999999</v>
      </c>
      <c r="D77" s="5"/>
      <c r="E77" s="5"/>
      <c r="F77" s="5"/>
      <c r="G77" s="4">
        <f>7728165.88</f>
        <v>7728165.8799999999</v>
      </c>
    </row>
    <row r="78" spans="1:7" x14ac:dyDescent="0.35">
      <c r="A78" s="3" t="s">
        <v>76</v>
      </c>
      <c r="B78" s="5"/>
      <c r="C78" s="4">
        <f>1262400</f>
        <v>1262400</v>
      </c>
      <c r="D78" s="5"/>
      <c r="E78" s="5"/>
      <c r="F78" s="5"/>
      <c r="G78" s="4">
        <f>1262400</f>
        <v>1262400</v>
      </c>
    </row>
    <row r="79" spans="1:7" x14ac:dyDescent="0.35">
      <c r="A79" s="3" t="s">
        <v>77</v>
      </c>
      <c r="B79" s="5"/>
      <c r="C79" s="4">
        <f>3322839.29</f>
        <v>3322839.29</v>
      </c>
      <c r="D79" s="5"/>
      <c r="E79" s="5"/>
      <c r="F79" s="5"/>
      <c r="G79" s="4">
        <f>3322839.29</f>
        <v>3322839.29</v>
      </c>
    </row>
    <row r="80" spans="1:7" x14ac:dyDescent="0.35">
      <c r="A80" s="3" t="s">
        <v>78</v>
      </c>
      <c r="B80" s="5"/>
      <c r="C80" s="4">
        <f>750000</f>
        <v>750000</v>
      </c>
      <c r="D80" s="5"/>
      <c r="E80" s="5"/>
      <c r="F80" s="5"/>
      <c r="G80" s="4">
        <f>750000</f>
        <v>750000</v>
      </c>
    </row>
    <row r="81" spans="1:7" x14ac:dyDescent="0.35">
      <c r="A81" s="3" t="s">
        <v>79</v>
      </c>
      <c r="B81" s="5"/>
      <c r="C81" s="4">
        <f>350000</f>
        <v>350000</v>
      </c>
      <c r="D81" s="5"/>
      <c r="E81" s="5"/>
      <c r="F81" s="5"/>
      <c r="G81" s="4">
        <f>350000</f>
        <v>350000</v>
      </c>
    </row>
    <row r="82" spans="1:7" x14ac:dyDescent="0.35">
      <c r="A82" s="3" t="s">
        <v>80</v>
      </c>
      <c r="B82" s="5"/>
      <c r="C82" s="4">
        <f>2189750.84</f>
        <v>2189750.84</v>
      </c>
      <c r="D82" s="5"/>
      <c r="E82" s="5"/>
      <c r="F82" s="5"/>
      <c r="G82" s="4">
        <f>2189750.84</f>
        <v>2189750.84</v>
      </c>
    </row>
    <row r="83" spans="1:7" x14ac:dyDescent="0.35">
      <c r="A83" s="3" t="s">
        <v>81</v>
      </c>
      <c r="B83" s="5"/>
      <c r="C83" s="4">
        <f>188266.17</f>
        <v>188266.17</v>
      </c>
      <c r="D83" s="5"/>
      <c r="E83" s="5"/>
      <c r="F83" s="5"/>
      <c r="G83" s="4">
        <f>188266.17</f>
        <v>188266.17</v>
      </c>
    </row>
    <row r="84" spans="1:7" x14ac:dyDescent="0.35">
      <c r="A84" s="3" t="s">
        <v>82</v>
      </c>
      <c r="B84" s="5"/>
      <c r="C84" s="4">
        <f>53129.22</f>
        <v>53129.22</v>
      </c>
      <c r="D84" s="5"/>
      <c r="E84" s="5"/>
      <c r="F84" s="5"/>
      <c r="G84" s="4">
        <f>53129.22</f>
        <v>53129.22</v>
      </c>
    </row>
    <row r="85" spans="1:7" x14ac:dyDescent="0.35">
      <c r="A85" s="3" t="s">
        <v>83</v>
      </c>
      <c r="B85" s="4">
        <f>1736.39</f>
        <v>1736.39</v>
      </c>
      <c r="C85" s="5"/>
      <c r="D85" s="5"/>
      <c r="E85" s="5"/>
      <c r="F85" s="4">
        <f>1736.39</f>
        <v>1736.39</v>
      </c>
      <c r="G85" s="5"/>
    </row>
    <row r="86" spans="1:7" x14ac:dyDescent="0.35">
      <c r="A86" s="3" t="s">
        <v>84</v>
      </c>
      <c r="B86" s="4">
        <f>500</f>
        <v>500</v>
      </c>
      <c r="C86" s="5"/>
      <c r="D86" s="5"/>
      <c r="E86" s="5"/>
      <c r="F86" s="4">
        <f>500</f>
        <v>500</v>
      </c>
      <c r="G86" s="5"/>
    </row>
    <row r="87" spans="1:7" x14ac:dyDescent="0.35">
      <c r="A87" s="3" t="s">
        <v>85</v>
      </c>
      <c r="B87" s="5"/>
      <c r="C87" s="4">
        <f>48090.23</f>
        <v>48090.23</v>
      </c>
      <c r="D87" s="5"/>
      <c r="E87" s="5"/>
      <c r="F87" s="5"/>
      <c r="G87" s="4">
        <f>48090.23</f>
        <v>48090.23</v>
      </c>
    </row>
    <row r="88" spans="1:7" x14ac:dyDescent="0.35">
      <c r="A88" s="3" t="s">
        <v>86</v>
      </c>
      <c r="B88" s="4">
        <f>230819.56</f>
        <v>230819.56</v>
      </c>
      <c r="C88" s="5"/>
      <c r="D88" s="5"/>
      <c r="E88" s="5"/>
      <c r="F88" s="4">
        <f>230819.56</f>
        <v>230819.56</v>
      </c>
      <c r="G88" s="5"/>
    </row>
    <row r="89" spans="1:7" x14ac:dyDescent="0.35">
      <c r="A89" s="3" t="s">
        <v>87</v>
      </c>
      <c r="B89" s="5"/>
      <c r="C89" s="4">
        <f>16993.62</f>
        <v>16993.62</v>
      </c>
      <c r="D89" s="5"/>
      <c r="E89" s="5"/>
      <c r="F89" s="5"/>
      <c r="G89" s="4">
        <f>16993.62</f>
        <v>16993.62</v>
      </c>
    </row>
    <row r="90" spans="1:7" x14ac:dyDescent="0.35">
      <c r="A90" s="3" t="s">
        <v>88</v>
      </c>
      <c r="B90" s="5"/>
      <c r="C90" s="4">
        <f>67535.66</f>
        <v>67535.66</v>
      </c>
      <c r="D90" s="5"/>
      <c r="E90" s="5"/>
      <c r="F90" s="5"/>
      <c r="G90" s="4">
        <f>67535.66</f>
        <v>67535.66</v>
      </c>
    </row>
    <row r="91" spans="1:7" x14ac:dyDescent="0.35">
      <c r="A91" s="3" t="s">
        <v>89</v>
      </c>
      <c r="B91" s="5"/>
      <c r="C91" s="4">
        <f>45273.03</f>
        <v>45273.03</v>
      </c>
      <c r="D91" s="5"/>
      <c r="E91" s="5"/>
      <c r="F91" s="5"/>
      <c r="G91" s="4">
        <f>45273.03</f>
        <v>45273.03</v>
      </c>
    </row>
    <row r="92" spans="1:7" x14ac:dyDescent="0.35">
      <c r="A92" s="3" t="s">
        <v>90</v>
      </c>
      <c r="B92" s="5"/>
      <c r="C92" s="4">
        <f>1644152.41</f>
        <v>1644152.41</v>
      </c>
      <c r="D92" s="5"/>
      <c r="E92" s="5"/>
      <c r="F92" s="5"/>
      <c r="G92" s="4">
        <f>1644152.41</f>
        <v>1644152.41</v>
      </c>
    </row>
    <row r="93" spans="1:7" x14ac:dyDescent="0.35">
      <c r="A93" s="3" t="s">
        <v>91</v>
      </c>
      <c r="B93" s="4">
        <f>217699.09</f>
        <v>217699.09</v>
      </c>
      <c r="C93" s="5"/>
      <c r="D93" s="5"/>
      <c r="E93" s="5"/>
      <c r="F93" s="4">
        <f>217699.09</f>
        <v>217699.09</v>
      </c>
      <c r="G93" s="5"/>
    </row>
    <row r="94" spans="1:7" x14ac:dyDescent="0.35">
      <c r="A94" s="3" t="s">
        <v>92</v>
      </c>
      <c r="B94" s="4">
        <f>14502.62</f>
        <v>14502.62</v>
      </c>
      <c r="C94" s="5"/>
      <c r="D94" s="5"/>
      <c r="E94" s="5"/>
      <c r="F94" s="4">
        <f>14502.62</f>
        <v>14502.62</v>
      </c>
      <c r="G94" s="5"/>
    </row>
    <row r="95" spans="1:7" x14ac:dyDescent="0.35">
      <c r="A95" s="3" t="s">
        <v>93</v>
      </c>
      <c r="B95" s="4">
        <f>36402.84</f>
        <v>36402.839999999997</v>
      </c>
      <c r="C95" s="5"/>
      <c r="D95" s="5"/>
      <c r="E95" s="5"/>
      <c r="F95" s="4">
        <f>36402.84</f>
        <v>36402.839999999997</v>
      </c>
      <c r="G95" s="5"/>
    </row>
    <row r="96" spans="1:7" x14ac:dyDescent="0.35">
      <c r="A96" s="3" t="s">
        <v>94</v>
      </c>
      <c r="B96" s="4">
        <f>9157.36</f>
        <v>9157.36</v>
      </c>
      <c r="C96" s="5"/>
      <c r="D96" s="5"/>
      <c r="E96" s="5"/>
      <c r="F96" s="4">
        <f>9157.36</f>
        <v>9157.36</v>
      </c>
      <c r="G96" s="5"/>
    </row>
    <row r="97" spans="1:7" x14ac:dyDescent="0.35">
      <c r="A97" s="3" t="s">
        <v>95</v>
      </c>
      <c r="B97" s="4">
        <f>8798.62</f>
        <v>8798.6200000000008</v>
      </c>
      <c r="C97" s="5"/>
      <c r="D97" s="5"/>
      <c r="E97" s="5"/>
      <c r="F97" s="4">
        <f>8798.62</f>
        <v>8798.6200000000008</v>
      </c>
      <c r="G97" s="5"/>
    </row>
    <row r="98" spans="1:7" x14ac:dyDescent="0.35">
      <c r="A98" s="3" t="s">
        <v>96</v>
      </c>
      <c r="B98" s="4">
        <f>69214.33</f>
        <v>69214.33</v>
      </c>
      <c r="C98" s="5"/>
      <c r="D98" s="5"/>
      <c r="E98" s="5"/>
      <c r="F98" s="4">
        <f>69214.33</f>
        <v>69214.33</v>
      </c>
      <c r="G98" s="5"/>
    </row>
    <row r="99" spans="1:7" ht="22" x14ac:dyDescent="0.35">
      <c r="A99" s="3" t="s">
        <v>97</v>
      </c>
      <c r="B99" s="4">
        <f>380</f>
        <v>380</v>
      </c>
      <c r="C99" s="5"/>
      <c r="D99" s="5"/>
      <c r="E99" s="5"/>
      <c r="F99" s="4">
        <f>380</f>
        <v>380</v>
      </c>
      <c r="G99" s="5"/>
    </row>
    <row r="100" spans="1:7" x14ac:dyDescent="0.35">
      <c r="A100" s="3" t="s">
        <v>98</v>
      </c>
      <c r="B100" s="4">
        <f>782390.37</f>
        <v>782390.37</v>
      </c>
      <c r="C100" s="5"/>
      <c r="D100" s="5"/>
      <c r="E100" s="5"/>
      <c r="F100" s="4">
        <f>782390.37</f>
        <v>782390.37</v>
      </c>
      <c r="G100" s="5"/>
    </row>
    <row r="101" spans="1:7" x14ac:dyDescent="0.35">
      <c r="A101" s="3" t="s">
        <v>99</v>
      </c>
      <c r="B101" s="4">
        <f>114864.55</f>
        <v>114864.55</v>
      </c>
      <c r="C101" s="5"/>
      <c r="D101" s="5"/>
      <c r="E101" s="5"/>
      <c r="F101" s="4">
        <f>114864.55</f>
        <v>114864.55</v>
      </c>
      <c r="G101" s="5"/>
    </row>
    <row r="102" spans="1:7" x14ac:dyDescent="0.35">
      <c r="A102" s="3" t="s">
        <v>100</v>
      </c>
      <c r="B102" s="4">
        <f>10099.17</f>
        <v>10099.17</v>
      </c>
      <c r="C102" s="5"/>
      <c r="D102" s="5"/>
      <c r="E102" s="5"/>
      <c r="F102" s="4">
        <f>10099.17</f>
        <v>10099.17</v>
      </c>
      <c r="G102" s="5"/>
    </row>
    <row r="103" spans="1:7" x14ac:dyDescent="0.35">
      <c r="A103" s="3" t="s">
        <v>101</v>
      </c>
      <c r="B103" s="4">
        <f>137427.87</f>
        <v>137427.87</v>
      </c>
      <c r="C103" s="5"/>
      <c r="D103" s="5"/>
      <c r="E103" s="5"/>
      <c r="F103" s="4">
        <f>137427.87</f>
        <v>137427.87</v>
      </c>
      <c r="G103" s="5"/>
    </row>
    <row r="104" spans="1:7" x14ac:dyDescent="0.35">
      <c r="A104" s="3" t="s">
        <v>102</v>
      </c>
      <c r="B104" s="4">
        <f>16050</f>
        <v>16050</v>
      </c>
      <c r="C104" s="5"/>
      <c r="D104" s="5"/>
      <c r="E104" s="5"/>
      <c r="F104" s="4">
        <f>16050</f>
        <v>16050</v>
      </c>
      <c r="G104" s="5"/>
    </row>
    <row r="105" spans="1:7" x14ac:dyDescent="0.35">
      <c r="A105" s="3" t="s">
        <v>103</v>
      </c>
      <c r="B105" s="4">
        <f>2079</f>
        <v>2079</v>
      </c>
      <c r="C105" s="5"/>
      <c r="D105" s="5"/>
      <c r="E105" s="5"/>
      <c r="F105" s="4">
        <f>2079</f>
        <v>2079</v>
      </c>
      <c r="G105" s="5"/>
    </row>
    <row r="106" spans="1:7" x14ac:dyDescent="0.35">
      <c r="A106" s="3" t="s">
        <v>104</v>
      </c>
      <c r="B106" s="4">
        <f>12092.3</f>
        <v>12092.3</v>
      </c>
      <c r="C106" s="5"/>
      <c r="D106" s="5"/>
      <c r="E106" s="5"/>
      <c r="F106" s="4">
        <f>12092.3</f>
        <v>12092.3</v>
      </c>
      <c r="G106" s="5"/>
    </row>
    <row r="107" spans="1:7" x14ac:dyDescent="0.35">
      <c r="A107" s="3" t="s">
        <v>105</v>
      </c>
      <c r="B107" s="4">
        <f>13848.67</f>
        <v>13848.67</v>
      </c>
      <c r="C107" s="5"/>
      <c r="D107" s="5"/>
      <c r="E107" s="5"/>
      <c r="F107" s="4">
        <f>13848.67</f>
        <v>13848.67</v>
      </c>
      <c r="G107" s="5"/>
    </row>
    <row r="108" spans="1:7" x14ac:dyDescent="0.35">
      <c r="A108" s="3" t="s">
        <v>106</v>
      </c>
      <c r="B108" s="4">
        <f>1453.46</f>
        <v>1453.46</v>
      </c>
      <c r="C108" s="5"/>
      <c r="D108" s="5"/>
      <c r="E108" s="5"/>
      <c r="F108" s="4">
        <f>1453.46</f>
        <v>1453.46</v>
      </c>
      <c r="G108" s="5"/>
    </row>
    <row r="109" spans="1:7" x14ac:dyDescent="0.35">
      <c r="A109" s="3" t="s">
        <v>107</v>
      </c>
      <c r="B109" s="4">
        <f>29446.12</f>
        <v>29446.12</v>
      </c>
      <c r="C109" s="5"/>
      <c r="D109" s="5"/>
      <c r="E109" s="5"/>
      <c r="F109" s="4">
        <f>29446.12</f>
        <v>29446.12</v>
      </c>
      <c r="G109" s="5"/>
    </row>
    <row r="110" spans="1:7" x14ac:dyDescent="0.35">
      <c r="A110" s="3" t="s">
        <v>108</v>
      </c>
      <c r="B110" s="4">
        <f>15674.56</f>
        <v>15674.56</v>
      </c>
      <c r="C110" s="5"/>
      <c r="D110" s="5"/>
      <c r="E110" s="5"/>
      <c r="F110" s="4">
        <f>15674.56</f>
        <v>15674.56</v>
      </c>
      <c r="G110" s="5"/>
    </row>
    <row r="111" spans="1:7" x14ac:dyDescent="0.35">
      <c r="A111" s="3" t="s">
        <v>109</v>
      </c>
      <c r="B111" s="4">
        <f>44515.67</f>
        <v>44515.67</v>
      </c>
      <c r="C111" s="5"/>
      <c r="D111" s="5"/>
      <c r="E111" s="5"/>
      <c r="F111" s="4">
        <f>44515.67</f>
        <v>44515.67</v>
      </c>
      <c r="G111" s="5"/>
    </row>
    <row r="112" spans="1:7" x14ac:dyDescent="0.35">
      <c r="A112" s="3" t="s">
        <v>110</v>
      </c>
      <c r="B112" s="5"/>
      <c r="C112" s="4">
        <f>4958.67</f>
        <v>4958.67</v>
      </c>
      <c r="D112" s="5"/>
      <c r="E112" s="5"/>
      <c r="F112" s="5"/>
      <c r="G112" s="4">
        <f>4958.67</f>
        <v>4958.67</v>
      </c>
    </row>
    <row r="113" spans="1:7" x14ac:dyDescent="0.35">
      <c r="A113" s="3" t="s">
        <v>111</v>
      </c>
      <c r="B113" s="4">
        <f>1140</f>
        <v>1140</v>
      </c>
      <c r="C113" s="5"/>
      <c r="D113" s="5"/>
      <c r="E113" s="5"/>
      <c r="F113" s="4">
        <f>1140</f>
        <v>1140</v>
      </c>
      <c r="G113" s="5"/>
    </row>
    <row r="114" spans="1:7" x14ac:dyDescent="0.35">
      <c r="A114" s="3" t="s">
        <v>112</v>
      </c>
      <c r="B114" s="4">
        <f>830.89</f>
        <v>830.89</v>
      </c>
      <c r="C114" s="5"/>
      <c r="D114" s="5"/>
      <c r="E114" s="5"/>
      <c r="F114" s="4">
        <f>830.89</f>
        <v>830.89</v>
      </c>
      <c r="G114" s="5"/>
    </row>
    <row r="115" spans="1:7" x14ac:dyDescent="0.35">
      <c r="A115" s="3" t="s">
        <v>113</v>
      </c>
      <c r="B115" s="4">
        <f>623</f>
        <v>623</v>
      </c>
      <c r="C115" s="5"/>
      <c r="D115" s="5"/>
      <c r="E115" s="5"/>
      <c r="F115" s="4">
        <f>623</f>
        <v>623</v>
      </c>
      <c r="G115" s="5"/>
    </row>
    <row r="116" spans="1:7" x14ac:dyDescent="0.35">
      <c r="A116" s="3" t="s">
        <v>114</v>
      </c>
      <c r="B116" s="4">
        <f>2000</f>
        <v>2000</v>
      </c>
      <c r="C116" s="5"/>
      <c r="D116" s="5"/>
      <c r="E116" s="5"/>
      <c r="F116" s="4">
        <f>2000</f>
        <v>2000</v>
      </c>
      <c r="G116" s="5"/>
    </row>
    <row r="117" spans="1:7" x14ac:dyDescent="0.35">
      <c r="A117" s="3" t="s">
        <v>115</v>
      </c>
      <c r="B117" s="4">
        <f>515</f>
        <v>515</v>
      </c>
      <c r="C117" s="5"/>
      <c r="D117" s="5"/>
      <c r="E117" s="5"/>
      <c r="F117" s="4">
        <f>515</f>
        <v>515</v>
      </c>
      <c r="G117" s="5"/>
    </row>
    <row r="118" spans="1:7" x14ac:dyDescent="0.35">
      <c r="A118" s="3" t="s">
        <v>116</v>
      </c>
      <c r="B118" s="4">
        <f>140.62</f>
        <v>140.62</v>
      </c>
      <c r="C118" s="5"/>
      <c r="D118" s="5"/>
      <c r="E118" s="5"/>
      <c r="F118" s="4">
        <f>140.62</f>
        <v>140.62</v>
      </c>
      <c r="G118" s="5"/>
    </row>
    <row r="119" spans="1:7" x14ac:dyDescent="0.35">
      <c r="A119" s="3" t="s">
        <v>117</v>
      </c>
      <c r="B119" s="4">
        <f>20711.72</f>
        <v>20711.72</v>
      </c>
      <c r="C119" s="5"/>
      <c r="D119" s="5"/>
      <c r="E119" s="5"/>
      <c r="F119" s="4">
        <f>20711.72</f>
        <v>20711.72</v>
      </c>
      <c r="G119" s="5"/>
    </row>
    <row r="120" spans="1:7" x14ac:dyDescent="0.35">
      <c r="A120" s="3" t="s">
        <v>118</v>
      </c>
      <c r="B120" s="4">
        <f>5262.32</f>
        <v>5262.32</v>
      </c>
      <c r="C120" s="5"/>
      <c r="D120" s="5"/>
      <c r="E120" s="5"/>
      <c r="F120" s="4">
        <f>5262.32</f>
        <v>5262.32</v>
      </c>
      <c r="G120" s="5"/>
    </row>
    <row r="121" spans="1:7" x14ac:dyDescent="0.35">
      <c r="A121" s="3" t="s">
        <v>119</v>
      </c>
      <c r="B121" s="4">
        <f>660</f>
        <v>660</v>
      </c>
      <c r="C121" s="5"/>
      <c r="D121" s="5"/>
      <c r="E121" s="5"/>
      <c r="F121" s="4">
        <f>660</f>
        <v>660</v>
      </c>
      <c r="G121" s="5"/>
    </row>
    <row r="122" spans="1:7" x14ac:dyDescent="0.35">
      <c r="A122" s="3" t="s">
        <v>120</v>
      </c>
      <c r="B122" s="4">
        <f>20232.48</f>
        <v>20232.48</v>
      </c>
      <c r="C122" s="5"/>
      <c r="D122" s="5"/>
      <c r="E122" s="5"/>
      <c r="F122" s="4">
        <f>20232.48</f>
        <v>20232.48</v>
      </c>
      <c r="G122" s="5"/>
    </row>
    <row r="123" spans="1:7" x14ac:dyDescent="0.35">
      <c r="A123" s="3" t="s">
        <v>121</v>
      </c>
      <c r="B123" s="4">
        <f>91.79</f>
        <v>91.79</v>
      </c>
      <c r="C123" s="5"/>
      <c r="D123" s="5"/>
      <c r="E123" s="5"/>
      <c r="F123" s="4">
        <f>91.79</f>
        <v>91.79</v>
      </c>
      <c r="G123" s="5"/>
    </row>
    <row r="124" spans="1:7" x14ac:dyDescent="0.35">
      <c r="A124" s="3" t="s">
        <v>122</v>
      </c>
      <c r="B124" s="4">
        <f>2100</f>
        <v>2100</v>
      </c>
      <c r="C124" s="5"/>
      <c r="D124" s="5"/>
      <c r="E124" s="5"/>
      <c r="F124" s="4">
        <f>2100</f>
        <v>2100</v>
      </c>
      <c r="G124" s="5"/>
    </row>
    <row r="125" spans="1:7" x14ac:dyDescent="0.35">
      <c r="A125" s="3" t="s">
        <v>123</v>
      </c>
      <c r="B125" s="4">
        <f>2042.92</f>
        <v>2042.92</v>
      </c>
      <c r="C125" s="5"/>
      <c r="D125" s="5"/>
      <c r="E125" s="5"/>
      <c r="F125" s="4">
        <f>2042.92</f>
        <v>2042.92</v>
      </c>
      <c r="G125" s="5"/>
    </row>
    <row r="126" spans="1:7" x14ac:dyDescent="0.35">
      <c r="A126" s="3" t="s">
        <v>124</v>
      </c>
      <c r="B126" s="4">
        <f>787.26</f>
        <v>787.26</v>
      </c>
      <c r="C126" s="5"/>
      <c r="D126" s="5"/>
      <c r="E126" s="5"/>
      <c r="F126" s="4">
        <f>787.26</f>
        <v>787.26</v>
      </c>
      <c r="G126" s="5"/>
    </row>
    <row r="127" spans="1:7" x14ac:dyDescent="0.35">
      <c r="A127" s="3" t="s">
        <v>125</v>
      </c>
      <c r="B127" s="4">
        <f>3517.87</f>
        <v>3517.87</v>
      </c>
      <c r="C127" s="5"/>
      <c r="D127" s="5"/>
      <c r="E127" s="5"/>
      <c r="F127" s="4">
        <f>3517.87</f>
        <v>3517.87</v>
      </c>
      <c r="G127" s="5"/>
    </row>
    <row r="128" spans="1:7" x14ac:dyDescent="0.35">
      <c r="A128" s="3" t="s">
        <v>126</v>
      </c>
      <c r="B128" s="4">
        <f>1200</f>
        <v>1200</v>
      </c>
      <c r="C128" s="5"/>
      <c r="D128" s="5"/>
      <c r="E128" s="5"/>
      <c r="F128" s="4">
        <f>1200</f>
        <v>1200</v>
      </c>
      <c r="G128" s="5"/>
    </row>
    <row r="129" spans="1:7" x14ac:dyDescent="0.35">
      <c r="A129" s="3" t="s">
        <v>127</v>
      </c>
      <c r="B129" s="4">
        <f>7328.38</f>
        <v>7328.38</v>
      </c>
      <c r="C129" s="5"/>
      <c r="D129" s="5"/>
      <c r="E129" s="5"/>
      <c r="F129" s="4">
        <f>7328.38</f>
        <v>7328.38</v>
      </c>
      <c r="G129" s="5"/>
    </row>
    <row r="130" spans="1:7" x14ac:dyDescent="0.35">
      <c r="A130" s="3" t="s">
        <v>128</v>
      </c>
      <c r="B130" s="4">
        <f>615.59</f>
        <v>615.59</v>
      </c>
      <c r="C130" s="5"/>
      <c r="D130" s="5"/>
      <c r="E130" s="5"/>
      <c r="F130" s="4">
        <f>615.59</f>
        <v>615.59</v>
      </c>
      <c r="G130" s="5"/>
    </row>
    <row r="131" spans="1:7" x14ac:dyDescent="0.35">
      <c r="A131" s="3" t="s">
        <v>129</v>
      </c>
      <c r="B131" s="4">
        <f>3119.54</f>
        <v>3119.54</v>
      </c>
      <c r="C131" s="5"/>
      <c r="D131" s="5"/>
      <c r="E131" s="5"/>
      <c r="F131" s="4">
        <f>3119.54</f>
        <v>3119.54</v>
      </c>
      <c r="G131" s="5"/>
    </row>
    <row r="132" spans="1:7" x14ac:dyDescent="0.35">
      <c r="A132" s="3" t="s">
        <v>130</v>
      </c>
      <c r="B132" s="4">
        <f>21791.5</f>
        <v>21791.5</v>
      </c>
      <c r="C132" s="5"/>
      <c r="D132" s="5"/>
      <c r="E132" s="5"/>
      <c r="F132" s="4">
        <f>21791.5</f>
        <v>21791.5</v>
      </c>
      <c r="G132" s="5"/>
    </row>
    <row r="133" spans="1:7" x14ac:dyDescent="0.35">
      <c r="A133" s="3" t="s">
        <v>131</v>
      </c>
      <c r="B133" s="5"/>
      <c r="C133" s="4">
        <f>32.07</f>
        <v>32.07</v>
      </c>
      <c r="D133" s="5"/>
      <c r="E133" s="5"/>
      <c r="F133" s="5"/>
      <c r="G133" s="4">
        <f>32.07</f>
        <v>32.07</v>
      </c>
    </row>
    <row r="134" spans="1:7" x14ac:dyDescent="0.35">
      <c r="A134" s="3" t="s">
        <v>132</v>
      </c>
      <c r="B134" s="5"/>
      <c r="C134" s="4">
        <f>14648.08</f>
        <v>14648.08</v>
      </c>
      <c r="D134" s="5"/>
      <c r="E134" s="5"/>
      <c r="F134" s="5"/>
      <c r="G134" s="4">
        <f>14648.08</f>
        <v>14648.08</v>
      </c>
    </row>
    <row r="135" spans="1:7" x14ac:dyDescent="0.35">
      <c r="A135" s="3" t="s">
        <v>133</v>
      </c>
      <c r="B135" s="5"/>
      <c r="C135" s="4">
        <f>51329.22</f>
        <v>51329.22</v>
      </c>
      <c r="D135" s="5"/>
      <c r="E135" s="5"/>
      <c r="F135" s="5"/>
      <c r="G135" s="4">
        <f>51329.22</f>
        <v>51329.22</v>
      </c>
    </row>
    <row r="136" spans="1:7" x14ac:dyDescent="0.35">
      <c r="A136" s="3" t="s">
        <v>134</v>
      </c>
      <c r="B136" s="5"/>
      <c r="C136" s="4">
        <f>141938.21</f>
        <v>141938.21</v>
      </c>
      <c r="D136" s="5"/>
      <c r="E136" s="5"/>
      <c r="F136" s="5"/>
      <c r="G136" s="4">
        <f>141938.21</f>
        <v>141938.21</v>
      </c>
    </row>
    <row r="137" spans="1:7" x14ac:dyDescent="0.35">
      <c r="A137" s="3" t="s">
        <v>135</v>
      </c>
      <c r="B137" s="5"/>
      <c r="C137" s="4">
        <f>7805.9</f>
        <v>7805.9</v>
      </c>
      <c r="D137" s="5"/>
      <c r="E137" s="5"/>
      <c r="F137" s="5"/>
      <c r="G137" s="4">
        <f>7805.9</f>
        <v>7805.9</v>
      </c>
    </row>
    <row r="138" spans="1:7" x14ac:dyDescent="0.35">
      <c r="A138" s="3" t="s">
        <v>136</v>
      </c>
      <c r="B138" s="4">
        <f>1302.04</f>
        <v>1302.04</v>
      </c>
      <c r="C138" s="5"/>
      <c r="D138" s="5"/>
      <c r="E138" s="5"/>
      <c r="F138" s="4">
        <f>1302.04</f>
        <v>1302.04</v>
      </c>
      <c r="G138" s="5"/>
    </row>
    <row r="139" spans="1:7" x14ac:dyDescent="0.35">
      <c r="A139" s="3" t="s">
        <v>137</v>
      </c>
      <c r="B139" s="4">
        <f>1717.57</f>
        <v>1717.57</v>
      </c>
      <c r="C139" s="5"/>
      <c r="D139" s="5"/>
      <c r="E139" s="5"/>
      <c r="F139" s="4">
        <f>1717.57</f>
        <v>1717.57</v>
      </c>
      <c r="G139" s="5"/>
    </row>
    <row r="140" spans="1:7" x14ac:dyDescent="0.35">
      <c r="A140" s="3" t="s">
        <v>138</v>
      </c>
      <c r="B140" s="4">
        <f>827.1</f>
        <v>827.1</v>
      </c>
      <c r="C140" s="5"/>
      <c r="D140" s="5"/>
      <c r="E140" s="5"/>
      <c r="F140" s="4">
        <f>827.1</f>
        <v>827.1</v>
      </c>
      <c r="G140" s="5"/>
    </row>
    <row r="141" spans="1:7" x14ac:dyDescent="0.35">
      <c r="A141" s="3" t="s">
        <v>139</v>
      </c>
      <c r="B141" s="4">
        <f>37589.96</f>
        <v>37589.96</v>
      </c>
      <c r="C141" s="5"/>
      <c r="D141" s="5"/>
      <c r="E141" s="5"/>
      <c r="F141" s="4">
        <f>37589.96</f>
        <v>37589.96</v>
      </c>
      <c r="G141" s="5"/>
    </row>
    <row r="142" spans="1:7" x14ac:dyDescent="0.35">
      <c r="A142" s="3" t="s">
        <v>140</v>
      </c>
      <c r="B142" s="4">
        <f>598.12</f>
        <v>598.12</v>
      </c>
      <c r="C142" s="5"/>
      <c r="D142" s="5"/>
      <c r="E142" s="5"/>
      <c r="F142" s="4">
        <f>598.12</f>
        <v>598.12</v>
      </c>
      <c r="G142" s="5"/>
    </row>
    <row r="143" spans="1:7" x14ac:dyDescent="0.35">
      <c r="A143" s="3" t="s">
        <v>141</v>
      </c>
      <c r="B143" s="4">
        <f>390.95</f>
        <v>390.95</v>
      </c>
      <c r="C143" s="5"/>
      <c r="D143" s="5"/>
      <c r="E143" s="5"/>
      <c r="F143" s="4">
        <f>390.95</f>
        <v>390.95</v>
      </c>
      <c r="G143" s="5"/>
    </row>
    <row r="144" spans="1:7" x14ac:dyDescent="0.35">
      <c r="A144" s="3" t="s">
        <v>142</v>
      </c>
      <c r="B144" s="6">
        <f t="shared" ref="B144:G144" si="0">((((((((((((((((((((((((((((((((((((((((((((((((((((((((((((((((((((((((((((((((((((((((((((((((((((((((((((((((((((((((((((((((((((((((B7)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)+(B141))+(B142))+(B143)</f>
        <v>32626423.080000017</v>
      </c>
      <c r="C144" s="6">
        <f t="shared" si="0"/>
        <v>32626423.080000002</v>
      </c>
      <c r="D144" s="6">
        <f t="shared" si="0"/>
        <v>0</v>
      </c>
      <c r="E144" s="6">
        <f t="shared" si="0"/>
        <v>0</v>
      </c>
      <c r="F144" s="6">
        <f t="shared" si="0"/>
        <v>32626423.080000017</v>
      </c>
      <c r="G144" s="6">
        <f t="shared" si="0"/>
        <v>32626423.080000002</v>
      </c>
    </row>
    <row r="145" spans="1:7" x14ac:dyDescent="0.35">
      <c r="A145" s="3"/>
      <c r="B145" s="5"/>
      <c r="C145" s="5"/>
      <c r="D145" s="5"/>
      <c r="E145" s="5"/>
      <c r="F145" s="5"/>
      <c r="G145" s="5"/>
    </row>
    <row r="148" spans="1:7" x14ac:dyDescent="0.35">
      <c r="A148" s="9" t="s">
        <v>143</v>
      </c>
      <c r="B148" s="10"/>
      <c r="C148" s="10"/>
      <c r="D148" s="10"/>
      <c r="E148" s="10"/>
      <c r="F148" s="10"/>
      <c r="G148" s="10"/>
    </row>
  </sheetData>
  <mergeCells count="7">
    <mergeCell ref="B5:C5"/>
    <mergeCell ref="D5:E5"/>
    <mergeCell ref="F5:G5"/>
    <mergeCell ref="A148:G148"/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Allyson  Honaker</cp:lastModifiedBy>
  <dcterms:created xsi:type="dcterms:W3CDTF">2023-12-07T19:45:34Z</dcterms:created>
  <dcterms:modified xsi:type="dcterms:W3CDTF">2023-12-27T20:06:11Z</dcterms:modified>
</cp:coreProperties>
</file>