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BH\Done For Now\11538\OAG Response to Fleming Mason Data Request 2\"/>
    </mc:Choice>
  </mc:AlternateContent>
  <bookViews>
    <workbookView xWindow="0" yWindow="0" windowWidth="28800" windowHeight="11745"/>
  </bookViews>
  <sheets>
    <sheet name="Unmodified 1.06 YearEndCust" sheetId="2" r:id="rId1"/>
    <sheet name="Unmodified Billing Detail" sheetId="3" r:id="rId2"/>
    <sheet name="OAG Modified 1.06 YearEndCust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'Unmodified Billing Detail'!$A$1:$K$237</definedName>
    <definedName name="_xlnm.Print_Titles" localSheetId="1">'Unmodified 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2" i="3" l="1"/>
  <c r="G232" i="3"/>
  <c r="G231" i="3"/>
  <c r="G222" i="3"/>
  <c r="I221" i="3"/>
  <c r="I220" i="3"/>
  <c r="J220" i="3" s="1"/>
  <c r="I219" i="3"/>
  <c r="J219" i="3" s="1"/>
  <c r="J218" i="3"/>
  <c r="I218" i="3"/>
  <c r="H216" i="3"/>
  <c r="I216" i="3" s="1"/>
  <c r="J216" i="3" s="1"/>
  <c r="G216" i="3"/>
  <c r="K216" i="3" s="1"/>
  <c r="H215" i="3"/>
  <c r="I215" i="3" s="1"/>
  <c r="G215" i="3"/>
  <c r="E212" i="3"/>
  <c r="G210" i="3"/>
  <c r="I209" i="3"/>
  <c r="I208" i="3"/>
  <c r="J208" i="3" s="1"/>
  <c r="I207" i="3"/>
  <c r="J207" i="3" s="1"/>
  <c r="J206" i="3"/>
  <c r="I206" i="3"/>
  <c r="H204" i="3"/>
  <c r="I204" i="3" s="1"/>
  <c r="J204" i="3" s="1"/>
  <c r="G204" i="3"/>
  <c r="K204" i="3" s="1"/>
  <c r="H203" i="3"/>
  <c r="I203" i="3" s="1"/>
  <c r="G203" i="3"/>
  <c r="I202" i="3"/>
  <c r="J202" i="3" s="1"/>
  <c r="H202" i="3"/>
  <c r="G202" i="3"/>
  <c r="P202" i="3" s="1"/>
  <c r="E199" i="3"/>
  <c r="G197" i="3"/>
  <c r="I196" i="3"/>
  <c r="I195" i="3"/>
  <c r="J195" i="3" s="1"/>
  <c r="I194" i="3"/>
  <c r="J194" i="3" s="1"/>
  <c r="J193" i="3"/>
  <c r="I193" i="3"/>
  <c r="I197" i="3" s="1"/>
  <c r="H191" i="3"/>
  <c r="I191" i="3" s="1"/>
  <c r="J191" i="3" s="1"/>
  <c r="G191" i="3"/>
  <c r="I190" i="3"/>
  <c r="J190" i="3" s="1"/>
  <c r="H190" i="3"/>
  <c r="G190" i="3"/>
  <c r="K190" i="3" s="1"/>
  <c r="H189" i="3"/>
  <c r="I189" i="3" s="1"/>
  <c r="G189" i="3"/>
  <c r="E186" i="3"/>
  <c r="G184" i="3"/>
  <c r="I183" i="3"/>
  <c r="J182" i="3"/>
  <c r="I182" i="3"/>
  <c r="I181" i="3"/>
  <c r="J181" i="3" s="1"/>
  <c r="I180" i="3"/>
  <c r="J180" i="3" s="1"/>
  <c r="I179" i="3"/>
  <c r="J179" i="3" s="1"/>
  <c r="K179" i="3" s="1"/>
  <c r="L179" i="3" s="1"/>
  <c r="I178" i="3"/>
  <c r="J178" i="3" s="1"/>
  <c r="H178" i="3"/>
  <c r="G178" i="3"/>
  <c r="H177" i="3"/>
  <c r="I177" i="3" s="1"/>
  <c r="J177" i="3" s="1"/>
  <c r="G177" i="3"/>
  <c r="K177" i="3" s="1"/>
  <c r="I176" i="3"/>
  <c r="J176" i="3" s="1"/>
  <c r="H176" i="3"/>
  <c r="G176" i="3"/>
  <c r="G179" i="3" s="1"/>
  <c r="E173" i="3"/>
  <c r="J171" i="3"/>
  <c r="K171" i="3" s="1"/>
  <c r="G171" i="3"/>
  <c r="I170" i="3"/>
  <c r="I169" i="3"/>
  <c r="J169" i="3" s="1"/>
  <c r="I168" i="3"/>
  <c r="J168" i="3" s="1"/>
  <c r="J167" i="3"/>
  <c r="I167" i="3"/>
  <c r="I171" i="3" s="1"/>
  <c r="H165" i="3"/>
  <c r="I165" i="3" s="1"/>
  <c r="J165" i="3" s="1"/>
  <c r="G165" i="3"/>
  <c r="K165" i="3" s="1"/>
  <c r="I164" i="3"/>
  <c r="J164" i="3" s="1"/>
  <c r="H164" i="3"/>
  <c r="G164" i="3"/>
  <c r="H163" i="3"/>
  <c r="I163" i="3" s="1"/>
  <c r="G163" i="3"/>
  <c r="G166" i="3" s="1"/>
  <c r="G172" i="3" s="1"/>
  <c r="G173" i="3" s="1"/>
  <c r="E160" i="3"/>
  <c r="G158" i="3"/>
  <c r="I157" i="3"/>
  <c r="J156" i="3"/>
  <c r="I156" i="3"/>
  <c r="I155" i="3"/>
  <c r="J155" i="3" s="1"/>
  <c r="I154" i="3"/>
  <c r="J154" i="3" s="1"/>
  <c r="I152" i="3"/>
  <c r="J152" i="3" s="1"/>
  <c r="H152" i="3"/>
  <c r="G152" i="3"/>
  <c r="K152" i="3" s="1"/>
  <c r="I151" i="3"/>
  <c r="J151" i="3" s="1"/>
  <c r="K151" i="3" s="1"/>
  <c r="H150" i="3"/>
  <c r="I150" i="3" s="1"/>
  <c r="J150" i="3" s="1"/>
  <c r="K150" i="3" s="1"/>
  <c r="G150" i="3"/>
  <c r="I149" i="3"/>
  <c r="J149" i="3" s="1"/>
  <c r="H149" i="3"/>
  <c r="G149" i="3"/>
  <c r="G153" i="3" s="1"/>
  <c r="G159" i="3" s="1"/>
  <c r="G160" i="3" s="1"/>
  <c r="H148" i="3"/>
  <c r="I148" i="3" s="1"/>
  <c r="J148" i="3" s="1"/>
  <c r="K148" i="3" s="1"/>
  <c r="G148" i="3"/>
  <c r="G144" i="3"/>
  <c r="I142" i="3"/>
  <c r="J142" i="3" s="1"/>
  <c r="I141" i="3"/>
  <c r="I140" i="3"/>
  <c r="J140" i="3" s="1"/>
  <c r="J138" i="3"/>
  <c r="K138" i="3" s="1"/>
  <c r="I138" i="3"/>
  <c r="H138" i="3"/>
  <c r="G138" i="3"/>
  <c r="I137" i="3"/>
  <c r="J137" i="3" s="1"/>
  <c r="H137" i="3"/>
  <c r="G137" i="3"/>
  <c r="K137" i="3" s="1"/>
  <c r="J136" i="3"/>
  <c r="K136" i="3" s="1"/>
  <c r="I136" i="3"/>
  <c r="H136" i="3"/>
  <c r="G136" i="3"/>
  <c r="I135" i="3"/>
  <c r="J135" i="3" s="1"/>
  <c r="H135" i="3"/>
  <c r="G135" i="3"/>
  <c r="K135" i="3" s="1"/>
  <c r="K134" i="3"/>
  <c r="J134" i="3"/>
  <c r="I134" i="3"/>
  <c r="H134" i="3"/>
  <c r="G134" i="3"/>
  <c r="I133" i="3"/>
  <c r="J133" i="3" s="1"/>
  <c r="H133" i="3"/>
  <c r="G133" i="3"/>
  <c r="K133" i="3" s="1"/>
  <c r="J132" i="3"/>
  <c r="K132" i="3" s="1"/>
  <c r="I132" i="3"/>
  <c r="H132" i="3"/>
  <c r="G132" i="3"/>
  <c r="I131" i="3"/>
  <c r="J131" i="3" s="1"/>
  <c r="H131" i="3"/>
  <c r="G131" i="3"/>
  <c r="J130" i="3"/>
  <c r="K130" i="3" s="1"/>
  <c r="I130" i="3"/>
  <c r="H130" i="3"/>
  <c r="G130" i="3"/>
  <c r="I129" i="3"/>
  <c r="J129" i="3" s="1"/>
  <c r="H129" i="3"/>
  <c r="G129" i="3"/>
  <c r="K129" i="3" s="1"/>
  <c r="J128" i="3"/>
  <c r="K128" i="3" s="1"/>
  <c r="I128" i="3"/>
  <c r="H128" i="3"/>
  <c r="G128" i="3"/>
  <c r="I127" i="3"/>
  <c r="J127" i="3" s="1"/>
  <c r="H127" i="3"/>
  <c r="G127" i="3"/>
  <c r="K127" i="3" s="1"/>
  <c r="K126" i="3"/>
  <c r="J126" i="3"/>
  <c r="I126" i="3"/>
  <c r="H126" i="3"/>
  <c r="G126" i="3"/>
  <c r="I125" i="3"/>
  <c r="J125" i="3" s="1"/>
  <c r="H125" i="3"/>
  <c r="G125" i="3"/>
  <c r="K125" i="3" s="1"/>
  <c r="K124" i="3"/>
  <c r="J124" i="3"/>
  <c r="I124" i="3"/>
  <c r="H124" i="3"/>
  <c r="G124" i="3"/>
  <c r="I123" i="3"/>
  <c r="J123" i="3" s="1"/>
  <c r="H123" i="3"/>
  <c r="G123" i="3"/>
  <c r="E120" i="3"/>
  <c r="G118" i="3"/>
  <c r="I117" i="3"/>
  <c r="I116" i="3"/>
  <c r="J116" i="3" s="1"/>
  <c r="I115" i="3"/>
  <c r="J115" i="3" s="1"/>
  <c r="I114" i="3"/>
  <c r="J114" i="3" s="1"/>
  <c r="J112" i="3"/>
  <c r="K112" i="3" s="1"/>
  <c r="I112" i="3"/>
  <c r="H112" i="3"/>
  <c r="G112" i="3"/>
  <c r="I111" i="3"/>
  <c r="J111" i="3" s="1"/>
  <c r="H111" i="3"/>
  <c r="G111" i="3"/>
  <c r="K111" i="3" s="1"/>
  <c r="I105" i="3"/>
  <c r="I104" i="3"/>
  <c r="J104" i="3" s="1"/>
  <c r="I103" i="3"/>
  <c r="J103" i="3" s="1"/>
  <c r="G103" i="3"/>
  <c r="G230" i="3" s="1"/>
  <c r="G102" i="3"/>
  <c r="G106" i="3" s="1"/>
  <c r="H100" i="3"/>
  <c r="I100" i="3" s="1"/>
  <c r="J100" i="3" s="1"/>
  <c r="K100" i="3" s="1"/>
  <c r="G100" i="3"/>
  <c r="E100" i="3"/>
  <c r="H99" i="3"/>
  <c r="I99" i="3" s="1"/>
  <c r="J99" i="3" s="1"/>
  <c r="G99" i="3"/>
  <c r="E99" i="3"/>
  <c r="E108" i="3" s="1"/>
  <c r="I98" i="3"/>
  <c r="J98" i="3" s="1"/>
  <c r="H98" i="3"/>
  <c r="G98" i="3"/>
  <c r="K98" i="3" s="1"/>
  <c r="E98" i="3"/>
  <c r="E95" i="3"/>
  <c r="G93" i="3"/>
  <c r="I92" i="3"/>
  <c r="J91" i="3"/>
  <c r="I91" i="3"/>
  <c r="I90" i="3"/>
  <c r="J90" i="3" s="1"/>
  <c r="J89" i="3"/>
  <c r="I89" i="3"/>
  <c r="I87" i="3"/>
  <c r="J87" i="3" s="1"/>
  <c r="K87" i="3" s="1"/>
  <c r="H87" i="3"/>
  <c r="G87" i="3"/>
  <c r="H86" i="3"/>
  <c r="I86" i="3" s="1"/>
  <c r="J86" i="3" s="1"/>
  <c r="K86" i="3" s="1"/>
  <c r="G86" i="3"/>
  <c r="I85" i="3"/>
  <c r="I88" i="3" s="1"/>
  <c r="H85" i="3"/>
  <c r="G85" i="3"/>
  <c r="G88" i="3" s="1"/>
  <c r="G94" i="3" s="1"/>
  <c r="G95" i="3" s="1"/>
  <c r="E82" i="3"/>
  <c r="G80" i="3"/>
  <c r="I79" i="3"/>
  <c r="J78" i="3"/>
  <c r="I78" i="3"/>
  <c r="I77" i="3"/>
  <c r="J77" i="3" s="1"/>
  <c r="J76" i="3"/>
  <c r="I76" i="3"/>
  <c r="I80" i="3" s="1"/>
  <c r="H74" i="3"/>
  <c r="I74" i="3" s="1"/>
  <c r="J74" i="3" s="1"/>
  <c r="K74" i="3" s="1"/>
  <c r="G74" i="3"/>
  <c r="I73" i="3"/>
  <c r="J73" i="3" s="1"/>
  <c r="K73" i="3" s="1"/>
  <c r="H73" i="3"/>
  <c r="G73" i="3"/>
  <c r="H72" i="3"/>
  <c r="I72" i="3" s="1"/>
  <c r="J72" i="3" s="1"/>
  <c r="K72" i="3" s="1"/>
  <c r="G72" i="3"/>
  <c r="I71" i="3"/>
  <c r="I75" i="3" s="1"/>
  <c r="J75" i="3" s="1"/>
  <c r="K75" i="3" s="1"/>
  <c r="L75" i="3" s="1"/>
  <c r="H71" i="3"/>
  <c r="G71" i="3"/>
  <c r="G75" i="3" s="1"/>
  <c r="E68" i="3"/>
  <c r="G66" i="3"/>
  <c r="I65" i="3"/>
  <c r="J64" i="3"/>
  <c r="I64" i="3"/>
  <c r="I63" i="3"/>
  <c r="J63" i="3" s="1"/>
  <c r="J62" i="3"/>
  <c r="I62" i="3"/>
  <c r="I66" i="3" s="1"/>
  <c r="H60" i="3"/>
  <c r="I60" i="3" s="1"/>
  <c r="J60" i="3" s="1"/>
  <c r="K60" i="3" s="1"/>
  <c r="G60" i="3"/>
  <c r="I59" i="3"/>
  <c r="J59" i="3" s="1"/>
  <c r="K59" i="3" s="1"/>
  <c r="H59" i="3"/>
  <c r="G59" i="3"/>
  <c r="H58" i="3"/>
  <c r="I58" i="3" s="1"/>
  <c r="G58" i="3"/>
  <c r="G61" i="3" s="1"/>
  <c r="E55" i="3"/>
  <c r="G53" i="3"/>
  <c r="I52" i="3"/>
  <c r="J51" i="3"/>
  <c r="I51" i="3"/>
  <c r="I50" i="3"/>
  <c r="J50" i="3" s="1"/>
  <c r="J49" i="3"/>
  <c r="I49" i="3"/>
  <c r="I53" i="3" s="1"/>
  <c r="J47" i="3"/>
  <c r="K47" i="3" s="1"/>
  <c r="I47" i="3"/>
  <c r="H47" i="3"/>
  <c r="G47" i="3"/>
  <c r="H46" i="3"/>
  <c r="I46" i="3" s="1"/>
  <c r="G46" i="3"/>
  <c r="G48" i="3" s="1"/>
  <c r="G54" i="3" s="1"/>
  <c r="G55" i="3" s="1"/>
  <c r="E43" i="3"/>
  <c r="G41" i="3"/>
  <c r="I40" i="3"/>
  <c r="J39" i="3"/>
  <c r="I39" i="3"/>
  <c r="I38" i="3"/>
  <c r="J38" i="3" s="1"/>
  <c r="J37" i="3"/>
  <c r="I37" i="3"/>
  <c r="I41" i="3" s="1"/>
  <c r="J35" i="3"/>
  <c r="K35" i="3" s="1"/>
  <c r="I35" i="3"/>
  <c r="H35" i="3"/>
  <c r="G35" i="3"/>
  <c r="H34" i="3"/>
  <c r="I34" i="3" s="1"/>
  <c r="E34" i="3"/>
  <c r="G34" i="3" s="1"/>
  <c r="H33" i="3"/>
  <c r="I33" i="3" s="1"/>
  <c r="G33" i="3"/>
  <c r="E30" i="3"/>
  <c r="G28" i="3"/>
  <c r="I27" i="3"/>
  <c r="J26" i="3"/>
  <c r="I26" i="3"/>
  <c r="I25" i="3"/>
  <c r="J25" i="3" s="1"/>
  <c r="J24" i="3"/>
  <c r="I24" i="3"/>
  <c r="H22" i="3"/>
  <c r="I22" i="3" s="1"/>
  <c r="J22" i="3" s="1"/>
  <c r="K22" i="3" s="1"/>
  <c r="G22" i="3"/>
  <c r="H21" i="3"/>
  <c r="I21" i="3" s="1"/>
  <c r="F21" i="3"/>
  <c r="G21" i="3" s="1"/>
  <c r="H20" i="3"/>
  <c r="I20" i="3" s="1"/>
  <c r="F20" i="3"/>
  <c r="G20" i="3" s="1"/>
  <c r="E17" i="3"/>
  <c r="G16" i="3"/>
  <c r="G15" i="3"/>
  <c r="G233" i="3" s="1"/>
  <c r="I14" i="3"/>
  <c r="I232" i="3" s="1"/>
  <c r="I13" i="3"/>
  <c r="J13" i="3" s="1"/>
  <c r="J12" i="3"/>
  <c r="I12" i="3"/>
  <c r="I11" i="3"/>
  <c r="J11" i="3" s="1"/>
  <c r="G10" i="3"/>
  <c r="J9" i="3"/>
  <c r="K9" i="3" s="1"/>
  <c r="I9" i="3"/>
  <c r="H9" i="3"/>
  <c r="G9" i="3"/>
  <c r="I8" i="3"/>
  <c r="J8" i="3" s="1"/>
  <c r="K8" i="3" s="1"/>
  <c r="G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I36" i="3" l="1"/>
  <c r="I42" i="3" s="1"/>
  <c r="J33" i="3"/>
  <c r="K33" i="3" s="1"/>
  <c r="I23" i="3"/>
  <c r="J21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20" i="3"/>
  <c r="J71" i="3"/>
  <c r="K71" i="3" s="1"/>
  <c r="I166" i="3"/>
  <c r="J166" i="3" s="1"/>
  <c r="K166" i="3" s="1"/>
  <c r="L166" i="3" s="1"/>
  <c r="J163" i="3"/>
  <c r="J34" i="3"/>
  <c r="K34" i="3" s="1"/>
  <c r="I81" i="3"/>
  <c r="J80" i="3"/>
  <c r="K80" i="3" s="1"/>
  <c r="J88" i="3"/>
  <c r="K88" i="3" s="1"/>
  <c r="L88" i="3" s="1"/>
  <c r="I61" i="3"/>
  <c r="J61" i="3" s="1"/>
  <c r="K61" i="3" s="1"/>
  <c r="L61" i="3" s="1"/>
  <c r="J58" i="3"/>
  <c r="K58" i="3" s="1"/>
  <c r="J85" i="3"/>
  <c r="K85" i="3" s="1"/>
  <c r="K131" i="3"/>
  <c r="K164" i="3"/>
  <c r="K191" i="3"/>
  <c r="G211" i="3"/>
  <c r="J53" i="3"/>
  <c r="K53" i="3" s="1"/>
  <c r="G17" i="3"/>
  <c r="K99" i="3"/>
  <c r="G101" i="3"/>
  <c r="I153" i="3"/>
  <c r="J153" i="3" s="1"/>
  <c r="K153" i="3" s="1"/>
  <c r="L153" i="3" s="1"/>
  <c r="G223" i="3"/>
  <c r="G224" i="3" s="1"/>
  <c r="J203" i="3"/>
  <c r="K203" i="3" s="1"/>
  <c r="I205" i="3"/>
  <c r="J205" i="3" s="1"/>
  <c r="K215" i="3"/>
  <c r="J41" i="3"/>
  <c r="K41" i="3" s="1"/>
  <c r="G67" i="3"/>
  <c r="G68" i="3" s="1"/>
  <c r="G185" i="3"/>
  <c r="G186" i="3" s="1"/>
  <c r="J215" i="3"/>
  <c r="I217" i="3"/>
  <c r="J217" i="3" s="1"/>
  <c r="K217" i="3" s="1"/>
  <c r="L217" i="3" s="1"/>
  <c r="I28" i="3"/>
  <c r="G36" i="3"/>
  <c r="G42" i="3" s="1"/>
  <c r="G43" i="3" s="1"/>
  <c r="J46" i="3"/>
  <c r="K46" i="3" s="1"/>
  <c r="I48" i="3"/>
  <c r="J48" i="3" s="1"/>
  <c r="K48" i="3" s="1"/>
  <c r="L48" i="3" s="1"/>
  <c r="G81" i="3"/>
  <c r="G82" i="3" s="1"/>
  <c r="I172" i="3"/>
  <c r="I67" i="3"/>
  <c r="J66" i="3"/>
  <c r="K66" i="3" s="1"/>
  <c r="I230" i="3"/>
  <c r="G23" i="3"/>
  <c r="K123" i="3"/>
  <c r="G205" i="3"/>
  <c r="J20" i="3"/>
  <c r="K20" i="3" s="1"/>
  <c r="I93" i="3"/>
  <c r="G107" i="3"/>
  <c r="G108" i="3" s="1"/>
  <c r="I144" i="3"/>
  <c r="J141" i="3"/>
  <c r="J230" i="3" s="1"/>
  <c r="K178" i="3"/>
  <c r="I210" i="3"/>
  <c r="G217" i="3"/>
  <c r="J231" i="3"/>
  <c r="K21" i="3"/>
  <c r="I192" i="3"/>
  <c r="J189" i="3"/>
  <c r="K189" i="3" s="1"/>
  <c r="J197" i="3"/>
  <c r="K197" i="3" s="1"/>
  <c r="I222" i="3"/>
  <c r="I101" i="3"/>
  <c r="J101" i="3" s="1"/>
  <c r="K101" i="3" s="1"/>
  <c r="L101" i="3" s="1"/>
  <c r="G113" i="3"/>
  <c r="G119" i="3" s="1"/>
  <c r="G120" i="3" s="1"/>
  <c r="G139" i="3"/>
  <c r="G145" i="3" s="1"/>
  <c r="K163" i="3"/>
  <c r="I231" i="3"/>
  <c r="I10" i="3"/>
  <c r="I113" i="3"/>
  <c r="I139" i="3"/>
  <c r="J139" i="3" s="1"/>
  <c r="K139" i="3" s="1"/>
  <c r="L139" i="3" s="1"/>
  <c r="K149" i="3"/>
  <c r="I158" i="3"/>
  <c r="I184" i="3"/>
  <c r="G192" i="3"/>
  <c r="G198" i="3" s="1"/>
  <c r="G199" i="3" s="1"/>
  <c r="G229" i="3"/>
  <c r="I229" i="3"/>
  <c r="I102" i="3"/>
  <c r="I15" i="3"/>
  <c r="I118" i="3"/>
  <c r="K176" i="3"/>
  <c r="K202" i="3"/>
  <c r="I43" i="3" l="1"/>
  <c r="J43" i="3" s="1"/>
  <c r="K43" i="3" s="1"/>
  <c r="J42" i="3"/>
  <c r="K42" i="3" s="1"/>
  <c r="L42" i="3" s="1"/>
  <c r="J144" i="3"/>
  <c r="I145" i="3"/>
  <c r="J145" i="3" s="1"/>
  <c r="K145" i="3" s="1"/>
  <c r="L145" i="3" s="1"/>
  <c r="I185" i="3"/>
  <c r="J184" i="3"/>
  <c r="K184" i="3" s="1"/>
  <c r="I159" i="3"/>
  <c r="J158" i="3"/>
  <c r="K158" i="3" s="1"/>
  <c r="I223" i="3"/>
  <c r="J222" i="3"/>
  <c r="K222" i="3" s="1"/>
  <c r="J192" i="3"/>
  <c r="K192" i="3" s="1"/>
  <c r="L192" i="3" s="1"/>
  <c r="I198" i="3"/>
  <c r="K205" i="3"/>
  <c r="L205" i="3" s="1"/>
  <c r="I29" i="3"/>
  <c r="J28" i="3"/>
  <c r="K28" i="3" s="1"/>
  <c r="A32" i="3"/>
  <c r="A45" i="3"/>
  <c r="G212" i="3"/>
  <c r="J118" i="3"/>
  <c r="K118" i="3" s="1"/>
  <c r="I119" i="3"/>
  <c r="I211" i="3"/>
  <c r="J210" i="3"/>
  <c r="K210" i="3" s="1"/>
  <c r="G228" i="3"/>
  <c r="G29" i="3"/>
  <c r="I173" i="3"/>
  <c r="J172" i="3"/>
  <c r="J15" i="3"/>
  <c r="I16" i="3"/>
  <c r="J23" i="3"/>
  <c r="K23" i="3" s="1"/>
  <c r="L23" i="3" s="1"/>
  <c r="J93" i="3"/>
  <c r="K93" i="3" s="1"/>
  <c r="I94" i="3"/>
  <c r="J113" i="3"/>
  <c r="K113" i="3" s="1"/>
  <c r="L113" i="3" s="1"/>
  <c r="J10" i="3"/>
  <c r="I228" i="3"/>
  <c r="I106" i="3"/>
  <c r="I233" i="3" s="1"/>
  <c r="J102" i="3"/>
  <c r="J229" i="3" s="1"/>
  <c r="J67" i="3"/>
  <c r="K67" i="3" s="1"/>
  <c r="L67" i="3" s="1"/>
  <c r="I68" i="3"/>
  <c r="J68" i="3" s="1"/>
  <c r="K68" i="3" s="1"/>
  <c r="I54" i="3"/>
  <c r="J81" i="3"/>
  <c r="K81" i="3" s="1"/>
  <c r="L81" i="3" s="1"/>
  <c r="I82" i="3"/>
  <c r="J82" i="3" s="1"/>
  <c r="K82" i="3" s="1"/>
  <c r="J36" i="3"/>
  <c r="K36" i="3" s="1"/>
  <c r="L36" i="3" s="1"/>
  <c r="I199" i="3" l="1"/>
  <c r="J198" i="3"/>
  <c r="I95" i="3"/>
  <c r="J95" i="3" s="1"/>
  <c r="K95" i="3" s="1"/>
  <c r="J94" i="3"/>
  <c r="K94" i="3" s="1"/>
  <c r="L94" i="3" s="1"/>
  <c r="I17" i="3"/>
  <c r="J17" i="3" s="1"/>
  <c r="K17" i="3" s="1"/>
  <c r="J16" i="3"/>
  <c r="K10" i="3"/>
  <c r="L10" i="3" s="1"/>
  <c r="J228" i="3"/>
  <c r="K228" i="3" s="1"/>
  <c r="L228" i="3" s="1"/>
  <c r="J185" i="3"/>
  <c r="I186" i="3"/>
  <c r="I120" i="3"/>
  <c r="J120" i="3" s="1"/>
  <c r="K120" i="3" s="1"/>
  <c r="J119" i="3"/>
  <c r="K119" i="3" s="1"/>
  <c r="L119" i="3" s="1"/>
  <c r="J159" i="3"/>
  <c r="I160" i="3"/>
  <c r="I212" i="3"/>
  <c r="J211" i="3"/>
  <c r="I55" i="3"/>
  <c r="J55" i="3" s="1"/>
  <c r="K55" i="3" s="1"/>
  <c r="J54" i="3"/>
  <c r="K54" i="3" s="1"/>
  <c r="L54" i="3" s="1"/>
  <c r="A47" i="3"/>
  <c r="A48" i="3" s="1"/>
  <c r="A49" i="3" s="1"/>
  <c r="A50" i="3" s="1"/>
  <c r="A51" i="3" s="1"/>
  <c r="A52" i="3" s="1"/>
  <c r="A53" i="3" s="1"/>
  <c r="A54" i="3" s="1"/>
  <c r="A55" i="3" s="1"/>
  <c r="A56" i="3" s="1"/>
  <c r="A59" i="3" s="1"/>
  <c r="A46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57" i="3" s="1"/>
  <c r="A33" i="3"/>
  <c r="K172" i="3"/>
  <c r="J173" i="3"/>
  <c r="I224" i="3"/>
  <c r="J224" i="3" s="1"/>
  <c r="K224" i="3" s="1"/>
  <c r="J223" i="3"/>
  <c r="K223" i="3" s="1"/>
  <c r="L223" i="3" s="1"/>
  <c r="K15" i="3"/>
  <c r="J29" i="3"/>
  <c r="K29" i="3" s="1"/>
  <c r="L29" i="3" s="1"/>
  <c r="I30" i="3"/>
  <c r="J106" i="3"/>
  <c r="K106" i="3" s="1"/>
  <c r="I107" i="3"/>
  <c r="G30" i="3"/>
  <c r="G234" i="3"/>
  <c r="J186" i="3" l="1"/>
  <c r="K185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58" i="3"/>
  <c r="I108" i="3"/>
  <c r="J108" i="3" s="1"/>
  <c r="K108" i="3" s="1"/>
  <c r="J107" i="3"/>
  <c r="K107" i="3" s="1"/>
  <c r="L107" i="3" s="1"/>
  <c r="J30" i="3"/>
  <c r="K30" i="3" s="1"/>
  <c r="J234" i="3"/>
  <c r="K16" i="3"/>
  <c r="L16" i="3" s="1"/>
  <c r="L172" i="3"/>
  <c r="K173" i="3"/>
  <c r="I234" i="3"/>
  <c r="J212" i="3"/>
  <c r="K211" i="3"/>
  <c r="J233" i="3"/>
  <c r="K233" i="3" s="1"/>
  <c r="J160" i="3"/>
  <c r="K159" i="3"/>
  <c r="K198" i="3"/>
  <c r="J199" i="3"/>
  <c r="J237" i="3" l="1"/>
  <c r="L3" i="3" s="1"/>
  <c r="K234" i="3"/>
  <c r="L234" i="3" s="1"/>
  <c r="L198" i="3"/>
  <c r="K199" i="3"/>
  <c r="A122" i="3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201" i="3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K160" i="3"/>
  <c r="L159" i="3"/>
  <c r="K212" i="3"/>
  <c r="L211" i="3"/>
  <c r="K186" i="3"/>
  <c r="L185" i="3"/>
  <c r="A162" i="3" l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175" i="3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G56" i="2" l="1"/>
  <c r="F40" i="2" s="1"/>
  <c r="K36" i="2"/>
  <c r="J36" i="2"/>
  <c r="I36" i="2"/>
  <c r="H36" i="2"/>
  <c r="G36" i="2"/>
  <c r="F36" i="2"/>
  <c r="K27" i="2"/>
  <c r="J27" i="2"/>
  <c r="K25" i="2"/>
  <c r="K30" i="2" s="1"/>
  <c r="K31" i="2" s="1"/>
  <c r="K37" i="2" s="1"/>
  <c r="J25" i="2"/>
  <c r="J30" i="2" s="1"/>
  <c r="J31" i="2" s="1"/>
  <c r="J37" i="2" s="1"/>
  <c r="I25" i="2"/>
  <c r="I27" i="2" s="1"/>
  <c r="H25" i="2"/>
  <c r="H27" i="2" s="1"/>
  <c r="G25" i="2"/>
  <c r="G27" i="2" s="1"/>
  <c r="F25" i="2"/>
  <c r="F27" i="2" s="1"/>
  <c r="G40" i="2" l="1"/>
  <c r="H30" i="2"/>
  <c r="H31" i="2" s="1"/>
  <c r="H37" i="2" s="1"/>
  <c r="F30" i="2"/>
  <c r="F31" i="2" s="1"/>
  <c r="F41" i="2" s="1"/>
  <c r="G30" i="2"/>
  <c r="G31" i="2" s="1"/>
  <c r="G37" i="2" s="1"/>
  <c r="I30" i="2"/>
  <c r="I31" i="2" s="1"/>
  <c r="I37" i="2" s="1"/>
  <c r="L31" i="2" l="1"/>
  <c r="F37" i="2"/>
  <c r="L37" i="2" s="1"/>
  <c r="F47" i="2" s="1"/>
  <c r="F49" i="2" s="1"/>
  <c r="G41" i="2"/>
  <c r="H40" i="2"/>
  <c r="H41" i="2" l="1"/>
  <c r="I40" i="2"/>
  <c r="I41" i="2" l="1"/>
  <c r="J40" i="2"/>
  <c r="K40" i="2" l="1"/>
  <c r="K41" i="2" s="1"/>
  <c r="J41" i="2"/>
  <c r="L41" i="2" l="1"/>
  <c r="G47" i="2" s="1"/>
  <c r="G49" i="2" s="1"/>
  <c r="G56" i="1" l="1"/>
  <c r="F40" i="1" s="1"/>
  <c r="K36" i="1"/>
  <c r="J36" i="1"/>
  <c r="I36" i="1"/>
  <c r="H36" i="1"/>
  <c r="G36" i="1"/>
  <c r="F36" i="1"/>
  <c r="K25" i="1"/>
  <c r="K27" i="1" s="1"/>
  <c r="J25" i="1"/>
  <c r="J30" i="1" s="1"/>
  <c r="I25" i="1"/>
  <c r="I27" i="1" s="1"/>
  <c r="H25" i="1"/>
  <c r="H30" i="1" s="1"/>
  <c r="G25" i="1"/>
  <c r="G30" i="1" s="1"/>
  <c r="F25" i="1"/>
  <c r="F30" i="1" s="1"/>
  <c r="F31" i="1" l="1"/>
  <c r="H31" i="1"/>
  <c r="H37" i="1" s="1"/>
  <c r="K37" i="1"/>
  <c r="J31" i="1"/>
  <c r="J37" i="1" s="1"/>
  <c r="G40" i="1"/>
  <c r="K30" i="1"/>
  <c r="K31" i="1" s="1"/>
  <c r="F27" i="1"/>
  <c r="G27" i="1"/>
  <c r="G31" i="1" s="1"/>
  <c r="G37" i="1" s="1"/>
  <c r="H27" i="1"/>
  <c r="J27" i="1"/>
  <c r="I30" i="1"/>
  <c r="I31" i="1" s="1"/>
  <c r="I37" i="1" s="1"/>
  <c r="F37" i="1" l="1"/>
  <c r="L37" i="1" s="1"/>
  <c r="F47" i="1" s="1"/>
  <c r="F49" i="1" s="1"/>
  <c r="L31" i="1"/>
  <c r="G41" i="1"/>
  <c r="H40" i="1"/>
  <c r="F41" i="1"/>
  <c r="H41" i="1" l="1"/>
  <c r="I40" i="1"/>
  <c r="I41" i="1" l="1"/>
  <c r="J40" i="1"/>
  <c r="J41" i="1" l="1"/>
  <c r="K40" i="1"/>
  <c r="K41" i="1" s="1"/>
  <c r="L41" i="1" l="1"/>
  <c r="G47" i="1" s="1"/>
  <c r="G49" i="1" s="1"/>
</calcChain>
</file>

<file path=xl/sharedStrings.xml><?xml version="1.0" encoding="utf-8"?>
<sst xmlns="http://schemas.openxmlformats.org/spreadsheetml/2006/main" count="382" uniqueCount="142">
  <si>
    <t>Reference Schedule:  1.06</t>
  </si>
  <si>
    <t>Year-End Customers</t>
  </si>
  <si>
    <t>Line</t>
  </si>
  <si>
    <t>Year</t>
  </si>
  <si>
    <t>Month</t>
  </si>
  <si>
    <t>Residential &amp; Small Power (1)</t>
  </si>
  <si>
    <t>Residential &amp; Small Power ETS (11)</t>
  </si>
  <si>
    <t>Prepay (80)</t>
  </si>
  <si>
    <t>Net Metering (100)</t>
  </si>
  <si>
    <t>Inclining Block Rate (8)</t>
  </si>
  <si>
    <t>Small General Service (2)</t>
  </si>
  <si>
    <t>Total</t>
  </si>
  <si>
    <t>#</t>
  </si>
  <si>
    <t>(1)</t>
  </si>
  <si>
    <t>(2)</t>
  </si>
  <si>
    <t>(3)</t>
  </si>
  <si>
    <t>(4)</t>
  </si>
  <si>
    <t>(5)</t>
  </si>
  <si>
    <t>(6)</t>
  </si>
  <si>
    <t>(7)</t>
  </si>
  <si>
    <t>(8)</t>
  </si>
  <si>
    <t>(11)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</si>
  <si>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</si>
  <si>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</si>
  <si>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</si>
  <si>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</si>
  <si>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</si>
  <si>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</si>
  <si>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</si>
  <si>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</si>
  <si>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</si>
  <si>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</si>
  <si>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</si>
  <si>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</si>
  <si>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</si>
  <si>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</si>
  <si>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</si>
  <si>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</si>
  <si>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</si>
  <si>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</si>
  <si>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</si>
  <si>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</si>
  <si>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</si>
  <si>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</si>
  <si>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</si>
  <si>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</si>
  <si>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</si>
  <si>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</si>
  <si>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Expense</t>
  </si>
  <si>
    <t>Test Year Amount</t>
  </si>
  <si>
    <t>Pro Forma Year Amount</t>
  </si>
  <si>
    <t>Adjustment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</si>
  <si>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</si>
  <si>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</si>
  <si>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</si>
  <si>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</si>
  <si>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</si>
  <si>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</si>
  <si>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</si>
  <si>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</si>
  <si>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Classification</t>
  </si>
  <si>
    <t>Code</t>
  </si>
  <si>
    <t>Billing Component</t>
  </si>
  <si>
    <t>Billing Units</t>
  </si>
  <si>
    <t xml:space="preserve">       Present Rate</t>
  </si>
  <si>
    <t xml:space="preserve">            Present Revenue</t>
  </si>
  <si>
    <t>Proposed Rate</t>
  </si>
  <si>
    <t>Proposed Revenue</t>
  </si>
  <si>
    <t>Increase $</t>
  </si>
  <si>
    <t>%</t>
  </si>
  <si>
    <t>RSP</t>
  </si>
  <si>
    <t>Customer Charge</t>
  </si>
  <si>
    <t>Energy Charge per kWh</t>
  </si>
  <si>
    <t>Total Base Rates</t>
  </si>
  <si>
    <t xml:space="preserve">    FAC</t>
  </si>
  <si>
    <t xml:space="preserve">    ES</t>
  </si>
  <si>
    <t xml:space="preserve">    Solar Credits</t>
  </si>
  <si>
    <t xml:space="preserve">    Green Power</t>
  </si>
  <si>
    <t>Total Riders</t>
  </si>
  <si>
    <t>TOTAL REVENUE</t>
  </si>
  <si>
    <t>RSP-ETS</t>
  </si>
  <si>
    <t>Energy Charge - Off Peak per kWh</t>
  </si>
  <si>
    <t xml:space="preserve">    Misc Adj</t>
  </si>
  <si>
    <t xml:space="preserve">    Other</t>
  </si>
  <si>
    <t>RSP-PPM</t>
  </si>
  <si>
    <t>Prepay Service Fee</t>
  </si>
  <si>
    <t>NM</t>
  </si>
  <si>
    <t>Time of Day (110)</t>
  </si>
  <si>
    <t>RSP-TOD</t>
  </si>
  <si>
    <t>Energy Charge On Peak per kWh</t>
  </si>
  <si>
    <t>Energy Charge Off Peak per kWh</t>
  </si>
  <si>
    <t>RSP-IB</t>
  </si>
  <si>
    <t>Energy Charge 0-300 per kWh</t>
  </si>
  <si>
    <t>Energy Charge 301-500 per kWh</t>
  </si>
  <si>
    <t>Energy Charge Over 500 per kWh</t>
  </si>
  <si>
    <t>SGS</t>
  </si>
  <si>
    <t>Demand Charge per kW</t>
  </si>
  <si>
    <t>Large General Service (3)</t>
  </si>
  <si>
    <t>LGS</t>
  </si>
  <si>
    <t>All Electric School (4)</t>
  </si>
  <si>
    <t>AES</t>
  </si>
  <si>
    <t>Security Lights (20)</t>
  </si>
  <si>
    <t>OLS</t>
  </si>
  <si>
    <t>MV</t>
  </si>
  <si>
    <t>7000 Lumens Standard Service</t>
  </si>
  <si>
    <t>7000 Lumens Ornatmental Service</t>
  </si>
  <si>
    <t>20,000 Lumens Standard Service</t>
  </si>
  <si>
    <t>20,000 Lumens Ornamental Service</t>
  </si>
  <si>
    <t>HPS</t>
  </si>
  <si>
    <t>9500 Lumens Standard</t>
  </si>
  <si>
    <t>9500 Lumens Ornamental</t>
  </si>
  <si>
    <t>9500 Lumens Directional</t>
  </si>
  <si>
    <t>22,000 Lumens Standard</t>
  </si>
  <si>
    <t>22,000 Lumens Ornamental</t>
  </si>
  <si>
    <t>22,000 Lumens Directional</t>
  </si>
  <si>
    <t>50,000 Lumens Standard</t>
  </si>
  <si>
    <t>50,000 Lumens Ornamental</t>
  </si>
  <si>
    <t>50,000 Lumens Directional</t>
  </si>
  <si>
    <t>LED</t>
  </si>
  <si>
    <t>6100 Lumens Standard</t>
  </si>
  <si>
    <t>23,000 Lumens Directional Floodlight</t>
  </si>
  <si>
    <t>AppHarvest (70)</t>
  </si>
  <si>
    <t>Contract</t>
  </si>
  <si>
    <t>Demand Charge Contract per kW</t>
  </si>
  <si>
    <t>Demand Charge Interrup per kW</t>
  </si>
  <si>
    <t>EDR</t>
  </si>
  <si>
    <t xml:space="preserve">    Buy Through Net</t>
  </si>
  <si>
    <t>Dravo (14 now 18)</t>
  </si>
  <si>
    <t>Guardian Industries (16)</t>
  </si>
  <si>
    <t xml:space="preserve">Int'l Paper </t>
  </si>
  <si>
    <t>Tennessee Gas</t>
  </si>
  <si>
    <t>Steam</t>
  </si>
  <si>
    <t>Demand Charge per MMBTU</t>
  </si>
  <si>
    <t>Energy Charge per MMBTU</t>
  </si>
  <si>
    <t>TOTALS</t>
  </si>
  <si>
    <t>Target:</t>
  </si>
  <si>
    <t>Variance:</t>
  </si>
  <si>
    <t>OAG Modified Reference Schedule:  1.06</t>
  </si>
  <si>
    <t>FLEMING-MASON ENERGY COOPERATIVE</t>
  </si>
  <si>
    <t>For the 12 Months Ended December 31, 2022</t>
  </si>
  <si>
    <t>Fleming-Mason RECC</t>
  </si>
  <si>
    <t>Billing Analysis of Present and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</si>
</sst>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0.00000"/>
    <numFmt numFmtId="170" formatCode="0.00000000"/>
    <numFmt numFmtId="171" formatCode="_(* #,##0.000_);_(* \(#,##0.000\);_(* &quot;-&quot;??_);_(@_)"/>
    <numFmt numFmtId="172" formatCode="_(* #,##0.0000_);_(* \(#,##0.0000\);_(* &quot;-&quot;??_);_(@_)"/>
    <numFmt numFmtId="173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0" borderId="0" xfId="3" applyFont="1" applyAlignment="1">
      <alignment horizontal="right"/>
    </xf>
    <xf numFmtId="0" fontId="4" fillId="0" borderId="0" xfId="3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0" xfId="2" applyNumberFormat="1" applyFont="1" applyFill="1"/>
    <xf numFmtId="165" fontId="2" fillId="0" borderId="0" xfId="1" applyNumberFormat="1" applyFont="1" applyFill="1"/>
    <xf numFmtId="165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0" xfId="2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Alignment="1">
      <alignment horizontal="left" vertical="center"/>
    </xf>
    <xf numFmtId="165" fontId="2" fillId="0" borderId="0" xfId="1" applyNumberFormat="1" applyFont="1" applyFill="1" applyBorder="1"/>
    <xf numFmtId="0" fontId="4" fillId="0" borderId="0" xfId="0" applyFont="1"/>
    <xf numFmtId="164" fontId="2" fillId="2" borderId="0" xfId="2" applyNumberFormat="1" applyFont="1" applyFill="1" applyBorder="1"/>
    <xf numFmtId="164" fontId="2" fillId="2" borderId="0" xfId="2" applyNumberFormat="1" applyFont="1" applyFill="1"/>
    <xf numFmtId="166" fontId="2" fillId="0" borderId="0" xfId="2" applyNumberFormat="1" applyFont="1" applyFill="1" applyBorder="1"/>
    <xf numFmtId="167" fontId="2" fillId="0" borderId="0" xfId="1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0" fontId="2" fillId="0" borderId="4" xfId="0" applyFont="1" applyBorder="1"/>
    <xf numFmtId="164" fontId="2" fillId="0" borderId="4" xfId="0" applyNumberFormat="1" applyFont="1" applyBorder="1"/>
    <xf numFmtId="164" fontId="2" fillId="0" borderId="4" xfId="2" applyNumberFormat="1" applyFont="1" applyFill="1" applyBorder="1"/>
    <xf numFmtId="0" fontId="5" fillId="0" borderId="0" xfId="0" applyFont="1"/>
    <xf numFmtId="0" fontId="4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vertical="center"/>
    </xf>
    <xf numFmtId="168" fontId="2" fillId="0" borderId="0" xfId="1" applyNumberFormat="1" applyFont="1" applyFill="1"/>
    <xf numFmtId="0" fontId="2" fillId="0" borderId="0" xfId="0" applyFont="1" applyAlignment="1">
      <alignment vertical="center"/>
    </xf>
    <xf numFmtId="164" fontId="2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3" fontId="2" fillId="0" borderId="0" xfId="1" applyFont="1" applyFill="1"/>
    <xf numFmtId="10" fontId="2" fillId="0" borderId="0" xfId="4" applyNumberFormat="1" applyFont="1" applyFill="1"/>
    <xf numFmtId="169" fontId="2" fillId="0" borderId="0" xfId="0" applyNumberFormat="1" applyFont="1"/>
    <xf numFmtId="167" fontId="2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6" xfId="2" applyNumberFormat="1" applyFont="1" applyFill="1" applyBorder="1" applyAlignment="1">
      <alignment vertical="center"/>
    </xf>
    <xf numFmtId="10" fontId="2" fillId="0" borderId="6" xfId="4" applyNumberFormat="1" applyFont="1" applyFill="1" applyBorder="1" applyAlignment="1">
      <alignment vertical="center"/>
    </xf>
    <xf numFmtId="9" fontId="2" fillId="0" borderId="0" xfId="4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43" fontId="2" fillId="0" borderId="0" xfId="1" applyFont="1" applyFill="1" applyAlignment="1">
      <alignment vertical="center"/>
    </xf>
    <xf numFmtId="9" fontId="2" fillId="0" borderId="0" xfId="0" applyNumberFormat="1" applyFont="1"/>
    <xf numFmtId="9" fontId="2" fillId="0" borderId="0" xfId="4" applyFont="1" applyFill="1"/>
    <xf numFmtId="0" fontId="2" fillId="0" borderId="0" xfId="0" applyFont="1" applyAlignment="1">
      <alignment horizontal="right"/>
    </xf>
    <xf numFmtId="0" fontId="2" fillId="0" borderId="6" xfId="0" applyFont="1" applyBorder="1"/>
    <xf numFmtId="164" fontId="2" fillId="0" borderId="6" xfId="2" applyNumberFormat="1" applyFont="1" applyFill="1" applyBorder="1"/>
    <xf numFmtId="43" fontId="2" fillId="0" borderId="6" xfId="1" applyFont="1" applyFill="1" applyBorder="1"/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2" applyNumberFormat="1" applyFont="1" applyFill="1" applyBorder="1" applyAlignment="1">
      <alignment vertical="center"/>
    </xf>
    <xf numFmtId="10" fontId="2" fillId="0" borderId="4" xfId="4" applyNumberFormat="1" applyFont="1" applyFill="1" applyBorder="1" applyAlignment="1">
      <alignment vertical="center"/>
    </xf>
    <xf numFmtId="44" fontId="2" fillId="0" borderId="0" xfId="0" applyNumberFormat="1" applyFont="1"/>
    <xf numFmtId="4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70" fontId="2" fillId="0" borderId="0" xfId="0" applyNumberFormat="1" applyFont="1"/>
    <xf numFmtId="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71" fontId="2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72" fontId="2" fillId="0" borderId="0" xfId="1" applyNumberFormat="1" applyFont="1" applyFill="1"/>
    <xf numFmtId="164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/>
    <xf numFmtId="10" fontId="2" fillId="0" borderId="0" xfId="4" applyNumberFormat="1" applyFont="1" applyFill="1" applyBorder="1" applyAlignment="1">
      <alignment vertical="center"/>
    </xf>
    <xf numFmtId="10" fontId="2" fillId="0" borderId="0" xfId="0" applyNumberFormat="1" applyFont="1"/>
    <xf numFmtId="173" fontId="2" fillId="0" borderId="0" xfId="0" applyNumberFormat="1" applyFont="1"/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Layout" zoomScaleNormal="100" workbookViewId="0"/>
  </sheetViews>
  <sheetFormatPr defaultColWidth="9.140625" defaultRowHeight="12.75" x14ac:dyDescent="0.2"/>
  <cols>
    <col min="1" max="1" width="5.85546875" style="1" customWidth="1"/>
    <col min="2" max="2" width="2.28515625" style="1" customWidth="1"/>
    <col min="3" max="3" width="13.28515625" style="1" customWidth="1"/>
    <col min="4" max="4" width="10.85546875" style="1" customWidth="1"/>
    <col min="5" max="5" width="4.140625" style="1" customWidth="1"/>
    <col min="6" max="6" width="16.7109375" style="1" customWidth="1"/>
    <col min="7" max="7" width="15.28515625" style="1" customWidth="1"/>
    <col min="8" max="11" width="12.5703125" style="1" customWidth="1"/>
    <col min="12" max="12" width="14.85546875" style="1" customWidth="1"/>
    <col min="13" max="16384" width="9.140625" style="1"/>
  </cols>
  <sheetData>
    <row r="1" spans="1:13" x14ac:dyDescent="0.2">
      <c r="L1" s="2" t="s">
        <v>0</v>
      </c>
    </row>
    <row r="3" spans="1:13" x14ac:dyDescent="0.2">
      <c r="L3" s="2"/>
    </row>
    <row r="4" spans="1:13" x14ac:dyDescent="0.2">
      <c r="A4" s="86" t="s">
        <v>138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x14ac:dyDescent="0.2">
      <c r="A5" s="86" t="s">
        <v>139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9" spans="1:13" ht="38.25" x14ac:dyDescent="0.2">
      <c r="A9" s="4" t="s">
        <v>2</v>
      </c>
      <c r="C9" s="4" t="s">
        <v>3</v>
      </c>
      <c r="D9" s="4" t="s">
        <v>4</v>
      </c>
      <c r="E9" s="4"/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4" t="s">
        <v>11</v>
      </c>
    </row>
    <row r="10" spans="1:13" x14ac:dyDescent="0.2">
      <c r="A10" s="6" t="s">
        <v>12</v>
      </c>
      <c r="C10" s="7" t="s">
        <v>13</v>
      </c>
      <c r="D10" s="7" t="s">
        <v>14</v>
      </c>
      <c r="E10" s="4"/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7" t="s">
        <v>21</v>
      </c>
    </row>
    <row r="11" spans="1:13" x14ac:dyDescent="0.2">
      <c r="A11" s="4"/>
    </row>
    <row r="12" spans="1:13" x14ac:dyDescent="0.2">
      <c r="A12" s="4"/>
    </row>
    <row r="13" spans="1:13" x14ac:dyDescent="0.2">
      <c r="A13" s="4">
        <v>1</v>
      </c>
      <c r="C13" s="4">
        <v>2022</v>
      </c>
      <c r="D13" s="4" t="s">
        <v>22</v>
      </c>
      <c r="E13" s="8"/>
      <c r="F13" s="9">
        <v>23869</v>
      </c>
      <c r="G13" s="9">
        <v>51</v>
      </c>
      <c r="H13" s="9">
        <v>524</v>
      </c>
      <c r="I13" s="9">
        <v>54</v>
      </c>
      <c r="J13" s="9">
        <v>304</v>
      </c>
      <c r="K13" s="9">
        <v>237</v>
      </c>
      <c r="L13" s="10"/>
    </row>
    <row r="14" spans="1:13" x14ac:dyDescent="0.2">
      <c r="A14" s="4">
        <v>2</v>
      </c>
      <c r="C14" s="4">
        <v>2022</v>
      </c>
      <c r="D14" s="4" t="s">
        <v>23</v>
      </c>
      <c r="E14" s="8"/>
      <c r="F14" s="9">
        <v>23869</v>
      </c>
      <c r="G14" s="9">
        <v>50</v>
      </c>
      <c r="H14" s="9">
        <v>523</v>
      </c>
      <c r="I14" s="9">
        <v>54</v>
      </c>
      <c r="J14" s="9">
        <v>310</v>
      </c>
      <c r="K14" s="9">
        <v>235</v>
      </c>
    </row>
    <row r="15" spans="1:13" x14ac:dyDescent="0.2">
      <c r="A15" s="4">
        <v>3</v>
      </c>
      <c r="C15" s="4">
        <v>2022</v>
      </c>
      <c r="D15" s="4" t="s">
        <v>24</v>
      </c>
      <c r="E15" s="8"/>
      <c r="F15" s="9">
        <v>23979</v>
      </c>
      <c r="G15" s="9">
        <v>52</v>
      </c>
      <c r="H15" s="9">
        <v>536</v>
      </c>
      <c r="I15" s="9">
        <v>56</v>
      </c>
      <c r="J15" s="9">
        <v>316</v>
      </c>
      <c r="K15" s="9">
        <v>238</v>
      </c>
    </row>
    <row r="16" spans="1:13" x14ac:dyDescent="0.2">
      <c r="A16" s="4">
        <v>4</v>
      </c>
      <c r="C16" s="4">
        <v>2022</v>
      </c>
      <c r="D16" s="4" t="s">
        <v>25</v>
      </c>
      <c r="E16" s="8"/>
      <c r="F16" s="9">
        <v>23914</v>
      </c>
      <c r="G16" s="9">
        <v>51</v>
      </c>
      <c r="H16" s="9">
        <v>524</v>
      </c>
      <c r="I16" s="9">
        <v>58</v>
      </c>
      <c r="J16" s="9">
        <v>316</v>
      </c>
      <c r="K16" s="9">
        <v>242</v>
      </c>
    </row>
    <row r="17" spans="1:12" x14ac:dyDescent="0.2">
      <c r="A17" s="4">
        <v>5</v>
      </c>
      <c r="C17" s="4">
        <v>2022</v>
      </c>
      <c r="D17" s="4" t="s">
        <v>26</v>
      </c>
      <c r="E17" s="8"/>
      <c r="F17" s="9">
        <v>24028</v>
      </c>
      <c r="G17" s="9">
        <v>51</v>
      </c>
      <c r="H17" s="9">
        <v>537</v>
      </c>
      <c r="I17" s="9">
        <v>60</v>
      </c>
      <c r="J17" s="9">
        <v>314</v>
      </c>
      <c r="K17" s="9">
        <v>240</v>
      </c>
    </row>
    <row r="18" spans="1:12" x14ac:dyDescent="0.2">
      <c r="A18" s="4">
        <v>6</v>
      </c>
      <c r="C18" s="4">
        <v>2022</v>
      </c>
      <c r="D18" s="4" t="s">
        <v>27</v>
      </c>
      <c r="E18" s="8"/>
      <c r="F18" s="9">
        <v>23920</v>
      </c>
      <c r="G18" s="9">
        <v>51</v>
      </c>
      <c r="H18" s="9">
        <v>511</v>
      </c>
      <c r="I18" s="9">
        <v>60</v>
      </c>
      <c r="J18" s="9">
        <v>311</v>
      </c>
      <c r="K18" s="9">
        <v>242</v>
      </c>
    </row>
    <row r="19" spans="1:12" x14ac:dyDescent="0.2">
      <c r="A19" s="4">
        <v>7</v>
      </c>
      <c r="C19" s="4">
        <v>2022</v>
      </c>
      <c r="D19" s="4" t="s">
        <v>28</v>
      </c>
      <c r="E19" s="8"/>
      <c r="F19" s="9">
        <v>24068</v>
      </c>
      <c r="G19" s="9">
        <v>53</v>
      </c>
      <c r="H19" s="9">
        <v>517</v>
      </c>
      <c r="I19" s="9">
        <v>63</v>
      </c>
      <c r="J19" s="9">
        <v>313</v>
      </c>
      <c r="K19" s="9">
        <v>242</v>
      </c>
    </row>
    <row r="20" spans="1:12" x14ac:dyDescent="0.2">
      <c r="A20" s="4">
        <v>8</v>
      </c>
      <c r="C20" s="4">
        <v>2022</v>
      </c>
      <c r="D20" s="4" t="s">
        <v>29</v>
      </c>
      <c r="E20" s="8"/>
      <c r="F20" s="9">
        <v>24150</v>
      </c>
      <c r="G20" s="9">
        <v>51</v>
      </c>
      <c r="H20" s="9">
        <v>519</v>
      </c>
      <c r="I20" s="9">
        <v>64</v>
      </c>
      <c r="J20" s="9">
        <v>312</v>
      </c>
      <c r="K20" s="9">
        <v>243</v>
      </c>
    </row>
    <row r="21" spans="1:12" x14ac:dyDescent="0.2">
      <c r="A21" s="4">
        <v>9</v>
      </c>
      <c r="C21" s="4">
        <v>2022</v>
      </c>
      <c r="D21" s="4" t="s">
        <v>30</v>
      </c>
      <c r="E21" s="8"/>
      <c r="F21" s="9">
        <v>24089</v>
      </c>
      <c r="G21" s="9">
        <v>52</v>
      </c>
      <c r="H21" s="9">
        <v>514</v>
      </c>
      <c r="I21" s="9">
        <v>65</v>
      </c>
      <c r="J21" s="9">
        <v>311</v>
      </c>
      <c r="K21" s="9">
        <v>244</v>
      </c>
    </row>
    <row r="22" spans="1:12" x14ac:dyDescent="0.2">
      <c r="A22" s="4">
        <v>10</v>
      </c>
      <c r="C22" s="4">
        <v>2022</v>
      </c>
      <c r="D22" s="4" t="s">
        <v>31</v>
      </c>
      <c r="E22" s="8"/>
      <c r="F22" s="9">
        <v>24122</v>
      </c>
      <c r="G22" s="9">
        <v>51</v>
      </c>
      <c r="H22" s="9">
        <v>513</v>
      </c>
      <c r="I22" s="9">
        <v>66</v>
      </c>
      <c r="J22" s="9">
        <v>312</v>
      </c>
      <c r="K22" s="9">
        <v>246</v>
      </c>
    </row>
    <row r="23" spans="1:12" x14ac:dyDescent="0.2">
      <c r="A23" s="4">
        <v>11</v>
      </c>
      <c r="C23" s="4">
        <v>2022</v>
      </c>
      <c r="D23" s="4" t="s">
        <v>32</v>
      </c>
      <c r="E23" s="8"/>
      <c r="F23" s="9">
        <v>24213</v>
      </c>
      <c r="G23" s="9">
        <v>50</v>
      </c>
      <c r="H23" s="9">
        <v>528</v>
      </c>
      <c r="I23" s="9">
        <v>67</v>
      </c>
      <c r="J23" s="9">
        <v>314</v>
      </c>
      <c r="K23" s="9">
        <v>249</v>
      </c>
    </row>
    <row r="24" spans="1:12" x14ac:dyDescent="0.2">
      <c r="A24" s="4">
        <v>12</v>
      </c>
      <c r="C24" s="4">
        <v>2022</v>
      </c>
      <c r="D24" s="4" t="s">
        <v>33</v>
      </c>
      <c r="E24" s="8"/>
      <c r="F24" s="9">
        <v>24278</v>
      </c>
      <c r="G24" s="9">
        <v>50</v>
      </c>
      <c r="H24" s="9">
        <v>530</v>
      </c>
      <c r="I24" s="9">
        <v>66</v>
      </c>
      <c r="J24" s="9">
        <v>313</v>
      </c>
      <c r="K24" s="9">
        <v>247</v>
      </c>
    </row>
    <row r="25" spans="1:12" x14ac:dyDescent="0.2">
      <c r="A25" s="4">
        <v>13</v>
      </c>
      <c r="C25" s="11" t="s">
        <v>34</v>
      </c>
      <c r="D25" s="12"/>
      <c r="E25" s="13"/>
      <c r="F25" s="14">
        <f t="shared" ref="F25:K25" si="0">ROUND(AVERAGE(F13:F24),0)</f>
        <v>24042</v>
      </c>
      <c r="G25" s="14">
        <f t="shared" si="0"/>
        <v>51</v>
      </c>
      <c r="H25" s="14">
        <f t="shared" si="0"/>
        <v>523</v>
      </c>
      <c r="I25" s="14">
        <f t="shared" si="0"/>
        <v>61</v>
      </c>
      <c r="J25" s="14">
        <f t="shared" si="0"/>
        <v>312</v>
      </c>
      <c r="K25" s="14">
        <f t="shared" si="0"/>
        <v>242</v>
      </c>
    </row>
    <row r="26" spans="1:12" x14ac:dyDescent="0.2">
      <c r="A26" s="4">
        <v>14</v>
      </c>
    </row>
    <row r="27" spans="1:12" x14ac:dyDescent="0.2">
      <c r="A27" s="4">
        <v>15</v>
      </c>
      <c r="C27" s="15" t="s">
        <v>35</v>
      </c>
      <c r="E27" s="13"/>
      <c r="F27" s="16">
        <f>F24-F25</f>
        <v>236</v>
      </c>
      <c r="G27" s="16">
        <f t="shared" ref="G27:K27" si="1">G24-G25</f>
        <v>-1</v>
      </c>
      <c r="H27" s="16">
        <f t="shared" si="1"/>
        <v>7</v>
      </c>
      <c r="I27" s="16">
        <f t="shared" si="1"/>
        <v>5</v>
      </c>
      <c r="J27" s="16">
        <f t="shared" si="1"/>
        <v>1</v>
      </c>
      <c r="K27" s="16">
        <f t="shared" si="1"/>
        <v>5</v>
      </c>
    </row>
    <row r="28" spans="1:12" x14ac:dyDescent="0.2">
      <c r="A28" s="4">
        <v>16</v>
      </c>
      <c r="D28" s="4"/>
      <c r="E28" s="13"/>
      <c r="F28" s="13"/>
      <c r="G28" s="13"/>
    </row>
    <row r="29" spans="1:12" x14ac:dyDescent="0.2">
      <c r="A29" s="4">
        <v>17</v>
      </c>
      <c r="C29" s="1" t="s">
        <v>36</v>
      </c>
      <c r="D29" s="4"/>
      <c r="E29" s="13"/>
      <c r="F29" s="16">
        <v>308135777</v>
      </c>
      <c r="G29" s="16">
        <v>909510</v>
      </c>
      <c r="H29" s="16">
        <v>7907545</v>
      </c>
      <c r="I29" s="16">
        <v>796690</v>
      </c>
      <c r="J29" s="16">
        <v>920624</v>
      </c>
      <c r="K29" s="16">
        <v>18017225</v>
      </c>
    </row>
    <row r="30" spans="1:12" x14ac:dyDescent="0.2">
      <c r="A30" s="4">
        <v>18</v>
      </c>
      <c r="C30" s="1" t="s">
        <v>37</v>
      </c>
      <c r="D30" s="4"/>
      <c r="E30" s="13"/>
      <c r="F30" s="16">
        <f>F29/F25</f>
        <v>12816.561725314034</v>
      </c>
      <c r="G30" s="16">
        <f t="shared" ref="G30:K30" si="2">G29/G25</f>
        <v>17833.529411764706</v>
      </c>
      <c r="H30" s="16">
        <f t="shared" si="2"/>
        <v>15119.588910133843</v>
      </c>
      <c r="I30" s="16">
        <f t="shared" si="2"/>
        <v>13060.491803278688</v>
      </c>
      <c r="J30" s="16">
        <f t="shared" si="2"/>
        <v>2950.7179487179487</v>
      </c>
      <c r="K30" s="16">
        <f t="shared" si="2"/>
        <v>74451.342975206615</v>
      </c>
    </row>
    <row r="31" spans="1:12" x14ac:dyDescent="0.2">
      <c r="A31" s="4">
        <v>19</v>
      </c>
      <c r="C31" s="1" t="s">
        <v>38</v>
      </c>
      <c r="D31" s="4"/>
      <c r="E31" s="13"/>
      <c r="F31" s="16">
        <f>F30*F27</f>
        <v>3024708.567174112</v>
      </c>
      <c r="G31" s="16">
        <f t="shared" ref="G31:K31" si="3">G30*G27</f>
        <v>-17833.529411764706</v>
      </c>
      <c r="H31" s="16">
        <f t="shared" si="3"/>
        <v>105837.12237093691</v>
      </c>
      <c r="I31" s="16">
        <f t="shared" si="3"/>
        <v>65302.459016393441</v>
      </c>
      <c r="J31" s="16">
        <f t="shared" si="3"/>
        <v>2950.7179487179487</v>
      </c>
      <c r="K31" s="16">
        <f t="shared" si="3"/>
        <v>372256.71487603307</v>
      </c>
      <c r="L31" s="10">
        <f>SUM(F31:K31)</f>
        <v>3553222.0519744284</v>
      </c>
    </row>
    <row r="32" spans="1:12" x14ac:dyDescent="0.2">
      <c r="A32" s="4">
        <v>20</v>
      </c>
      <c r="D32" s="4"/>
      <c r="E32" s="13"/>
      <c r="F32" s="13"/>
      <c r="G32" s="13"/>
    </row>
    <row r="33" spans="1:12" x14ac:dyDescent="0.2">
      <c r="A33" s="4"/>
      <c r="C33" s="1" t="s">
        <v>39</v>
      </c>
      <c r="D33" s="4"/>
      <c r="E33" s="13"/>
      <c r="F33" s="13"/>
      <c r="G33" s="13"/>
    </row>
    <row r="34" spans="1:12" x14ac:dyDescent="0.2">
      <c r="A34" s="4">
        <v>21</v>
      </c>
      <c r="C34" s="17" t="s">
        <v>40</v>
      </c>
      <c r="D34" s="4"/>
      <c r="E34" s="13"/>
      <c r="F34" s="13"/>
      <c r="G34" s="13"/>
    </row>
    <row r="35" spans="1:12" x14ac:dyDescent="0.2">
      <c r="A35" s="4">
        <v>22</v>
      </c>
      <c r="C35" s="1" t="s">
        <v>41</v>
      </c>
      <c r="D35" s="4"/>
      <c r="E35" s="13"/>
      <c r="F35" s="13">
        <v>29830319.829999998</v>
      </c>
      <c r="G35" s="13">
        <v>74473.539999999994</v>
      </c>
      <c r="H35" s="8">
        <v>777392.23</v>
      </c>
      <c r="I35" s="8">
        <v>57425.599999999999</v>
      </c>
      <c r="J35" s="8">
        <v>123479.03999999999</v>
      </c>
      <c r="K35" s="8">
        <v>1283474.82</v>
      </c>
    </row>
    <row r="36" spans="1:12" x14ac:dyDescent="0.2">
      <c r="A36" s="4">
        <v>23</v>
      </c>
      <c r="C36" s="1" t="s">
        <v>42</v>
      </c>
      <c r="D36" s="4"/>
      <c r="E36" s="13"/>
      <c r="F36" s="20">
        <f>F35/F29</f>
        <v>9.6809011015945731E-2</v>
      </c>
      <c r="G36" s="20">
        <f t="shared" ref="G36:K36" si="4">G35/G29</f>
        <v>8.1883145869754037E-2</v>
      </c>
      <c r="H36" s="20">
        <f t="shared" si="4"/>
        <v>9.8310187295804194E-2</v>
      </c>
      <c r="I36" s="20">
        <f t="shared" si="4"/>
        <v>7.2080231959733398E-2</v>
      </c>
      <c r="J36" s="20">
        <f t="shared" si="4"/>
        <v>0.13412537583204434</v>
      </c>
      <c r="K36" s="20">
        <f t="shared" si="4"/>
        <v>7.1235987783912338E-2</v>
      </c>
    </row>
    <row r="37" spans="1:12" x14ac:dyDescent="0.2">
      <c r="A37" s="4">
        <v>24</v>
      </c>
      <c r="C37" s="1" t="s">
        <v>43</v>
      </c>
      <c r="D37" s="4"/>
      <c r="E37" s="13"/>
      <c r="F37" s="13">
        <f>F36*F31</f>
        <v>292819.04499958403</v>
      </c>
      <c r="G37" s="13">
        <f t="shared" ref="G37:K37" si="5">G36*G31</f>
        <v>-1460.2654901960784</v>
      </c>
      <c r="H37" s="13">
        <f t="shared" si="5"/>
        <v>10404.867323135755</v>
      </c>
      <c r="I37" s="13">
        <f t="shared" si="5"/>
        <v>4707.0163934426228</v>
      </c>
      <c r="J37" s="13">
        <f t="shared" si="5"/>
        <v>395.76615384615383</v>
      </c>
      <c r="K37" s="13">
        <f t="shared" si="5"/>
        <v>26518.07479338843</v>
      </c>
      <c r="L37" s="10">
        <f>SUM(F37:K37)</f>
        <v>333384.50417320098</v>
      </c>
    </row>
    <row r="38" spans="1:12" x14ac:dyDescent="0.2">
      <c r="A38" s="4">
        <v>25</v>
      </c>
      <c r="D38" s="4"/>
      <c r="E38" s="13"/>
      <c r="F38" s="13"/>
      <c r="G38" s="13"/>
      <c r="H38" s="13"/>
      <c r="I38" s="13"/>
      <c r="J38" s="13"/>
      <c r="K38" s="13"/>
    </row>
    <row r="39" spans="1:12" x14ac:dyDescent="0.2">
      <c r="A39" s="4">
        <v>26</v>
      </c>
      <c r="C39" s="17" t="s">
        <v>44</v>
      </c>
      <c r="D39" s="4"/>
      <c r="E39" s="13"/>
      <c r="F39" s="13"/>
      <c r="G39" s="13"/>
      <c r="H39" s="13"/>
      <c r="I39" s="13"/>
      <c r="J39" s="13"/>
      <c r="K39" s="13"/>
    </row>
    <row r="40" spans="1:12" x14ac:dyDescent="0.2">
      <c r="A40" s="4">
        <v>27</v>
      </c>
      <c r="C40" s="1" t="s">
        <v>45</v>
      </c>
      <c r="D40" s="4"/>
      <c r="E40" s="13"/>
      <c r="F40" s="21">
        <f>G56/G57</f>
        <v>5.8334485077380996E-2</v>
      </c>
      <c r="G40" s="21">
        <f>F40</f>
        <v>5.8334485077380996E-2</v>
      </c>
      <c r="H40" s="21">
        <f t="shared" ref="H40:K40" si="6">G40</f>
        <v>5.8334485077380996E-2</v>
      </c>
      <c r="I40" s="21">
        <f t="shared" si="6"/>
        <v>5.8334485077380996E-2</v>
      </c>
      <c r="J40" s="21">
        <f t="shared" si="6"/>
        <v>5.8334485077380996E-2</v>
      </c>
      <c r="K40" s="21">
        <f t="shared" si="6"/>
        <v>5.8334485077380996E-2</v>
      </c>
    </row>
    <row r="41" spans="1:12" x14ac:dyDescent="0.2">
      <c r="A41" s="4">
        <v>28</v>
      </c>
      <c r="C41" s="1" t="s">
        <v>46</v>
      </c>
      <c r="D41" s="4"/>
      <c r="E41" s="13"/>
      <c r="F41" s="13">
        <f>F40*F31</f>
        <v>176444.81677524469</v>
      </c>
      <c r="G41" s="13">
        <f>G40*G31</f>
        <v>-1040.3097553476234</v>
      </c>
      <c r="H41" s="13">
        <f t="shared" ref="H41:K41" si="7">H40*H31</f>
        <v>6173.9540355803656</v>
      </c>
      <c r="I41" s="13">
        <f t="shared" si="7"/>
        <v>3809.3853210080874</v>
      </c>
      <c r="J41" s="13">
        <f t="shared" si="7"/>
        <v>172.12861214704745</v>
      </c>
      <c r="K41" s="13">
        <f t="shared" si="7"/>
        <v>21715.403778890824</v>
      </c>
      <c r="L41" s="10">
        <f>SUM(F41:K41)</f>
        <v>207275.37876752339</v>
      </c>
    </row>
    <row r="42" spans="1:12" ht="13.5" thickBot="1" x14ac:dyDescent="0.25">
      <c r="A42" s="4">
        <v>29</v>
      </c>
      <c r="C42" s="22"/>
      <c r="D42" s="23"/>
      <c r="E42" s="24"/>
      <c r="F42" s="24"/>
      <c r="G42" s="24"/>
      <c r="H42" s="24"/>
      <c r="I42" s="24"/>
      <c r="J42" s="24"/>
      <c r="K42" s="24"/>
      <c r="L42" s="22"/>
    </row>
    <row r="43" spans="1:12" ht="13.5" thickTop="1" x14ac:dyDescent="0.2">
      <c r="A43" s="4">
        <v>30</v>
      </c>
      <c r="D43" s="4"/>
      <c r="E43" s="13"/>
    </row>
    <row r="44" spans="1:12" x14ac:dyDescent="0.2">
      <c r="A44" s="4">
        <v>31</v>
      </c>
      <c r="E44" s="13"/>
      <c r="F44" s="25" t="s">
        <v>47</v>
      </c>
      <c r="G44" s="25" t="s">
        <v>48</v>
      </c>
    </row>
    <row r="45" spans="1:12" x14ac:dyDescent="0.2">
      <c r="A45" s="4">
        <v>32</v>
      </c>
      <c r="C45" s="1" t="s">
        <v>49</v>
      </c>
      <c r="E45" s="13"/>
      <c r="F45" s="13">
        <v>0</v>
      </c>
      <c r="G45" s="13">
        <v>0</v>
      </c>
    </row>
    <row r="46" spans="1:12" x14ac:dyDescent="0.2">
      <c r="A46" s="4">
        <v>33</v>
      </c>
      <c r="E46" s="13"/>
      <c r="F46" s="13"/>
    </row>
    <row r="47" spans="1:12" x14ac:dyDescent="0.2">
      <c r="A47" s="4">
        <v>34</v>
      </c>
      <c r="C47" s="1" t="s">
        <v>50</v>
      </c>
      <c r="E47" s="8"/>
      <c r="F47" s="8">
        <f>L37</f>
        <v>333384.50417320098</v>
      </c>
      <c r="G47" s="8">
        <f>L41</f>
        <v>207275.37876752339</v>
      </c>
    </row>
    <row r="48" spans="1:12" x14ac:dyDescent="0.2">
      <c r="A48" s="4">
        <v>35</v>
      </c>
    </row>
    <row r="49" spans="1:12" ht="13.5" thickBot="1" x14ac:dyDescent="0.25">
      <c r="A49" s="4">
        <v>36</v>
      </c>
      <c r="C49" s="26" t="s">
        <v>51</v>
      </c>
      <c r="D49" s="26"/>
      <c r="E49" s="27"/>
      <c r="F49" s="28">
        <f>ROUND(F47-F45,2)</f>
        <v>333384.5</v>
      </c>
      <c r="G49" s="28">
        <f>ROUND(G47-G45,2)</f>
        <v>207275.38</v>
      </c>
    </row>
    <row r="50" spans="1:12" ht="13.5" thickTop="1" x14ac:dyDescent="0.2">
      <c r="A50" s="4">
        <v>37</v>
      </c>
    </row>
    <row r="51" spans="1:12" x14ac:dyDescent="0.2">
      <c r="A51" s="4">
        <v>38</v>
      </c>
    </row>
    <row r="52" spans="1:12" x14ac:dyDescent="0.2">
      <c r="A52" s="4">
        <v>39</v>
      </c>
      <c r="C52" s="29" t="s">
        <v>52</v>
      </c>
      <c r="G52" s="30" t="s">
        <v>53</v>
      </c>
    </row>
    <row r="53" spans="1:12" x14ac:dyDescent="0.2">
      <c r="A53" s="4">
        <v>40</v>
      </c>
      <c r="C53" s="1" t="s">
        <v>54</v>
      </c>
      <c r="D53" s="4"/>
      <c r="E53" s="13"/>
      <c r="G53" s="13">
        <v>80627507</v>
      </c>
    </row>
    <row r="54" spans="1:12" x14ac:dyDescent="0.2">
      <c r="A54" s="4">
        <v>41</v>
      </c>
      <c r="C54" s="1" t="s">
        <v>55</v>
      </c>
      <c r="D54" s="4"/>
      <c r="E54" s="13"/>
      <c r="G54" s="13">
        <v>-11162273</v>
      </c>
    </row>
    <row r="55" spans="1:12" x14ac:dyDescent="0.2">
      <c r="A55" s="4">
        <v>42</v>
      </c>
      <c r="C55" s="1" t="s">
        <v>56</v>
      </c>
      <c r="D55" s="4"/>
      <c r="E55" s="13"/>
      <c r="G55" s="13">
        <v>-9613093</v>
      </c>
    </row>
    <row r="56" spans="1:12" x14ac:dyDescent="0.2">
      <c r="A56" s="4">
        <v>44</v>
      </c>
      <c r="C56" s="1" t="s">
        <v>57</v>
      </c>
      <c r="D56" s="4"/>
      <c r="E56" s="13"/>
      <c r="G56" s="13">
        <f>SUM(G53:G55)</f>
        <v>59852141</v>
      </c>
    </row>
    <row r="57" spans="1:12" x14ac:dyDescent="0.2">
      <c r="A57" s="4">
        <v>45</v>
      </c>
      <c r="C57" s="1" t="s">
        <v>58</v>
      </c>
      <c r="D57" s="4"/>
      <c r="E57" s="13"/>
      <c r="G57" s="16">
        <v>1026016445</v>
      </c>
    </row>
    <row r="59" spans="1:12" ht="27.6" customHeight="1" x14ac:dyDescent="0.2">
      <c r="C59" s="88" t="s">
        <v>59</v>
      </c>
      <c r="D59" s="88"/>
      <c r="E59" s="88"/>
      <c r="F59" s="88"/>
      <c r="G59" s="88"/>
      <c r="H59" s="88"/>
      <c r="I59" s="88"/>
      <c r="J59" s="88"/>
      <c r="K59" s="88"/>
      <c r="L59" s="88"/>
    </row>
    <row r="61" spans="1:12" x14ac:dyDescent="0.2">
      <c r="G61" s="31"/>
    </row>
    <row r="62" spans="1:12" x14ac:dyDescent="0.2">
      <c r="G62" s="10"/>
    </row>
  </sheetData>
  <mergeCells count="4">
    <mergeCell ref="A4:L4"/>
    <mergeCell ref="A5:L5"/>
    <mergeCell ref="A7:L7"/>
    <mergeCell ref="C59:L59"/>
  </mergeCells>
  <printOptions horizontalCentered="1"/>
  <pageMargins left="0.7" right="0.7" top="0.75" bottom="0.75" header="0.3" footer="0.3"/>
  <pageSetup scale="67" orientation="portrait" r:id="rId1"/>
  <headerFooter>
    <oddHeader>&amp;RExhibit GRM-1
 Page &amp;P of &amp;N</oddHeader>
    <oddFooter>&amp;RExhibit  JW-2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view="pageLayout" zoomScaleNormal="65" zoomScaleSheetLayoutView="75" workbookViewId="0"/>
  </sheetViews>
  <sheetFormatPr defaultColWidth="8.85546875" defaultRowHeight="12.75" x14ac:dyDescent="0.2"/>
  <cols>
    <col min="1" max="1" width="9.7109375" style="34" customWidth="1"/>
    <col min="2" max="2" width="32" style="1" customWidth="1"/>
    <col min="3" max="3" width="11.85546875" style="4" customWidth="1"/>
    <col min="4" max="4" width="31.5703125" style="1" bestFit="1" customWidth="1"/>
    <col min="5" max="5" width="14.42578125" style="1" bestFit="1" customWidth="1"/>
    <col min="6" max="6" width="10" style="1" bestFit="1" customWidth="1"/>
    <col min="7" max="7" width="15.28515625" style="1" bestFit="1" customWidth="1"/>
    <col min="8" max="8" width="10" style="1" bestFit="1" customWidth="1"/>
    <col min="9" max="9" width="14.42578125" style="1" bestFit="1" customWidth="1"/>
    <col min="10" max="10" width="13.140625" style="1" customWidth="1"/>
    <col min="11" max="11" width="7.85546875" style="1" customWidth="1"/>
    <col min="12" max="12" width="10.5703125" style="1" bestFit="1" customWidth="1"/>
    <col min="13" max="13" width="14.140625" style="1" customWidth="1"/>
    <col min="14" max="14" width="8.85546875" style="1"/>
    <col min="15" max="15" width="9.28515625" style="1" bestFit="1" customWidth="1"/>
    <col min="16" max="16" width="15.28515625" style="1" customWidth="1"/>
    <col min="17" max="16384" width="8.85546875" style="1"/>
  </cols>
  <sheetData>
    <row r="1" spans="1:17" x14ac:dyDescent="0.2">
      <c r="A1" s="32" t="s">
        <v>140</v>
      </c>
    </row>
    <row r="2" spans="1:17" ht="14.45" customHeight="1" x14ac:dyDescent="0.2">
      <c r="A2" s="32" t="s">
        <v>141</v>
      </c>
      <c r="G2" s="33"/>
    </row>
    <row r="3" spans="1:17" x14ac:dyDescent="0.2">
      <c r="L3" s="35">
        <f>J237</f>
        <v>-1603.9932218487374</v>
      </c>
    </row>
    <row r="5" spans="1:17" ht="38.450000000000003" customHeight="1" x14ac:dyDescent="0.2">
      <c r="A5" s="36" t="s">
        <v>12</v>
      </c>
      <c r="B5" s="36" t="s">
        <v>60</v>
      </c>
      <c r="C5" s="37" t="s">
        <v>61</v>
      </c>
      <c r="D5" s="36" t="s">
        <v>62</v>
      </c>
      <c r="E5" s="38" t="s">
        <v>63</v>
      </c>
      <c r="F5" s="38" t="s">
        <v>64</v>
      </c>
      <c r="G5" s="38" t="s">
        <v>65</v>
      </c>
      <c r="H5" s="38" t="s">
        <v>66</v>
      </c>
      <c r="I5" s="38" t="s">
        <v>67</v>
      </c>
      <c r="J5" s="38" t="s">
        <v>68</v>
      </c>
      <c r="K5" s="37" t="s">
        <v>69</v>
      </c>
    </row>
    <row r="6" spans="1:17" ht="30.6" customHeight="1" thickBot="1" x14ac:dyDescent="0.25">
      <c r="A6" s="39"/>
      <c r="B6" s="40"/>
      <c r="C6" s="41"/>
      <c r="D6" s="40"/>
      <c r="E6" s="42"/>
      <c r="F6" s="42"/>
      <c r="G6" s="42"/>
      <c r="H6" s="42"/>
      <c r="I6" s="42"/>
      <c r="J6" s="42"/>
      <c r="K6" s="41"/>
    </row>
    <row r="7" spans="1:17" x14ac:dyDescent="0.2">
      <c r="A7" s="15">
        <v>1</v>
      </c>
      <c r="B7" s="43" t="s">
        <v>5</v>
      </c>
      <c r="C7" s="44" t="s">
        <v>70</v>
      </c>
      <c r="D7" s="43"/>
      <c r="E7" s="43"/>
      <c r="F7" s="43"/>
      <c r="G7" s="43"/>
      <c r="H7" s="43"/>
      <c r="I7" s="43"/>
      <c r="J7" s="43"/>
      <c r="K7" s="43"/>
    </row>
    <row r="8" spans="1:17" x14ac:dyDescent="0.2">
      <c r="A8" s="15">
        <f>A7+1</f>
        <v>2</v>
      </c>
      <c r="D8" s="1" t="s">
        <v>71</v>
      </c>
      <c r="E8" s="9">
        <v>288499</v>
      </c>
      <c r="F8" s="45">
        <v>15.57</v>
      </c>
      <c r="G8" s="8">
        <f>F8*E8</f>
        <v>4491929.43</v>
      </c>
      <c r="H8" s="45">
        <v>19.5</v>
      </c>
      <c r="I8" s="8">
        <f>H8*E8</f>
        <v>5625730.5</v>
      </c>
      <c r="J8" s="8">
        <f t="shared" ref="J8:J13" si="0">I8-G8</f>
        <v>1133801.0700000003</v>
      </c>
      <c r="K8" s="46">
        <f>IF(G8=0,0,J8/G8)</f>
        <v>0.25240847784200393</v>
      </c>
    </row>
    <row r="9" spans="1:17" x14ac:dyDescent="0.2">
      <c r="A9" s="15">
        <f t="shared" ref="A9:A72" si="1">A8+1</f>
        <v>3</v>
      </c>
      <c r="B9" s="45"/>
      <c r="D9" s="1" t="s">
        <v>72</v>
      </c>
      <c r="E9" s="9">
        <v>308135777</v>
      </c>
      <c r="F9" s="47">
        <v>8.3299999999999999E-2</v>
      </c>
      <c r="G9" s="8">
        <f>F9*E9</f>
        <v>25667710.224100001</v>
      </c>
      <c r="H9" s="47">
        <f>ROUND(F9*L9,5)</f>
        <v>8.831E-2</v>
      </c>
      <c r="I9" s="8">
        <f>H9*E9</f>
        <v>27211470.466869999</v>
      </c>
      <c r="J9" s="8">
        <f t="shared" si="0"/>
        <v>1543760.2427699976</v>
      </c>
      <c r="K9" s="46">
        <f>IF(G9=0,0,J9/G9)</f>
        <v>6.014405762304912E-2</v>
      </c>
      <c r="L9" s="48">
        <v>1.0601</v>
      </c>
    </row>
    <row r="10" spans="1:17" s="34" customFormat="1" ht="20.45" customHeight="1" x14ac:dyDescent="0.2">
      <c r="A10" s="15">
        <f t="shared" si="1"/>
        <v>4</v>
      </c>
      <c r="C10" s="49"/>
      <c r="D10" s="50" t="s">
        <v>73</v>
      </c>
      <c r="E10" s="50"/>
      <c r="F10" s="50"/>
      <c r="G10" s="51">
        <f>SUM(G8:G9)</f>
        <v>30159639.654100001</v>
      </c>
      <c r="H10" s="50"/>
      <c r="I10" s="51">
        <f>SUM(I8:I9)</f>
        <v>32837200.966869999</v>
      </c>
      <c r="J10" s="51">
        <f t="shared" si="0"/>
        <v>2677561.3127699979</v>
      </c>
      <c r="K10" s="52">
        <f>J10/G10</f>
        <v>8.8779618837587851E-2</v>
      </c>
      <c r="L10" s="53">
        <f>K10/G10</f>
        <v>2.9436564844871696E-9</v>
      </c>
      <c r="M10" s="1"/>
      <c r="O10" s="1"/>
      <c r="P10" s="1"/>
      <c r="Q10" s="1"/>
    </row>
    <row r="11" spans="1:17" x14ac:dyDescent="0.2">
      <c r="A11" s="15">
        <f t="shared" si="1"/>
        <v>5</v>
      </c>
      <c r="D11" s="1" t="s">
        <v>74</v>
      </c>
      <c r="G11" s="35">
        <v>4192666.4299999997</v>
      </c>
      <c r="I11" s="8">
        <f>G11</f>
        <v>4192666.4299999997</v>
      </c>
      <c r="J11" s="8">
        <f t="shared" si="0"/>
        <v>0</v>
      </c>
      <c r="K11" s="45">
        <v>0</v>
      </c>
      <c r="O11" s="54"/>
      <c r="P11" s="55"/>
      <c r="Q11" s="34"/>
    </row>
    <row r="12" spans="1:17" x14ac:dyDescent="0.2">
      <c r="A12" s="15">
        <f t="shared" si="1"/>
        <v>6</v>
      </c>
      <c r="D12" s="1" t="s">
        <v>75</v>
      </c>
      <c r="G12" s="35">
        <v>2756531.79</v>
      </c>
      <c r="I12" s="8">
        <f>G12</f>
        <v>2756531.79</v>
      </c>
      <c r="J12" s="8">
        <f t="shared" si="0"/>
        <v>0</v>
      </c>
      <c r="K12" s="45">
        <v>0</v>
      </c>
      <c r="O12" s="56"/>
      <c r="P12" s="45"/>
    </row>
    <row r="13" spans="1:17" x14ac:dyDescent="0.2">
      <c r="A13" s="15">
        <f t="shared" si="1"/>
        <v>7</v>
      </c>
      <c r="D13" s="1" t="s">
        <v>76</v>
      </c>
      <c r="E13" s="9"/>
      <c r="G13" s="35">
        <v>-3279.37</v>
      </c>
      <c r="I13" s="8">
        <f>G13</f>
        <v>-3279.37</v>
      </c>
      <c r="J13" s="8">
        <f t="shared" si="0"/>
        <v>0</v>
      </c>
      <c r="K13" s="45">
        <v>0</v>
      </c>
      <c r="O13" s="57"/>
      <c r="P13" s="45"/>
    </row>
    <row r="14" spans="1:17" x14ac:dyDescent="0.2">
      <c r="A14" s="15">
        <f t="shared" si="1"/>
        <v>8</v>
      </c>
      <c r="B14" s="58"/>
      <c r="D14" s="1" t="s">
        <v>77</v>
      </c>
      <c r="G14" s="35">
        <v>462</v>
      </c>
      <c r="I14" s="8">
        <f>G14</f>
        <v>462</v>
      </c>
      <c r="J14" s="8"/>
      <c r="K14" s="45">
        <v>0</v>
      </c>
      <c r="O14" s="57"/>
      <c r="P14" s="45"/>
    </row>
    <row r="15" spans="1:17" x14ac:dyDescent="0.2">
      <c r="A15" s="15">
        <f t="shared" si="1"/>
        <v>9</v>
      </c>
      <c r="D15" s="59" t="s">
        <v>78</v>
      </c>
      <c r="E15" s="59"/>
      <c r="F15" s="59"/>
      <c r="G15" s="60">
        <f>SUM(G11:G14)</f>
        <v>6946380.8499999996</v>
      </c>
      <c r="H15" s="59"/>
      <c r="I15" s="60">
        <f>SUM(I11:I14)</f>
        <v>6946380.8499999996</v>
      </c>
      <c r="J15" s="60">
        <f>I15-G15</f>
        <v>0</v>
      </c>
      <c r="K15" s="61">
        <f>J15/G15</f>
        <v>0</v>
      </c>
      <c r="O15" s="53"/>
      <c r="P15" s="55"/>
    </row>
    <row r="16" spans="1:17" s="34" customFormat="1" ht="26.45" customHeight="1" thickBot="1" x14ac:dyDescent="0.25">
      <c r="A16" s="15">
        <f t="shared" si="1"/>
        <v>10</v>
      </c>
      <c r="C16" s="49"/>
      <c r="D16" s="62" t="s">
        <v>79</v>
      </c>
      <c r="E16" s="62"/>
      <c r="F16" s="62"/>
      <c r="G16" s="63">
        <f>G15+G10</f>
        <v>37106020.504100002</v>
      </c>
      <c r="H16" s="62"/>
      <c r="I16" s="64">
        <f>I15+I10</f>
        <v>39783581.816869996</v>
      </c>
      <c r="J16" s="64">
        <f>ROUND(I16-G16,2)</f>
        <v>2677561.31</v>
      </c>
      <c r="K16" s="65">
        <f>J16/G16</f>
        <v>7.2159753959715106E-2</v>
      </c>
      <c r="L16" s="53">
        <f>K16/G16</f>
        <v>1.94469126517466E-9</v>
      </c>
      <c r="M16" s="1"/>
      <c r="O16" s="56"/>
      <c r="P16" s="45"/>
      <c r="Q16" s="1"/>
    </row>
    <row r="17" spans="1:17" ht="13.5" thickTop="1" x14ac:dyDescent="0.2">
      <c r="A17" s="15">
        <f t="shared" si="1"/>
        <v>11</v>
      </c>
      <c r="D17" s="1" t="s">
        <v>34</v>
      </c>
      <c r="E17" s="9">
        <f>E9/E8</f>
        <v>1068.0653208503322</v>
      </c>
      <c r="G17" s="66">
        <f>G16/E8</f>
        <v>128.61750128804607</v>
      </c>
      <c r="I17" s="66">
        <f>I16/E8</f>
        <v>137.89850854550622</v>
      </c>
      <c r="J17" s="66">
        <f>I17-G17</f>
        <v>9.2810072574601463</v>
      </c>
      <c r="K17" s="46">
        <f>J17/G17</f>
        <v>7.2159754034365919E-2</v>
      </c>
      <c r="O17" s="53"/>
      <c r="P17" s="67"/>
      <c r="Q17" s="34"/>
    </row>
    <row r="18" spans="1:17" ht="13.5" thickBot="1" x14ac:dyDescent="0.25">
      <c r="A18" s="15">
        <f t="shared" si="1"/>
        <v>12</v>
      </c>
    </row>
    <row r="19" spans="1:17" x14ac:dyDescent="0.2">
      <c r="A19" s="15">
        <f t="shared" si="1"/>
        <v>13</v>
      </c>
      <c r="B19" s="43" t="s">
        <v>6</v>
      </c>
      <c r="C19" s="44" t="s">
        <v>80</v>
      </c>
      <c r="D19" s="43"/>
      <c r="E19" s="43"/>
      <c r="F19" s="43"/>
      <c r="G19" s="43"/>
      <c r="H19" s="43"/>
      <c r="I19" s="43"/>
      <c r="J19" s="43"/>
      <c r="K19" s="43"/>
    </row>
    <row r="20" spans="1:17" x14ac:dyDescent="0.2">
      <c r="A20" s="15">
        <f>A19+1</f>
        <v>14</v>
      </c>
      <c r="D20" s="1" t="s">
        <v>71</v>
      </c>
      <c r="E20" s="9">
        <v>613</v>
      </c>
      <c r="F20" s="45">
        <f>15.57</f>
        <v>15.57</v>
      </c>
      <c r="G20" s="8">
        <f>F20*E20</f>
        <v>9544.41</v>
      </c>
      <c r="H20" s="45">
        <f>H8</f>
        <v>19.5</v>
      </c>
      <c r="I20" s="8">
        <f>H20*E20</f>
        <v>11953.5</v>
      </c>
      <c r="J20" s="8">
        <f t="shared" ref="J20:J26" si="2">I20-G20</f>
        <v>2409.09</v>
      </c>
      <c r="K20" s="46">
        <f>IF(G20=0,0,J20/G20)</f>
        <v>0.25240847784200388</v>
      </c>
    </row>
    <row r="21" spans="1:17" x14ac:dyDescent="0.2">
      <c r="A21" s="15"/>
      <c r="D21" s="1" t="s">
        <v>72</v>
      </c>
      <c r="E21" s="9">
        <v>601479</v>
      </c>
      <c r="F21" s="48">
        <f>F9</f>
        <v>8.3299999999999999E-2</v>
      </c>
      <c r="G21" s="8">
        <f>F21*E21</f>
        <v>50103.200700000001</v>
      </c>
      <c r="H21" s="48">
        <f>H9</f>
        <v>8.831E-2</v>
      </c>
      <c r="I21" s="8">
        <f>H21*E21</f>
        <v>53116.610489999999</v>
      </c>
      <c r="J21" s="8">
        <f t="shared" si="2"/>
        <v>3013.4097899999979</v>
      </c>
      <c r="K21" s="46">
        <f>IF(G21=0,0,J21/G21)</f>
        <v>6.0144057623049176E-2</v>
      </c>
    </row>
    <row r="22" spans="1:17" x14ac:dyDescent="0.2">
      <c r="A22" s="15">
        <f>A19+1</f>
        <v>14</v>
      </c>
      <c r="C22" s="9"/>
      <c r="D22" s="1" t="s">
        <v>81</v>
      </c>
      <c r="E22" s="9">
        <v>308031</v>
      </c>
      <c r="F22" s="47">
        <v>5.0790000000000002E-2</v>
      </c>
      <c r="G22" s="8">
        <f>F22*E22</f>
        <v>15644.894490000001</v>
      </c>
      <c r="H22" s="47">
        <f>F22</f>
        <v>5.0790000000000002E-2</v>
      </c>
      <c r="I22" s="8">
        <f>H22*E22</f>
        <v>15644.894490000001</v>
      </c>
      <c r="J22" s="8">
        <f t="shared" si="2"/>
        <v>0</v>
      </c>
      <c r="K22" s="46">
        <f>IF(G22=0,0,J22/G22)</f>
        <v>0</v>
      </c>
    </row>
    <row r="23" spans="1:17" s="34" customFormat="1" ht="20.45" customHeight="1" x14ac:dyDescent="0.2">
      <c r="A23" s="15">
        <f t="shared" si="1"/>
        <v>15</v>
      </c>
      <c r="C23" s="49"/>
      <c r="D23" s="50" t="s">
        <v>73</v>
      </c>
      <c r="E23" s="50"/>
      <c r="F23" s="50"/>
      <c r="G23" s="51">
        <f>SUM(G20:G22)</f>
        <v>75292.505190000011</v>
      </c>
      <c r="H23" s="50"/>
      <c r="I23" s="51">
        <f>SUM(I20:I22)</f>
        <v>80715.004979999998</v>
      </c>
      <c r="J23" s="51">
        <f t="shared" si="2"/>
        <v>5422.4997899999871</v>
      </c>
      <c r="K23" s="52">
        <f>J23/G23</f>
        <v>7.2019117657412965E-2</v>
      </c>
      <c r="L23" s="53">
        <f>K23/G23</f>
        <v>9.5652439078329672E-7</v>
      </c>
      <c r="M23" s="1"/>
      <c r="O23" s="1"/>
    </row>
    <row r="24" spans="1:17" x14ac:dyDescent="0.2">
      <c r="A24" s="15">
        <f t="shared" si="1"/>
        <v>16</v>
      </c>
      <c r="B24" s="34"/>
      <c r="D24" s="1" t="s">
        <v>74</v>
      </c>
      <c r="G24" s="35">
        <v>12488.68</v>
      </c>
      <c r="I24" s="8">
        <f>G24</f>
        <v>12488.68</v>
      </c>
      <c r="J24" s="8">
        <f t="shared" si="2"/>
        <v>0</v>
      </c>
      <c r="K24" s="45">
        <v>0</v>
      </c>
    </row>
    <row r="25" spans="1:17" x14ac:dyDescent="0.2">
      <c r="A25" s="15">
        <f t="shared" si="1"/>
        <v>17</v>
      </c>
      <c r="B25" s="34"/>
      <c r="C25" s="1"/>
      <c r="D25" s="1" t="s">
        <v>75</v>
      </c>
      <c r="G25" s="35">
        <v>6633.0399999999991</v>
      </c>
      <c r="I25" s="8">
        <f>G25</f>
        <v>6633.0399999999991</v>
      </c>
      <c r="J25" s="8">
        <f t="shared" si="2"/>
        <v>0</v>
      </c>
      <c r="K25" s="45">
        <v>0</v>
      </c>
    </row>
    <row r="26" spans="1:17" x14ac:dyDescent="0.2">
      <c r="A26" s="15">
        <f t="shared" si="1"/>
        <v>18</v>
      </c>
      <c r="B26" s="34"/>
      <c r="D26" s="1" t="s">
        <v>82</v>
      </c>
      <c r="G26" s="35">
        <v>0</v>
      </c>
      <c r="I26" s="8">
        <f>G26</f>
        <v>0</v>
      </c>
      <c r="J26" s="8">
        <f t="shared" si="2"/>
        <v>0</v>
      </c>
      <c r="K26" s="45">
        <v>0</v>
      </c>
    </row>
    <row r="27" spans="1:17" x14ac:dyDescent="0.2">
      <c r="A27" s="15">
        <f t="shared" si="1"/>
        <v>19</v>
      </c>
      <c r="D27" s="1" t="s">
        <v>83</v>
      </c>
      <c r="G27" s="35">
        <v>0</v>
      </c>
      <c r="I27" s="8">
        <f>G27</f>
        <v>0</v>
      </c>
      <c r="J27" s="8"/>
      <c r="K27" s="45"/>
    </row>
    <row r="28" spans="1:17" x14ac:dyDescent="0.2">
      <c r="A28" s="15">
        <f t="shared" si="1"/>
        <v>20</v>
      </c>
      <c r="D28" s="59" t="s">
        <v>78</v>
      </c>
      <c r="E28" s="59"/>
      <c r="F28" s="59"/>
      <c r="G28" s="60">
        <f>SUM(G24:G27)</f>
        <v>19121.72</v>
      </c>
      <c r="H28" s="59"/>
      <c r="I28" s="60">
        <f>SUM(I24:I27)</f>
        <v>19121.72</v>
      </c>
      <c r="J28" s="60">
        <f>I28-G28</f>
        <v>0</v>
      </c>
      <c r="K28" s="61">
        <f>J28/G28</f>
        <v>0</v>
      </c>
    </row>
    <row r="29" spans="1:17" s="34" customFormat="1" ht="26.45" customHeight="1" thickBot="1" x14ac:dyDescent="0.25">
      <c r="A29" s="15">
        <f t="shared" si="1"/>
        <v>21</v>
      </c>
      <c r="C29" s="49"/>
      <c r="D29" s="62" t="s">
        <v>79</v>
      </c>
      <c r="E29" s="62"/>
      <c r="F29" s="62"/>
      <c r="G29" s="63">
        <f>G28+G23</f>
        <v>94414.225190000012</v>
      </c>
      <c r="H29" s="62"/>
      <c r="I29" s="64">
        <f>I28+I23</f>
        <v>99836.724979999999</v>
      </c>
      <c r="J29" s="64">
        <f>ROUND(I29-G29,2)</f>
        <v>5422.5</v>
      </c>
      <c r="K29" s="65">
        <f>J29/G29</f>
        <v>5.7433082664055272E-2</v>
      </c>
      <c r="L29" s="53">
        <f>K29/G29</f>
        <v>6.0830963288081258E-7</v>
      </c>
      <c r="M29" s="1"/>
    </row>
    <row r="30" spans="1:17" ht="13.5" thickTop="1" x14ac:dyDescent="0.2">
      <c r="A30" s="15">
        <f t="shared" si="1"/>
        <v>22</v>
      </c>
      <c r="D30" s="1" t="s">
        <v>34</v>
      </c>
      <c r="E30" s="9">
        <f>E22/E20</f>
        <v>502.49755301794454</v>
      </c>
      <c r="G30" s="66">
        <f>G29/E20</f>
        <v>154.01994321370313</v>
      </c>
      <c r="I30" s="66">
        <f>I29/E20</f>
        <v>162.86578300163131</v>
      </c>
      <c r="J30" s="66">
        <f>I30-G30</f>
        <v>8.8458397879281847</v>
      </c>
      <c r="K30" s="46">
        <f>J30/G30</f>
        <v>5.7433080439813926E-2</v>
      </c>
    </row>
    <row r="31" spans="1:17" ht="13.5" thickBot="1" x14ac:dyDescent="0.25">
      <c r="A31" s="15">
        <f t="shared" si="1"/>
        <v>23</v>
      </c>
    </row>
    <row r="32" spans="1:17" x14ac:dyDescent="0.2">
      <c r="A32" s="15">
        <f t="shared" si="1"/>
        <v>24</v>
      </c>
      <c r="B32" s="43" t="s">
        <v>7</v>
      </c>
      <c r="C32" s="44" t="s">
        <v>84</v>
      </c>
      <c r="D32" s="43"/>
      <c r="E32" s="43"/>
      <c r="F32" s="43"/>
      <c r="G32" s="43"/>
      <c r="H32" s="43"/>
      <c r="I32" s="43"/>
      <c r="J32" s="43"/>
      <c r="K32" s="43"/>
    </row>
    <row r="33" spans="1:13" x14ac:dyDescent="0.2">
      <c r="A33" s="15">
        <f>A32+1</f>
        <v>25</v>
      </c>
      <c r="D33" s="1" t="s">
        <v>71</v>
      </c>
      <c r="E33" s="9">
        <v>6276</v>
      </c>
      <c r="F33" s="45">
        <v>15.57</v>
      </c>
      <c r="G33" s="8">
        <f>F33*E33</f>
        <v>97717.32</v>
      </c>
      <c r="H33" s="45">
        <f>F33+(H8-F8)</f>
        <v>19.5</v>
      </c>
      <c r="I33" s="8">
        <f>H33*E33</f>
        <v>122382</v>
      </c>
      <c r="J33" s="8">
        <f t="shared" ref="J33:J39" si="3">I33-G33</f>
        <v>24664.679999999993</v>
      </c>
      <c r="K33" s="46">
        <f>IF(G33=0,0,J33/G33)</f>
        <v>0.25240847784200376</v>
      </c>
    </row>
    <row r="34" spans="1:13" x14ac:dyDescent="0.2">
      <c r="A34" s="15"/>
      <c r="D34" s="1" t="s">
        <v>85</v>
      </c>
      <c r="E34" s="9">
        <f>E33</f>
        <v>6276</v>
      </c>
      <c r="F34" s="45">
        <v>5</v>
      </c>
      <c r="G34" s="8">
        <f>F34*E34</f>
        <v>31380</v>
      </c>
      <c r="H34" s="45">
        <f>F34</f>
        <v>5</v>
      </c>
      <c r="I34" s="8">
        <f>H34*E34</f>
        <v>31380</v>
      </c>
      <c r="J34" s="8">
        <f t="shared" si="3"/>
        <v>0</v>
      </c>
      <c r="K34" s="46">
        <f>IF(G34=0,0,J34/G34)</f>
        <v>0</v>
      </c>
    </row>
    <row r="35" spans="1:13" x14ac:dyDescent="0.2">
      <c r="A35" s="15">
        <f>A32+1</f>
        <v>25</v>
      </c>
      <c r="D35" s="1" t="s">
        <v>72</v>
      </c>
      <c r="E35" s="9">
        <v>7907545</v>
      </c>
      <c r="F35" s="47">
        <v>8.3299999999999999E-2</v>
      </c>
      <c r="G35" s="8">
        <f>F35*E35</f>
        <v>658698.49849999999</v>
      </c>
      <c r="H35" s="47">
        <f>H9</f>
        <v>8.831E-2</v>
      </c>
      <c r="I35" s="8">
        <f>H35*E35</f>
        <v>698315.29894999997</v>
      </c>
      <c r="J35" s="8">
        <f t="shared" si="3"/>
        <v>39616.800449999981</v>
      </c>
      <c r="K35" s="46">
        <f>IF(G35=0,0,J35/G35)</f>
        <v>6.0144057623049189E-2</v>
      </c>
    </row>
    <row r="36" spans="1:13" s="34" customFormat="1" ht="20.45" customHeight="1" x14ac:dyDescent="0.2">
      <c r="A36" s="15">
        <f t="shared" si="1"/>
        <v>26</v>
      </c>
      <c r="C36" s="49"/>
      <c r="D36" s="50" t="s">
        <v>73</v>
      </c>
      <c r="E36" s="50"/>
      <c r="F36" s="50"/>
      <c r="G36" s="51">
        <f>SUM(G33:G35)</f>
        <v>787795.81850000005</v>
      </c>
      <c r="H36" s="50"/>
      <c r="I36" s="51">
        <f>SUM(I33:I35)</f>
        <v>852077.29894999997</v>
      </c>
      <c r="J36" s="51">
        <f t="shared" si="3"/>
        <v>64281.480449999915</v>
      </c>
      <c r="K36" s="52">
        <f>J36/G36</f>
        <v>8.1596625598235398E-2</v>
      </c>
      <c r="L36" s="53">
        <f>K36/G36</f>
        <v>1.0357585516714112E-7</v>
      </c>
      <c r="M36" s="1"/>
    </row>
    <row r="37" spans="1:13" x14ac:dyDescent="0.2">
      <c r="A37" s="15">
        <f t="shared" si="1"/>
        <v>27</v>
      </c>
      <c r="D37" s="1" t="s">
        <v>74</v>
      </c>
      <c r="G37" s="35">
        <v>108345.28</v>
      </c>
      <c r="I37" s="8">
        <f>G37</f>
        <v>108345.28</v>
      </c>
      <c r="J37" s="8">
        <f t="shared" si="3"/>
        <v>0</v>
      </c>
      <c r="K37" s="45">
        <v>0</v>
      </c>
    </row>
    <row r="38" spans="1:13" x14ac:dyDescent="0.2">
      <c r="A38" s="15">
        <f t="shared" si="1"/>
        <v>28</v>
      </c>
      <c r="D38" s="1" t="s">
        <v>75</v>
      </c>
      <c r="G38" s="35">
        <v>71603.44</v>
      </c>
      <c r="I38" s="8">
        <f>G38</f>
        <v>71603.44</v>
      </c>
      <c r="J38" s="8">
        <f t="shared" si="3"/>
        <v>0</v>
      </c>
      <c r="K38" s="45">
        <v>0</v>
      </c>
    </row>
    <row r="39" spans="1:13" x14ac:dyDescent="0.2">
      <c r="A39" s="15">
        <f t="shared" si="1"/>
        <v>29</v>
      </c>
      <c r="D39" s="1" t="s">
        <v>82</v>
      </c>
      <c r="G39" s="35">
        <v>0</v>
      </c>
      <c r="I39" s="8">
        <f>G39</f>
        <v>0</v>
      </c>
      <c r="J39" s="8">
        <f t="shared" si="3"/>
        <v>0</v>
      </c>
      <c r="K39" s="45">
        <v>0</v>
      </c>
    </row>
    <row r="40" spans="1:13" x14ac:dyDescent="0.2">
      <c r="A40" s="15">
        <f t="shared" si="1"/>
        <v>30</v>
      </c>
      <c r="D40" s="1" t="s">
        <v>83</v>
      </c>
      <c r="G40" s="35">
        <v>0</v>
      </c>
      <c r="I40" s="8">
        <f>G40</f>
        <v>0</v>
      </c>
      <c r="J40" s="8"/>
      <c r="K40" s="45"/>
    </row>
    <row r="41" spans="1:13" x14ac:dyDescent="0.2">
      <c r="A41" s="15">
        <f t="shared" si="1"/>
        <v>31</v>
      </c>
      <c r="D41" s="59" t="s">
        <v>78</v>
      </c>
      <c r="E41" s="59"/>
      <c r="F41" s="59"/>
      <c r="G41" s="60">
        <f>SUM(G37:G40)</f>
        <v>179948.72</v>
      </c>
      <c r="H41" s="59"/>
      <c r="I41" s="60">
        <f>SUM(I37:I40)</f>
        <v>179948.72</v>
      </c>
      <c r="J41" s="60">
        <f>I41-G41</f>
        <v>0</v>
      </c>
      <c r="K41" s="61">
        <f>J41/G41</f>
        <v>0</v>
      </c>
    </row>
    <row r="42" spans="1:13" s="34" customFormat="1" ht="26.45" customHeight="1" thickBot="1" x14ac:dyDescent="0.25">
      <c r="A42" s="15">
        <f t="shared" si="1"/>
        <v>32</v>
      </c>
      <c r="C42" s="49"/>
      <c r="D42" s="62" t="s">
        <v>79</v>
      </c>
      <c r="E42" s="62"/>
      <c r="F42" s="62"/>
      <c r="G42" s="63">
        <f>G41+G36</f>
        <v>967744.53850000002</v>
      </c>
      <c r="H42" s="62"/>
      <c r="I42" s="64">
        <f>I41+I36</f>
        <v>1032026.0189499999</v>
      </c>
      <c r="J42" s="64">
        <f>ROUND(I42-G42,2)</f>
        <v>64281.48</v>
      </c>
      <c r="K42" s="65">
        <f>J42/G42</f>
        <v>6.6424017333785237E-2</v>
      </c>
      <c r="L42" s="53">
        <f>K42/G42</f>
        <v>6.8637966623652748E-8</v>
      </c>
      <c r="M42" s="1"/>
    </row>
    <row r="43" spans="1:13" ht="13.5" thickTop="1" x14ac:dyDescent="0.2">
      <c r="A43" s="15">
        <f t="shared" si="1"/>
        <v>33</v>
      </c>
      <c r="D43" s="1" t="s">
        <v>34</v>
      </c>
      <c r="E43" s="9">
        <f>E35/E33</f>
        <v>1259.9657425111536</v>
      </c>
      <c r="G43" s="66">
        <f>G42/E33</f>
        <v>154.19766387826641</v>
      </c>
      <c r="I43" s="66">
        <f>I42/E33</f>
        <v>164.44009224824728</v>
      </c>
      <c r="J43" s="66">
        <f>I43-G43</f>
        <v>10.242428369980871</v>
      </c>
      <c r="K43" s="46">
        <f>J43/G43</f>
        <v>6.6424017798783944E-2</v>
      </c>
    </row>
    <row r="44" spans="1:13" ht="13.5" thickBot="1" x14ac:dyDescent="0.25">
      <c r="A44" s="15">
        <f t="shared" si="1"/>
        <v>34</v>
      </c>
    </row>
    <row r="45" spans="1:13" x14ac:dyDescent="0.2">
      <c r="A45" s="15">
        <f>A31+1</f>
        <v>24</v>
      </c>
      <c r="B45" s="43" t="s">
        <v>8</v>
      </c>
      <c r="C45" s="44" t="s">
        <v>86</v>
      </c>
      <c r="D45" s="43"/>
      <c r="E45" s="43"/>
      <c r="F45" s="43"/>
      <c r="G45" s="43"/>
      <c r="H45" s="43"/>
      <c r="I45" s="43"/>
      <c r="J45" s="43"/>
      <c r="K45" s="43"/>
    </row>
    <row r="46" spans="1:13" x14ac:dyDescent="0.2">
      <c r="A46" s="15">
        <f>A45+1</f>
        <v>25</v>
      </c>
      <c r="D46" s="1" t="s">
        <v>71</v>
      </c>
      <c r="E46" s="9">
        <v>733</v>
      </c>
      <c r="F46" s="45">
        <v>15.57</v>
      </c>
      <c r="G46" s="8">
        <f>F46*E46</f>
        <v>11412.81</v>
      </c>
      <c r="H46" s="45">
        <f>H8</f>
        <v>19.5</v>
      </c>
      <c r="I46" s="8">
        <f>H46*E46</f>
        <v>14293.5</v>
      </c>
      <c r="J46" s="8">
        <f t="shared" ref="J46:J51" si="4">I46-G46</f>
        <v>2880.6900000000005</v>
      </c>
      <c r="K46" s="46">
        <f>IF(G46=0,0,J46/G46)</f>
        <v>0.25240847784200393</v>
      </c>
    </row>
    <row r="47" spans="1:13" x14ac:dyDescent="0.2">
      <c r="A47" s="15">
        <f>A45+1</f>
        <v>25</v>
      </c>
      <c r="D47" s="1" t="s">
        <v>72</v>
      </c>
      <c r="E47" s="9">
        <v>796690</v>
      </c>
      <c r="F47" s="47">
        <v>8.3299999999999999E-2</v>
      </c>
      <c r="G47" s="8">
        <f>F47*E47</f>
        <v>66364.277000000002</v>
      </c>
      <c r="H47" s="47">
        <f>H9</f>
        <v>8.831E-2</v>
      </c>
      <c r="I47" s="8">
        <f>H47*E47</f>
        <v>70355.693899999998</v>
      </c>
      <c r="J47" s="8">
        <f t="shared" si="4"/>
        <v>3991.4168999999965</v>
      </c>
      <c r="K47" s="46">
        <f>IF(G47=0,0,J47/G47)</f>
        <v>6.0144057623049169E-2</v>
      </c>
    </row>
    <row r="48" spans="1:13" s="34" customFormat="1" ht="20.45" customHeight="1" x14ac:dyDescent="0.2">
      <c r="A48" s="15">
        <f t="shared" si="1"/>
        <v>26</v>
      </c>
      <c r="C48" s="49"/>
      <c r="D48" s="50" t="s">
        <v>73</v>
      </c>
      <c r="E48" s="50"/>
      <c r="F48" s="50"/>
      <c r="G48" s="51">
        <f>SUM(G46:G47)</f>
        <v>77777.087</v>
      </c>
      <c r="H48" s="50"/>
      <c r="I48" s="51">
        <f>SUM(I46:I47)</f>
        <v>84649.193899999998</v>
      </c>
      <c r="J48" s="51">
        <f t="shared" si="4"/>
        <v>6872.1068999999989</v>
      </c>
      <c r="K48" s="52">
        <f>J48/G48</f>
        <v>8.8356444874311102E-2</v>
      </c>
      <c r="L48" s="53">
        <f>K48/G48</f>
        <v>1.1360215235923031E-6</v>
      </c>
      <c r="M48" s="1"/>
    </row>
    <row r="49" spans="1:13" x14ac:dyDescent="0.2">
      <c r="A49" s="15">
        <f t="shared" si="1"/>
        <v>27</v>
      </c>
      <c r="D49" s="1" t="s">
        <v>74</v>
      </c>
      <c r="G49" s="35">
        <v>7841.57</v>
      </c>
      <c r="I49" s="8">
        <f>G49</f>
        <v>7841.57</v>
      </c>
      <c r="J49" s="8">
        <f t="shared" si="4"/>
        <v>0</v>
      </c>
      <c r="K49" s="45">
        <v>0</v>
      </c>
    </row>
    <row r="50" spans="1:13" x14ac:dyDescent="0.2">
      <c r="A50" s="15">
        <f t="shared" si="1"/>
        <v>28</v>
      </c>
      <c r="D50" s="1" t="s">
        <v>75</v>
      </c>
      <c r="G50" s="35">
        <v>5258.2899999999991</v>
      </c>
      <c r="I50" s="8">
        <f>G50</f>
        <v>5258.2899999999991</v>
      </c>
      <c r="J50" s="8">
        <f t="shared" si="4"/>
        <v>0</v>
      </c>
      <c r="K50" s="45">
        <v>0</v>
      </c>
    </row>
    <row r="51" spans="1:13" x14ac:dyDescent="0.2">
      <c r="A51" s="15">
        <f t="shared" si="1"/>
        <v>29</v>
      </c>
      <c r="D51" s="1" t="s">
        <v>82</v>
      </c>
      <c r="G51" s="35">
        <v>0</v>
      </c>
      <c r="I51" s="8">
        <f>G51</f>
        <v>0</v>
      </c>
      <c r="J51" s="8">
        <f t="shared" si="4"/>
        <v>0</v>
      </c>
      <c r="K51" s="45">
        <v>0</v>
      </c>
    </row>
    <row r="52" spans="1:13" x14ac:dyDescent="0.2">
      <c r="A52" s="15">
        <f t="shared" si="1"/>
        <v>30</v>
      </c>
      <c r="D52" s="1" t="s">
        <v>83</v>
      </c>
      <c r="G52" s="35">
        <v>0</v>
      </c>
      <c r="I52" s="8">
        <f>G52</f>
        <v>0</v>
      </c>
      <c r="J52" s="8"/>
      <c r="K52" s="45"/>
    </row>
    <row r="53" spans="1:13" x14ac:dyDescent="0.2">
      <c r="A53" s="15">
        <f t="shared" si="1"/>
        <v>31</v>
      </c>
      <c r="D53" s="59" t="s">
        <v>78</v>
      </c>
      <c r="E53" s="59"/>
      <c r="F53" s="59"/>
      <c r="G53" s="60">
        <f>SUM(G49:G52)</f>
        <v>13099.859999999999</v>
      </c>
      <c r="H53" s="59"/>
      <c r="I53" s="60">
        <f>SUM(I49:I52)</f>
        <v>13099.859999999999</v>
      </c>
      <c r="J53" s="60">
        <f>I53-G53</f>
        <v>0</v>
      </c>
      <c r="K53" s="61">
        <f>J53/G53</f>
        <v>0</v>
      </c>
    </row>
    <row r="54" spans="1:13" s="34" customFormat="1" ht="26.45" customHeight="1" thickBot="1" x14ac:dyDescent="0.25">
      <c r="A54" s="15">
        <f t="shared" si="1"/>
        <v>32</v>
      </c>
      <c r="C54" s="49"/>
      <c r="D54" s="62" t="s">
        <v>79</v>
      </c>
      <c r="E54" s="62"/>
      <c r="F54" s="62"/>
      <c r="G54" s="63">
        <f>G53+G48</f>
        <v>90876.947</v>
      </c>
      <c r="H54" s="62"/>
      <c r="I54" s="64">
        <f>I53+I48</f>
        <v>97749.053899999999</v>
      </c>
      <c r="J54" s="64">
        <f>ROUND(I54-G54,2)</f>
        <v>6872.11</v>
      </c>
      <c r="K54" s="65">
        <f>J54/G54</f>
        <v>7.5619947928048242E-2</v>
      </c>
      <c r="L54" s="53">
        <f>K54/G54</f>
        <v>8.3211364844869008E-7</v>
      </c>
      <c r="M54" s="1"/>
    </row>
    <row r="55" spans="1:13" ht="13.5" thickTop="1" x14ac:dyDescent="0.2">
      <c r="A55" s="15">
        <f t="shared" si="1"/>
        <v>33</v>
      </c>
      <c r="D55" s="1" t="s">
        <v>34</v>
      </c>
      <c r="E55" s="9">
        <f>E47/E46</f>
        <v>1086.8894952251023</v>
      </c>
      <c r="G55" s="66">
        <f>G54/E46</f>
        <v>123.97946384720328</v>
      </c>
      <c r="I55" s="66">
        <f>I54/E46</f>
        <v>133.35478021828104</v>
      </c>
      <c r="J55" s="66">
        <f>I55-G55</f>
        <v>9.3753163710777585</v>
      </c>
      <c r="K55" s="46">
        <f>J55/G55</f>
        <v>7.5619913815986761E-2</v>
      </c>
    </row>
    <row r="56" spans="1:13" ht="13.5" thickBot="1" x14ac:dyDescent="0.25">
      <c r="A56" s="15">
        <f t="shared" si="1"/>
        <v>34</v>
      </c>
    </row>
    <row r="57" spans="1:13" x14ac:dyDescent="0.2">
      <c r="A57" s="15">
        <f>A44+1</f>
        <v>35</v>
      </c>
      <c r="B57" s="43" t="s">
        <v>87</v>
      </c>
      <c r="C57" s="44" t="s">
        <v>88</v>
      </c>
      <c r="D57" s="43"/>
      <c r="E57" s="43"/>
      <c r="F57" s="43"/>
      <c r="G57" s="43"/>
      <c r="H57" s="43"/>
      <c r="I57" s="43"/>
      <c r="J57" s="43"/>
      <c r="K57" s="43"/>
    </row>
    <row r="58" spans="1:13" x14ac:dyDescent="0.2">
      <c r="A58" s="15">
        <f>A57+1</f>
        <v>36</v>
      </c>
      <c r="D58" s="1" t="s">
        <v>71</v>
      </c>
      <c r="E58" s="9">
        <v>281</v>
      </c>
      <c r="F58" s="45">
        <v>18.97</v>
      </c>
      <c r="G58" s="8">
        <f>F58*E58</f>
        <v>5330.57</v>
      </c>
      <c r="H58" s="45">
        <f>F58+(H8-F8)</f>
        <v>22.9</v>
      </c>
      <c r="I58" s="8">
        <f>H58*E58</f>
        <v>6434.9</v>
      </c>
      <c r="J58" s="8">
        <f t="shared" ref="J58:J64" si="5">I58-G58</f>
        <v>1104.33</v>
      </c>
      <c r="K58" s="46">
        <f>IF(G58=0,0,J58/G58)</f>
        <v>0.20716921454928836</v>
      </c>
    </row>
    <row r="59" spans="1:13" x14ac:dyDescent="0.2">
      <c r="A59" s="15">
        <f>A56+1</f>
        <v>35</v>
      </c>
      <c r="D59" s="1" t="s">
        <v>89</v>
      </c>
      <c r="E59" s="9">
        <v>349323</v>
      </c>
      <c r="F59" s="47">
        <v>0.12514</v>
      </c>
      <c r="G59" s="8">
        <f>F59*E59</f>
        <v>43714.280220000001</v>
      </c>
      <c r="H59" s="47">
        <f>F59*L59</f>
        <v>0.12197865648697631</v>
      </c>
      <c r="I59" s="8">
        <f>H59*E59</f>
        <v>42609.950220000028</v>
      </c>
      <c r="J59" s="8">
        <f t="shared" si="5"/>
        <v>-1104.3299999999726</v>
      </c>
      <c r="K59" s="46">
        <f>IF(G59=0,0,J59/G59)</f>
        <v>-2.5262454155535279E-2</v>
      </c>
      <c r="L59" s="45">
        <v>0.9747375458444647</v>
      </c>
    </row>
    <row r="60" spans="1:13" x14ac:dyDescent="0.2">
      <c r="A60" s="15">
        <f>A57+1</f>
        <v>36</v>
      </c>
      <c r="D60" s="1" t="s">
        <v>90</v>
      </c>
      <c r="E60" s="9">
        <v>833792.97100000002</v>
      </c>
      <c r="F60" s="47">
        <v>5.7790000000000001E-2</v>
      </c>
      <c r="G60" s="8">
        <f>F60*E60</f>
        <v>48184.89579409</v>
      </c>
      <c r="H60" s="47">
        <f>F60</f>
        <v>5.7790000000000001E-2</v>
      </c>
      <c r="I60" s="8">
        <f>H60*E60</f>
        <v>48184.89579409</v>
      </c>
      <c r="J60" s="8">
        <f t="shared" si="5"/>
        <v>0</v>
      </c>
      <c r="K60" s="46">
        <f>IF(G60=0,0,J60/G60)</f>
        <v>0</v>
      </c>
    </row>
    <row r="61" spans="1:13" s="34" customFormat="1" ht="20.45" customHeight="1" x14ac:dyDescent="0.2">
      <c r="A61" s="15">
        <f t="shared" si="1"/>
        <v>37</v>
      </c>
      <c r="C61" s="49"/>
      <c r="D61" s="50" t="s">
        <v>73</v>
      </c>
      <c r="E61" s="50"/>
      <c r="F61" s="50"/>
      <c r="G61" s="51">
        <f>SUM(G58:G60)</f>
        <v>97229.746014089993</v>
      </c>
      <c r="H61" s="50"/>
      <c r="I61" s="51">
        <f>SUM(I58:I60)</f>
        <v>97229.746014090022</v>
      </c>
      <c r="J61" s="51">
        <f t="shared" si="5"/>
        <v>0</v>
      </c>
      <c r="K61" s="52">
        <f>J61/G61</f>
        <v>0</v>
      </c>
      <c r="L61" s="53">
        <f>K61/G61</f>
        <v>0</v>
      </c>
      <c r="M61" s="1"/>
    </row>
    <row r="62" spans="1:13" x14ac:dyDescent="0.2">
      <c r="A62" s="15">
        <f t="shared" si="1"/>
        <v>38</v>
      </c>
      <c r="D62" s="1" t="s">
        <v>74</v>
      </c>
      <c r="G62" s="35">
        <v>15758.259999999998</v>
      </c>
      <c r="I62" s="8">
        <f>G62</f>
        <v>15758.259999999998</v>
      </c>
      <c r="J62" s="8">
        <f t="shared" si="5"/>
        <v>0</v>
      </c>
      <c r="K62" s="45">
        <v>0</v>
      </c>
    </row>
    <row r="63" spans="1:13" x14ac:dyDescent="0.2">
      <c r="A63" s="15">
        <f t="shared" si="1"/>
        <v>39</v>
      </c>
      <c r="D63" s="1" t="s">
        <v>75</v>
      </c>
      <c r="G63" s="35">
        <v>9139.43</v>
      </c>
      <c r="I63" s="8">
        <f>G63</f>
        <v>9139.43</v>
      </c>
      <c r="J63" s="8">
        <f t="shared" si="5"/>
        <v>0</v>
      </c>
      <c r="K63" s="45">
        <v>0</v>
      </c>
    </row>
    <row r="64" spans="1:13" x14ac:dyDescent="0.2">
      <c r="A64" s="15">
        <f t="shared" si="1"/>
        <v>40</v>
      </c>
      <c r="D64" s="1" t="s">
        <v>82</v>
      </c>
      <c r="G64" s="35">
        <v>0</v>
      </c>
      <c r="I64" s="8">
        <f>G64</f>
        <v>0</v>
      </c>
      <c r="J64" s="8">
        <f t="shared" si="5"/>
        <v>0</v>
      </c>
      <c r="K64" s="45">
        <v>0</v>
      </c>
    </row>
    <row r="65" spans="1:13" x14ac:dyDescent="0.2">
      <c r="A65" s="15">
        <f t="shared" si="1"/>
        <v>41</v>
      </c>
      <c r="D65" s="1" t="s">
        <v>83</v>
      </c>
      <c r="G65" s="35">
        <v>0</v>
      </c>
      <c r="I65" s="8">
        <f>G65</f>
        <v>0</v>
      </c>
      <c r="J65" s="8"/>
      <c r="K65" s="45"/>
    </row>
    <row r="66" spans="1:13" x14ac:dyDescent="0.2">
      <c r="A66" s="15">
        <f t="shared" si="1"/>
        <v>42</v>
      </c>
      <c r="D66" s="59" t="s">
        <v>78</v>
      </c>
      <c r="E66" s="59"/>
      <c r="F66" s="59"/>
      <c r="G66" s="60">
        <f>SUM(G62:G65)</f>
        <v>24897.69</v>
      </c>
      <c r="H66" s="59"/>
      <c r="I66" s="60">
        <f>SUM(I62:I65)</f>
        <v>24897.69</v>
      </c>
      <c r="J66" s="60">
        <f>I66-G66</f>
        <v>0</v>
      </c>
      <c r="K66" s="61">
        <f>J66/G66</f>
        <v>0</v>
      </c>
    </row>
    <row r="67" spans="1:13" s="34" customFormat="1" ht="26.45" customHeight="1" thickBot="1" x14ac:dyDescent="0.25">
      <c r="A67" s="15">
        <f t="shared" si="1"/>
        <v>43</v>
      </c>
      <c r="C67" s="49"/>
      <c r="D67" s="62" t="s">
        <v>79</v>
      </c>
      <c r="E67" s="62"/>
      <c r="F67" s="62"/>
      <c r="G67" s="63">
        <f>G66+G61</f>
        <v>122127.43601409</v>
      </c>
      <c r="H67" s="62"/>
      <c r="I67" s="64">
        <f>I66+I61</f>
        <v>122127.43601409002</v>
      </c>
      <c r="J67" s="64">
        <f>ROUND(I67-G67,2)</f>
        <v>0</v>
      </c>
      <c r="K67" s="65">
        <f>J67/G67</f>
        <v>0</v>
      </c>
      <c r="L67" s="53">
        <f>K67/G67</f>
        <v>0</v>
      </c>
      <c r="M67" s="1"/>
    </row>
    <row r="68" spans="1:13" ht="13.5" thickTop="1" x14ac:dyDescent="0.2">
      <c r="A68" s="15">
        <f t="shared" si="1"/>
        <v>44</v>
      </c>
      <c r="D68" s="1" t="s">
        <v>34</v>
      </c>
      <c r="E68" s="9">
        <f>E59/E58</f>
        <v>1243.1423487544484</v>
      </c>
      <c r="G68" s="66">
        <f>G67/E58</f>
        <v>434.61721001455516</v>
      </c>
      <c r="I68" s="66">
        <f>I67/E58</f>
        <v>434.61721001455527</v>
      </c>
      <c r="J68" s="66">
        <f>I68-G68</f>
        <v>0</v>
      </c>
      <c r="K68" s="46">
        <f>J68/G68</f>
        <v>0</v>
      </c>
    </row>
    <row r="69" spans="1:13" ht="13.5" thickBot="1" x14ac:dyDescent="0.25">
      <c r="A69" s="15">
        <f t="shared" si="1"/>
        <v>45</v>
      </c>
    </row>
    <row r="70" spans="1:13" x14ac:dyDescent="0.2">
      <c r="A70" s="15">
        <f t="shared" si="1"/>
        <v>46</v>
      </c>
      <c r="B70" s="43" t="s">
        <v>9</v>
      </c>
      <c r="C70" s="44" t="s">
        <v>91</v>
      </c>
      <c r="D70" s="43"/>
      <c r="E70" s="43"/>
      <c r="F70" s="43"/>
      <c r="G70" s="43"/>
      <c r="H70" s="43"/>
      <c r="I70" s="43"/>
      <c r="J70" s="43"/>
      <c r="K70" s="43"/>
    </row>
    <row r="71" spans="1:13" x14ac:dyDescent="0.2">
      <c r="A71" s="15">
        <f t="shared" si="1"/>
        <v>47</v>
      </c>
      <c r="D71" s="1" t="s">
        <v>71</v>
      </c>
      <c r="E71" s="9">
        <v>3746</v>
      </c>
      <c r="F71" s="45">
        <v>15.57</v>
      </c>
      <c r="G71" s="8">
        <f>F71*E71</f>
        <v>58325.22</v>
      </c>
      <c r="H71" s="45">
        <f>H8</f>
        <v>19.5</v>
      </c>
      <c r="I71" s="8">
        <f>H71*E71</f>
        <v>73047</v>
      </c>
      <c r="J71" s="8">
        <f t="shared" ref="J71:J78" si="6">I71-G71</f>
        <v>14721.779999999999</v>
      </c>
      <c r="K71" s="46">
        <f>IF(G71=0,0,J71/G71)</f>
        <v>0.25240847784200382</v>
      </c>
      <c r="L71" s="45"/>
    </row>
    <row r="72" spans="1:13" x14ac:dyDescent="0.2">
      <c r="A72" s="15">
        <f t="shared" si="1"/>
        <v>48</v>
      </c>
      <c r="C72" s="1"/>
      <c r="D72" s="1" t="s">
        <v>92</v>
      </c>
      <c r="E72" s="9">
        <v>327463</v>
      </c>
      <c r="F72" s="47">
        <v>6.5129999999999993E-2</v>
      </c>
      <c r="G72" s="8">
        <f>F72*E72</f>
        <v>21327.665189999996</v>
      </c>
      <c r="H72" s="48">
        <f>F72*L72</f>
        <v>4.5590999999999993E-2</v>
      </c>
      <c r="I72" s="8">
        <f>H72*E72</f>
        <v>14929.365632999998</v>
      </c>
      <c r="J72" s="8">
        <f t="shared" si="6"/>
        <v>-6398.2995569999985</v>
      </c>
      <c r="K72" s="46">
        <f>IF(G72=0,0,J72/G72)</f>
        <v>-0.3</v>
      </c>
      <c r="L72" s="45">
        <v>0.7</v>
      </c>
    </row>
    <row r="73" spans="1:13" x14ac:dyDescent="0.2">
      <c r="A73" s="15">
        <f t="shared" ref="A73:A136" si="7">A72+1</f>
        <v>49</v>
      </c>
      <c r="C73" s="1"/>
      <c r="D73" s="1" t="s">
        <v>93</v>
      </c>
      <c r="E73" s="9">
        <v>275508</v>
      </c>
      <c r="F73" s="47">
        <v>7.5509999999999994E-2</v>
      </c>
      <c r="G73" s="8">
        <f>F73*E73</f>
        <v>20803.609079999998</v>
      </c>
      <c r="H73" s="48">
        <f>F73*L73</f>
        <v>5.6995585217125944E-2</v>
      </c>
      <c r="I73" s="8">
        <f>H73*E73</f>
        <v>15702.739691999934</v>
      </c>
      <c r="J73" s="8">
        <f t="shared" si="6"/>
        <v>-5100.8693880000646</v>
      </c>
      <c r="K73" s="46">
        <f>IF(G73=0,0,J73/G73)</f>
        <v>-0.24519156115579466</v>
      </c>
      <c r="L73" s="45">
        <v>0.75480843884420534</v>
      </c>
    </row>
    <row r="74" spans="1:13" x14ac:dyDescent="0.2">
      <c r="A74" s="15">
        <f t="shared" si="7"/>
        <v>50</v>
      </c>
      <c r="C74" s="1"/>
      <c r="D74" s="1" t="s">
        <v>94</v>
      </c>
      <c r="E74" s="9">
        <v>302167</v>
      </c>
      <c r="F74" s="47">
        <v>0.10664999999999999</v>
      </c>
      <c r="G74" s="8">
        <f>F74*E74</f>
        <v>32226.110549999998</v>
      </c>
      <c r="H74" s="48">
        <f>(F74*L74)</f>
        <v>9.5985000000000001E-2</v>
      </c>
      <c r="I74" s="8">
        <f>H74*E74</f>
        <v>29003.499495</v>
      </c>
      <c r="J74" s="8">
        <f t="shared" si="6"/>
        <v>-3222.6110549999976</v>
      </c>
      <c r="K74" s="46">
        <f>IF(G74=0,0,J74/G74)</f>
        <v>-9.9999999999999936E-2</v>
      </c>
      <c r="L74" s="45">
        <v>0.9</v>
      </c>
    </row>
    <row r="75" spans="1:13" s="34" customFormat="1" ht="20.45" customHeight="1" x14ac:dyDescent="0.2">
      <c r="A75" s="15">
        <f t="shared" si="7"/>
        <v>51</v>
      </c>
      <c r="B75" s="1"/>
      <c r="C75" s="49"/>
      <c r="D75" s="50" t="s">
        <v>73</v>
      </c>
      <c r="E75" s="50"/>
      <c r="F75" s="50"/>
      <c r="G75" s="51">
        <f>SUM(G71:G74)</f>
        <v>132682.60482000001</v>
      </c>
      <c r="H75" s="50"/>
      <c r="I75" s="51">
        <f>SUM(I71:I74)</f>
        <v>132682.60481999992</v>
      </c>
      <c r="J75" s="51">
        <f t="shared" si="6"/>
        <v>0</v>
      </c>
      <c r="K75" s="52">
        <f>J75/G75</f>
        <v>0</v>
      </c>
      <c r="L75" s="53">
        <f>K75/G75</f>
        <v>0</v>
      </c>
      <c r="M75" s="1"/>
    </row>
    <row r="76" spans="1:13" x14ac:dyDescent="0.2">
      <c r="A76" s="15">
        <f t="shared" si="7"/>
        <v>52</v>
      </c>
      <c r="D76" s="1" t="s">
        <v>74</v>
      </c>
      <c r="G76" s="35">
        <v>12501.839999999998</v>
      </c>
      <c r="I76" s="8">
        <f>G76</f>
        <v>12501.839999999998</v>
      </c>
      <c r="J76" s="8">
        <f t="shared" si="6"/>
        <v>0</v>
      </c>
      <c r="K76" s="45">
        <v>0</v>
      </c>
    </row>
    <row r="77" spans="1:13" x14ac:dyDescent="0.2">
      <c r="A77" s="15">
        <f t="shared" si="7"/>
        <v>53</v>
      </c>
      <c r="D77" s="1" t="s">
        <v>75</v>
      </c>
      <c r="G77" s="35">
        <v>11244.34</v>
      </c>
      <c r="I77" s="8">
        <f>G77</f>
        <v>11244.34</v>
      </c>
      <c r="J77" s="8">
        <f t="shared" si="6"/>
        <v>0</v>
      </c>
      <c r="K77" s="45">
        <v>0</v>
      </c>
    </row>
    <row r="78" spans="1:13" x14ac:dyDescent="0.2">
      <c r="A78" s="15">
        <f t="shared" si="7"/>
        <v>54</v>
      </c>
      <c r="D78" s="1" t="s">
        <v>82</v>
      </c>
      <c r="G78" s="35">
        <v>0</v>
      </c>
      <c r="I78" s="8">
        <f>G78</f>
        <v>0</v>
      </c>
      <c r="J78" s="8">
        <f t="shared" si="6"/>
        <v>0</v>
      </c>
      <c r="K78" s="45">
        <v>0</v>
      </c>
    </row>
    <row r="79" spans="1:13" x14ac:dyDescent="0.2">
      <c r="A79" s="15">
        <f t="shared" si="7"/>
        <v>55</v>
      </c>
      <c r="D79" s="1" t="s">
        <v>83</v>
      </c>
      <c r="G79" s="35">
        <v>0</v>
      </c>
      <c r="I79" s="8">
        <f>G79</f>
        <v>0</v>
      </c>
      <c r="J79" s="8"/>
      <c r="K79" s="45"/>
    </row>
    <row r="80" spans="1:13" x14ac:dyDescent="0.2">
      <c r="A80" s="15">
        <f t="shared" si="7"/>
        <v>56</v>
      </c>
      <c r="D80" s="59" t="s">
        <v>78</v>
      </c>
      <c r="E80" s="59"/>
      <c r="F80" s="59"/>
      <c r="G80" s="60">
        <f>SUM(G76:G79)</f>
        <v>23746.18</v>
      </c>
      <c r="H80" s="59"/>
      <c r="I80" s="60">
        <f>SUM(I76:I79)</f>
        <v>23746.18</v>
      </c>
      <c r="J80" s="60">
        <f>I80-G80</f>
        <v>0</v>
      </c>
      <c r="K80" s="61">
        <f>J80/G80</f>
        <v>0</v>
      </c>
    </row>
    <row r="81" spans="1:13" s="34" customFormat="1" ht="26.45" customHeight="1" thickBot="1" x14ac:dyDescent="0.25">
      <c r="A81" s="15">
        <f t="shared" si="7"/>
        <v>57</v>
      </c>
      <c r="C81" s="49"/>
      <c r="D81" s="62" t="s">
        <v>79</v>
      </c>
      <c r="E81" s="62"/>
      <c r="F81" s="62"/>
      <c r="G81" s="63">
        <f>G80+G75</f>
        <v>156428.78482</v>
      </c>
      <c r="H81" s="62"/>
      <c r="I81" s="64">
        <f>I80+I75</f>
        <v>156428.78481999991</v>
      </c>
      <c r="J81" s="64">
        <f>ROUND(I81-G81,2)</f>
        <v>0</v>
      </c>
      <c r="K81" s="65">
        <f>J81/G81</f>
        <v>0</v>
      </c>
      <c r="L81" s="53">
        <f>K81/G81</f>
        <v>0</v>
      </c>
      <c r="M81" s="1"/>
    </row>
    <row r="82" spans="1:13" ht="13.5" thickTop="1" x14ac:dyDescent="0.2">
      <c r="A82" s="15">
        <f t="shared" si="7"/>
        <v>58</v>
      </c>
      <c r="D82" s="1" t="s">
        <v>34</v>
      </c>
      <c r="E82" s="9">
        <f>(E72+E73+E74)/E71</f>
        <v>241.62786972770957</v>
      </c>
      <c r="G82" s="66">
        <f>G81/E71</f>
        <v>41.758885429791775</v>
      </c>
      <c r="I82" s="66">
        <f>I81/E71</f>
        <v>41.758885429791754</v>
      </c>
      <c r="J82" s="66">
        <f>I82-G82</f>
        <v>0</v>
      </c>
      <c r="K82" s="46">
        <f>J82/G82</f>
        <v>0</v>
      </c>
    </row>
    <row r="83" spans="1:13" ht="13.5" thickBot="1" x14ac:dyDescent="0.25">
      <c r="A83" s="15">
        <f t="shared" si="7"/>
        <v>59</v>
      </c>
    </row>
    <row r="84" spans="1:13" x14ac:dyDescent="0.2">
      <c r="A84" s="15">
        <f t="shared" si="7"/>
        <v>60</v>
      </c>
      <c r="B84" s="43" t="s">
        <v>10</v>
      </c>
      <c r="C84" s="44" t="s">
        <v>95</v>
      </c>
      <c r="D84" s="43"/>
      <c r="E84" s="43"/>
      <c r="F84" s="43"/>
      <c r="G84" s="43"/>
      <c r="H84" s="43"/>
      <c r="I84" s="43"/>
      <c r="J84" s="43"/>
      <c r="K84" s="43"/>
    </row>
    <row r="85" spans="1:13" x14ac:dyDescent="0.2">
      <c r="A85" s="15">
        <f t="shared" si="7"/>
        <v>61</v>
      </c>
      <c r="D85" s="1" t="s">
        <v>71</v>
      </c>
      <c r="E85" s="9">
        <v>2905</v>
      </c>
      <c r="F85" s="45">
        <v>51.1</v>
      </c>
      <c r="G85" s="8">
        <f>F85*E85</f>
        <v>148445.5</v>
      </c>
      <c r="H85" s="45">
        <f t="shared" ref="H85:H87" si="8">F85</f>
        <v>51.1</v>
      </c>
      <c r="I85" s="8">
        <f>H85*E85</f>
        <v>148445.5</v>
      </c>
      <c r="J85" s="8">
        <f t="shared" ref="J85:J91" si="9">I85-G85</f>
        <v>0</v>
      </c>
      <c r="K85" s="46">
        <f>IF(G85=0,0,J85/G85)</f>
        <v>0</v>
      </c>
    </row>
    <row r="86" spans="1:13" x14ac:dyDescent="0.2">
      <c r="A86" s="15">
        <f t="shared" si="7"/>
        <v>62</v>
      </c>
      <c r="D86" s="1" t="s">
        <v>72</v>
      </c>
      <c r="E86" s="9">
        <v>18017225</v>
      </c>
      <c r="F86" s="48">
        <v>6.3420000000000004E-2</v>
      </c>
      <c r="G86" s="8">
        <f>F86*E86</f>
        <v>1142652.4095000001</v>
      </c>
      <c r="H86" s="48">
        <f t="shared" si="8"/>
        <v>6.3420000000000004E-2</v>
      </c>
      <c r="I86" s="8">
        <f>H86*E86</f>
        <v>1142652.4095000001</v>
      </c>
      <c r="J86" s="8">
        <f t="shared" si="9"/>
        <v>0</v>
      </c>
      <c r="K86" s="46">
        <f>IF(G86=0,0,J86/G86)</f>
        <v>0</v>
      </c>
    </row>
    <row r="87" spans="1:13" x14ac:dyDescent="0.2">
      <c r="A87" s="15">
        <f t="shared" si="7"/>
        <v>63</v>
      </c>
      <c r="D87" s="1" t="s">
        <v>96</v>
      </c>
      <c r="E87" s="9">
        <v>71351</v>
      </c>
      <c r="F87" s="45">
        <v>7.69</v>
      </c>
      <c r="G87" s="8">
        <f>F87*E87</f>
        <v>548689.19000000006</v>
      </c>
      <c r="H87" s="45">
        <f t="shared" si="8"/>
        <v>7.69</v>
      </c>
      <c r="I87" s="8">
        <f>H87*E87</f>
        <v>548689.19000000006</v>
      </c>
      <c r="J87" s="8">
        <f t="shared" si="9"/>
        <v>0</v>
      </c>
      <c r="K87" s="46">
        <f>IF(G87=0,0,J87/G87)</f>
        <v>0</v>
      </c>
    </row>
    <row r="88" spans="1:13" s="34" customFormat="1" ht="20.45" customHeight="1" x14ac:dyDescent="0.2">
      <c r="A88" s="15">
        <f t="shared" si="7"/>
        <v>64</v>
      </c>
      <c r="C88" s="49"/>
      <c r="D88" s="50" t="s">
        <v>73</v>
      </c>
      <c r="E88" s="50"/>
      <c r="F88" s="50"/>
      <c r="G88" s="51">
        <f>SUM(G85:G87)</f>
        <v>1839787.0995</v>
      </c>
      <c r="H88" s="50"/>
      <c r="I88" s="51">
        <f>SUM(I85:I87)</f>
        <v>1839787.0995</v>
      </c>
      <c r="J88" s="51">
        <f t="shared" si="9"/>
        <v>0</v>
      </c>
      <c r="K88" s="52">
        <f>J88/G88</f>
        <v>0</v>
      </c>
      <c r="L88" s="53">
        <f>K88/G88</f>
        <v>0</v>
      </c>
      <c r="M88" s="1"/>
    </row>
    <row r="89" spans="1:13" x14ac:dyDescent="0.2">
      <c r="A89" s="15">
        <f t="shared" si="7"/>
        <v>65</v>
      </c>
      <c r="D89" s="1" t="s">
        <v>74</v>
      </c>
      <c r="G89" s="35">
        <v>243093.5</v>
      </c>
      <c r="I89" s="8">
        <f>G89</f>
        <v>243093.5</v>
      </c>
      <c r="J89" s="8">
        <f t="shared" si="9"/>
        <v>0</v>
      </c>
      <c r="K89" s="45">
        <v>0</v>
      </c>
    </row>
    <row r="90" spans="1:13" x14ac:dyDescent="0.2">
      <c r="A90" s="15">
        <f t="shared" si="7"/>
        <v>66</v>
      </c>
      <c r="D90" s="1" t="s">
        <v>75</v>
      </c>
      <c r="G90" s="35">
        <v>172817.96000000002</v>
      </c>
      <c r="I90" s="8">
        <f>G90</f>
        <v>172817.96000000002</v>
      </c>
      <c r="J90" s="8">
        <f t="shared" si="9"/>
        <v>0</v>
      </c>
      <c r="K90" s="45">
        <v>0</v>
      </c>
    </row>
    <row r="91" spans="1:13" x14ac:dyDescent="0.2">
      <c r="A91" s="15">
        <f t="shared" si="7"/>
        <v>67</v>
      </c>
      <c r="D91" s="1" t="s">
        <v>82</v>
      </c>
      <c r="G91" s="35">
        <v>0</v>
      </c>
      <c r="I91" s="8">
        <f>G91</f>
        <v>0</v>
      </c>
      <c r="J91" s="8">
        <f t="shared" si="9"/>
        <v>0</v>
      </c>
      <c r="K91" s="45">
        <v>0</v>
      </c>
    </row>
    <row r="92" spans="1:13" x14ac:dyDescent="0.2">
      <c r="A92" s="15">
        <f t="shared" si="7"/>
        <v>68</v>
      </c>
      <c r="D92" s="1" t="s">
        <v>83</v>
      </c>
      <c r="G92" s="35">
        <v>0</v>
      </c>
      <c r="I92" s="8">
        <f>G92</f>
        <v>0</v>
      </c>
      <c r="J92" s="8"/>
      <c r="K92" s="45"/>
    </row>
    <row r="93" spans="1:13" x14ac:dyDescent="0.2">
      <c r="A93" s="15">
        <f t="shared" si="7"/>
        <v>69</v>
      </c>
      <c r="D93" s="59" t="s">
        <v>78</v>
      </c>
      <c r="E93" s="59"/>
      <c r="F93" s="59"/>
      <c r="G93" s="60">
        <f>SUM(G89:G92)</f>
        <v>415911.46</v>
      </c>
      <c r="H93" s="59"/>
      <c r="I93" s="60">
        <f>SUM(I89:I92)</f>
        <v>415911.46</v>
      </c>
      <c r="J93" s="60">
        <f>I93-G93</f>
        <v>0</v>
      </c>
      <c r="K93" s="61">
        <f>J93/G93</f>
        <v>0</v>
      </c>
    </row>
    <row r="94" spans="1:13" s="34" customFormat="1" ht="26.45" customHeight="1" thickBot="1" x14ac:dyDescent="0.25">
      <c r="A94" s="15">
        <f t="shared" si="7"/>
        <v>70</v>
      </c>
      <c r="C94" s="49"/>
      <c r="D94" s="62" t="s">
        <v>79</v>
      </c>
      <c r="E94" s="62"/>
      <c r="F94" s="62"/>
      <c r="G94" s="63">
        <f>G93+G88</f>
        <v>2255698.5595</v>
      </c>
      <c r="H94" s="62"/>
      <c r="I94" s="64">
        <f>I93+I88</f>
        <v>2255698.5595</v>
      </c>
      <c r="J94" s="64">
        <f>ROUND(I94-G94,2)</f>
        <v>0</v>
      </c>
      <c r="K94" s="65">
        <f>J94/G94</f>
        <v>0</v>
      </c>
      <c r="L94" s="53">
        <f>K94/G94</f>
        <v>0</v>
      </c>
      <c r="M94" s="1"/>
    </row>
    <row r="95" spans="1:13" ht="13.5" thickTop="1" x14ac:dyDescent="0.2">
      <c r="A95" s="15">
        <f t="shared" si="7"/>
        <v>71</v>
      </c>
      <c r="D95" s="1" t="s">
        <v>34</v>
      </c>
      <c r="E95" s="9">
        <f>E86/E85</f>
        <v>6202.1428571428569</v>
      </c>
      <c r="G95" s="66">
        <f>G94/E85</f>
        <v>776.48831652323577</v>
      </c>
      <c r="I95" s="66">
        <f>I94/E85</f>
        <v>776.48831652323577</v>
      </c>
      <c r="J95" s="66">
        <f>I95-G95</f>
        <v>0</v>
      </c>
      <c r="K95" s="46">
        <f>J95/G95</f>
        <v>0</v>
      </c>
    </row>
    <row r="96" spans="1:13" ht="13.5" thickBot="1" x14ac:dyDescent="0.25">
      <c r="A96" s="15">
        <f t="shared" si="7"/>
        <v>72</v>
      </c>
    </row>
    <row r="97" spans="1:13" x14ac:dyDescent="0.2">
      <c r="A97" s="15">
        <f t="shared" si="7"/>
        <v>73</v>
      </c>
      <c r="B97" s="43" t="s">
        <v>97</v>
      </c>
      <c r="C97" s="44" t="s">
        <v>98</v>
      </c>
      <c r="D97" s="43"/>
      <c r="E97" s="43"/>
      <c r="F97" s="43"/>
      <c r="G97" s="43"/>
      <c r="H97" s="43"/>
      <c r="I97" s="43"/>
      <c r="J97" s="43"/>
      <c r="K97" s="43"/>
    </row>
    <row r="98" spans="1:13" x14ac:dyDescent="0.2">
      <c r="A98" s="15">
        <f t="shared" si="7"/>
        <v>74</v>
      </c>
      <c r="D98" s="1" t="s">
        <v>71</v>
      </c>
      <c r="E98" s="9">
        <f>1673+205</f>
        <v>1878</v>
      </c>
      <c r="F98" s="45">
        <v>68</v>
      </c>
      <c r="G98" s="8">
        <f>F98*E98</f>
        <v>127704</v>
      </c>
      <c r="H98" s="45">
        <f t="shared" ref="H98:H100" si="10">F98</f>
        <v>68</v>
      </c>
      <c r="I98" s="8">
        <f>H98*E98</f>
        <v>127704</v>
      </c>
      <c r="J98" s="8">
        <f t="shared" ref="J98:J104" si="11">I98-G98</f>
        <v>0</v>
      </c>
      <c r="K98" s="46">
        <f>IF(G98=0,0,J98/G98)</f>
        <v>0</v>
      </c>
    </row>
    <row r="99" spans="1:13" x14ac:dyDescent="0.2">
      <c r="A99" s="15">
        <f t="shared" si="7"/>
        <v>75</v>
      </c>
      <c r="D99" s="1" t="s">
        <v>72</v>
      </c>
      <c r="E99" s="9">
        <f>65084518+35765360</f>
        <v>100849878</v>
      </c>
      <c r="F99" s="48">
        <v>5.1639999999999998E-2</v>
      </c>
      <c r="G99" s="8">
        <f>F99*E99</f>
        <v>5207887.6999199996</v>
      </c>
      <c r="H99" s="48">
        <f t="shared" si="10"/>
        <v>5.1639999999999998E-2</v>
      </c>
      <c r="I99" s="8">
        <f>H99*E99</f>
        <v>5207887.6999199996</v>
      </c>
      <c r="J99" s="8">
        <f t="shared" si="11"/>
        <v>0</v>
      </c>
      <c r="K99" s="46">
        <f>IF(G99=0,0,J99/G99)</f>
        <v>0</v>
      </c>
    </row>
    <row r="100" spans="1:13" x14ac:dyDescent="0.2">
      <c r="A100" s="15">
        <f t="shared" si="7"/>
        <v>76</v>
      </c>
      <c r="D100" s="1" t="s">
        <v>96</v>
      </c>
      <c r="E100" s="9">
        <f>79656+219334</f>
        <v>298990</v>
      </c>
      <c r="F100" s="45">
        <v>7.19</v>
      </c>
      <c r="G100" s="8">
        <f>F100*E100</f>
        <v>2149738.1</v>
      </c>
      <c r="H100" s="45">
        <f t="shared" si="10"/>
        <v>7.19</v>
      </c>
      <c r="I100" s="8">
        <f>H100*E100</f>
        <v>2149738.1</v>
      </c>
      <c r="J100" s="8">
        <f t="shared" si="11"/>
        <v>0</v>
      </c>
      <c r="K100" s="46">
        <f>IF(G100=0,0,J100/G100)</f>
        <v>0</v>
      </c>
    </row>
    <row r="101" spans="1:13" s="34" customFormat="1" ht="20.45" customHeight="1" x14ac:dyDescent="0.2">
      <c r="A101" s="15">
        <f t="shared" si="7"/>
        <v>77</v>
      </c>
      <c r="C101" s="49"/>
      <c r="D101" s="50" t="s">
        <v>73</v>
      </c>
      <c r="E101" s="50"/>
      <c r="F101" s="50"/>
      <c r="G101" s="51">
        <f>SUM(G98:G100)</f>
        <v>7485329.7999200001</v>
      </c>
      <c r="H101" s="50"/>
      <c r="I101" s="51">
        <f>SUM(I98:I100)</f>
        <v>7485329.7999200001</v>
      </c>
      <c r="J101" s="51">
        <f t="shared" si="11"/>
        <v>0</v>
      </c>
      <c r="K101" s="52">
        <f>J101/G101</f>
        <v>0</v>
      </c>
      <c r="L101" s="53">
        <f>K101/G101</f>
        <v>0</v>
      </c>
      <c r="M101" s="1"/>
    </row>
    <row r="102" spans="1:13" x14ac:dyDescent="0.2">
      <c r="A102" s="15">
        <f t="shared" si="7"/>
        <v>78</v>
      </c>
      <c r="D102" s="1" t="s">
        <v>74</v>
      </c>
      <c r="G102" s="35">
        <f>877725.52+469569</f>
        <v>1347294.52</v>
      </c>
      <c r="I102" s="8">
        <f>G102</f>
        <v>1347294.52</v>
      </c>
      <c r="J102" s="8">
        <f t="shared" si="11"/>
        <v>0</v>
      </c>
      <c r="K102" s="45">
        <v>0</v>
      </c>
    </row>
    <row r="103" spans="1:13" x14ac:dyDescent="0.2">
      <c r="A103" s="15">
        <f t="shared" si="7"/>
        <v>79</v>
      </c>
      <c r="D103" s="1" t="s">
        <v>75</v>
      </c>
      <c r="G103" s="35">
        <f>487088.07+238743</f>
        <v>725831.07000000007</v>
      </c>
      <c r="I103" s="8">
        <f>G103</f>
        <v>725831.07000000007</v>
      </c>
      <c r="J103" s="8">
        <f t="shared" si="11"/>
        <v>0</v>
      </c>
      <c r="K103" s="45">
        <v>0</v>
      </c>
    </row>
    <row r="104" spans="1:13" x14ac:dyDescent="0.2">
      <c r="A104" s="15">
        <f t="shared" si="7"/>
        <v>80</v>
      </c>
      <c r="D104" s="1" t="s">
        <v>82</v>
      </c>
      <c r="G104" s="35">
        <v>0</v>
      </c>
      <c r="I104" s="8">
        <f>G104</f>
        <v>0</v>
      </c>
      <c r="J104" s="8">
        <f t="shared" si="11"/>
        <v>0</v>
      </c>
      <c r="K104" s="45">
        <v>0</v>
      </c>
    </row>
    <row r="105" spans="1:13" x14ac:dyDescent="0.2">
      <c r="A105" s="15">
        <f t="shared" si="7"/>
        <v>81</v>
      </c>
      <c r="D105" s="1" t="s">
        <v>83</v>
      </c>
      <c r="G105" s="35">
        <v>0</v>
      </c>
      <c r="I105" s="8">
        <f>G105</f>
        <v>0</v>
      </c>
      <c r="J105" s="8"/>
      <c r="K105" s="45"/>
    </row>
    <row r="106" spans="1:13" x14ac:dyDescent="0.2">
      <c r="A106" s="15">
        <f t="shared" si="7"/>
        <v>82</v>
      </c>
      <c r="D106" s="59" t="s">
        <v>78</v>
      </c>
      <c r="E106" s="59"/>
      <c r="F106" s="59"/>
      <c r="G106" s="60">
        <f>SUM(G102:G105)</f>
        <v>2073125.59</v>
      </c>
      <c r="H106" s="59"/>
      <c r="I106" s="60">
        <f>SUM(I102:I105)</f>
        <v>2073125.59</v>
      </c>
      <c r="J106" s="60">
        <f>I106-G106</f>
        <v>0</v>
      </c>
      <c r="K106" s="61">
        <f>J106/G106</f>
        <v>0</v>
      </c>
    </row>
    <row r="107" spans="1:13" s="34" customFormat="1" ht="26.45" customHeight="1" thickBot="1" x14ac:dyDescent="0.25">
      <c r="A107" s="15">
        <f t="shared" si="7"/>
        <v>83</v>
      </c>
      <c r="C107" s="49"/>
      <c r="D107" s="62" t="s">
        <v>79</v>
      </c>
      <c r="E107" s="62"/>
      <c r="F107" s="62"/>
      <c r="G107" s="63">
        <f>G106+G101</f>
        <v>9558455.38992</v>
      </c>
      <c r="H107" s="62"/>
      <c r="I107" s="64">
        <f>I106+I101</f>
        <v>9558455.38992</v>
      </c>
      <c r="J107" s="64">
        <f>ROUND(I107-G107,2)</f>
        <v>0</v>
      </c>
      <c r="K107" s="65">
        <f>J107/G107</f>
        <v>0</v>
      </c>
      <c r="L107" s="53">
        <f>K107/G107</f>
        <v>0</v>
      </c>
      <c r="M107" s="1"/>
    </row>
    <row r="108" spans="1:13" ht="13.5" thickTop="1" x14ac:dyDescent="0.2">
      <c r="A108" s="15">
        <f t="shared" si="7"/>
        <v>84</v>
      </c>
      <c r="D108" s="1" t="s">
        <v>34</v>
      </c>
      <c r="E108" s="9">
        <f>E99/E98</f>
        <v>53700.680511182109</v>
      </c>
      <c r="G108" s="66">
        <f>G107/E98</f>
        <v>5089.6993556549523</v>
      </c>
      <c r="I108" s="66">
        <f>I107/E98</f>
        <v>5089.6993556549523</v>
      </c>
      <c r="J108" s="66">
        <f>I108-G108</f>
        <v>0</v>
      </c>
      <c r="K108" s="46">
        <f>J108/G108</f>
        <v>0</v>
      </c>
    </row>
    <row r="109" spans="1:13" ht="13.5" thickBot="1" x14ac:dyDescent="0.25">
      <c r="A109" s="15">
        <f t="shared" si="7"/>
        <v>85</v>
      </c>
    </row>
    <row r="110" spans="1:13" x14ac:dyDescent="0.2">
      <c r="A110" s="15">
        <f t="shared" si="7"/>
        <v>86</v>
      </c>
      <c r="B110" s="43" t="s">
        <v>99</v>
      </c>
      <c r="C110" s="44" t="s">
        <v>100</v>
      </c>
      <c r="D110" s="43"/>
      <c r="E110" s="43"/>
      <c r="F110" s="43"/>
      <c r="G110" s="43"/>
      <c r="H110" s="43"/>
      <c r="I110" s="43"/>
      <c r="J110" s="43"/>
      <c r="K110" s="43"/>
    </row>
    <row r="111" spans="1:13" x14ac:dyDescent="0.2">
      <c r="A111" s="15">
        <f t="shared" si="7"/>
        <v>87</v>
      </c>
      <c r="D111" s="1" t="s">
        <v>71</v>
      </c>
      <c r="E111" s="9">
        <v>36</v>
      </c>
      <c r="F111" s="45">
        <v>67.34</v>
      </c>
      <c r="G111" s="8">
        <f>F111*E111</f>
        <v>2424.2400000000002</v>
      </c>
      <c r="H111" s="45">
        <f t="shared" ref="H111:H112" si="12">F111</f>
        <v>67.34</v>
      </c>
      <c r="I111" s="8">
        <f>H111*E111</f>
        <v>2424.2400000000002</v>
      </c>
      <c r="J111" s="8">
        <f t="shared" ref="J111:J116" si="13">I111-G111</f>
        <v>0</v>
      </c>
      <c r="K111" s="46">
        <f>IF(G111=0,0,J111/G111)</f>
        <v>0</v>
      </c>
    </row>
    <row r="112" spans="1:13" x14ac:dyDescent="0.2">
      <c r="A112" s="15">
        <f t="shared" si="7"/>
        <v>88</v>
      </c>
      <c r="D112" s="1" t="s">
        <v>72</v>
      </c>
      <c r="E112" s="9">
        <v>619360</v>
      </c>
      <c r="F112" s="48">
        <v>8.1790000000000002E-2</v>
      </c>
      <c r="G112" s="8">
        <f>F112*E112</f>
        <v>50657.454400000002</v>
      </c>
      <c r="H112" s="48">
        <f t="shared" si="12"/>
        <v>8.1790000000000002E-2</v>
      </c>
      <c r="I112" s="8">
        <f>H112*E112</f>
        <v>50657.454400000002</v>
      </c>
      <c r="J112" s="8">
        <f t="shared" si="13"/>
        <v>0</v>
      </c>
      <c r="K112" s="46">
        <f>IF(G112=0,0,J112/G112)</f>
        <v>0</v>
      </c>
    </row>
    <row r="113" spans="1:13" s="34" customFormat="1" ht="20.45" customHeight="1" x14ac:dyDescent="0.2">
      <c r="A113" s="15">
        <f t="shared" si="7"/>
        <v>89</v>
      </c>
      <c r="C113" s="49"/>
      <c r="D113" s="50" t="s">
        <v>73</v>
      </c>
      <c r="E113" s="50"/>
      <c r="F113" s="50"/>
      <c r="G113" s="51">
        <f>SUM(G111:G112)</f>
        <v>53081.6944</v>
      </c>
      <c r="H113" s="50"/>
      <c r="I113" s="51">
        <f>SUM(I111:I112)</f>
        <v>53081.6944</v>
      </c>
      <c r="J113" s="51">
        <f t="shared" si="13"/>
        <v>0</v>
      </c>
      <c r="K113" s="52">
        <f>J113/G113</f>
        <v>0</v>
      </c>
      <c r="L113" s="53">
        <f>K113/G113</f>
        <v>0</v>
      </c>
      <c r="M113" s="1"/>
    </row>
    <row r="114" spans="1:13" x14ac:dyDescent="0.2">
      <c r="A114" s="15">
        <f t="shared" si="7"/>
        <v>90</v>
      </c>
      <c r="D114" s="1" t="s">
        <v>74</v>
      </c>
      <c r="G114" s="35">
        <v>8648.15</v>
      </c>
      <c r="I114" s="8">
        <f>G114</f>
        <v>8648.15</v>
      </c>
      <c r="J114" s="8">
        <f t="shared" si="13"/>
        <v>0</v>
      </c>
      <c r="K114" s="45">
        <v>0</v>
      </c>
    </row>
    <row r="115" spans="1:13" x14ac:dyDescent="0.2">
      <c r="A115" s="15">
        <f t="shared" si="7"/>
        <v>91</v>
      </c>
      <c r="D115" s="1" t="s">
        <v>75</v>
      </c>
      <c r="G115" s="35">
        <v>4860.3499999999995</v>
      </c>
      <c r="I115" s="8">
        <f>G115</f>
        <v>4860.3499999999995</v>
      </c>
      <c r="J115" s="8">
        <f t="shared" si="13"/>
        <v>0</v>
      </c>
      <c r="K115" s="45">
        <v>0</v>
      </c>
    </row>
    <row r="116" spans="1:13" x14ac:dyDescent="0.2">
      <c r="A116" s="15">
        <f t="shared" si="7"/>
        <v>92</v>
      </c>
      <c r="D116" s="1" t="s">
        <v>82</v>
      </c>
      <c r="G116" s="35">
        <v>0</v>
      </c>
      <c r="I116" s="8">
        <f>G116</f>
        <v>0</v>
      </c>
      <c r="J116" s="8">
        <f t="shared" si="13"/>
        <v>0</v>
      </c>
      <c r="K116" s="45">
        <v>0</v>
      </c>
    </row>
    <row r="117" spans="1:13" x14ac:dyDescent="0.2">
      <c r="A117" s="15">
        <f t="shared" si="7"/>
        <v>93</v>
      </c>
      <c r="D117" s="1" t="s">
        <v>83</v>
      </c>
      <c r="G117" s="35">
        <v>0</v>
      </c>
      <c r="I117" s="8">
        <f>G117</f>
        <v>0</v>
      </c>
      <c r="J117" s="8"/>
      <c r="K117" s="45"/>
    </row>
    <row r="118" spans="1:13" x14ac:dyDescent="0.2">
      <c r="A118" s="15">
        <f t="shared" si="7"/>
        <v>94</v>
      </c>
      <c r="D118" s="59" t="s">
        <v>78</v>
      </c>
      <c r="E118" s="59"/>
      <c r="F118" s="59"/>
      <c r="G118" s="60">
        <f>SUM(G114:G117)</f>
        <v>13508.5</v>
      </c>
      <c r="H118" s="59"/>
      <c r="I118" s="60">
        <f>SUM(I114:I117)</f>
        <v>13508.5</v>
      </c>
      <c r="J118" s="60">
        <f>I118-G118</f>
        <v>0</v>
      </c>
      <c r="K118" s="61">
        <f>J118/G118</f>
        <v>0</v>
      </c>
    </row>
    <row r="119" spans="1:13" s="34" customFormat="1" ht="26.45" customHeight="1" thickBot="1" x14ac:dyDescent="0.25">
      <c r="A119" s="15">
        <f t="shared" si="7"/>
        <v>95</v>
      </c>
      <c r="C119" s="49"/>
      <c r="D119" s="62" t="s">
        <v>79</v>
      </c>
      <c r="E119" s="62"/>
      <c r="F119" s="62"/>
      <c r="G119" s="63">
        <f>G118+G113</f>
        <v>66590.194400000008</v>
      </c>
      <c r="H119" s="62"/>
      <c r="I119" s="64">
        <f>I118+I113</f>
        <v>66590.194400000008</v>
      </c>
      <c r="J119" s="64">
        <f>ROUND(I119-G119,2)</f>
        <v>0</v>
      </c>
      <c r="K119" s="65">
        <f>J119/G119</f>
        <v>0</v>
      </c>
      <c r="L119" s="53">
        <f>K119/G119</f>
        <v>0</v>
      </c>
      <c r="M119" s="1"/>
    </row>
    <row r="120" spans="1:13" ht="13.5" thickTop="1" x14ac:dyDescent="0.2">
      <c r="A120" s="15">
        <f t="shared" si="7"/>
        <v>96</v>
      </c>
      <c r="D120" s="1" t="s">
        <v>34</v>
      </c>
      <c r="E120" s="9">
        <f>E112/E111</f>
        <v>17204.444444444445</v>
      </c>
      <c r="G120" s="66">
        <f>G119/E111</f>
        <v>1849.7276222222224</v>
      </c>
      <c r="I120" s="66">
        <f>I119/E111</f>
        <v>1849.7276222222224</v>
      </c>
      <c r="J120" s="66">
        <f>I120-G120</f>
        <v>0</v>
      </c>
      <c r="K120" s="46">
        <f>J120/G120</f>
        <v>0</v>
      </c>
    </row>
    <row r="121" spans="1:13" ht="13.5" thickBot="1" x14ac:dyDescent="0.25">
      <c r="A121" s="15">
        <f t="shared" si="7"/>
        <v>97</v>
      </c>
    </row>
    <row r="122" spans="1:13" x14ac:dyDescent="0.2">
      <c r="A122" s="15">
        <f t="shared" si="7"/>
        <v>98</v>
      </c>
      <c r="B122" s="43" t="s">
        <v>101</v>
      </c>
      <c r="C122" s="44" t="s">
        <v>102</v>
      </c>
      <c r="D122" s="43"/>
      <c r="E122" s="43"/>
      <c r="F122" s="43"/>
      <c r="G122" s="43"/>
      <c r="H122" s="43"/>
      <c r="I122" s="43"/>
      <c r="J122" s="43"/>
      <c r="K122" s="43"/>
    </row>
    <row r="123" spans="1:13" ht="14.25" x14ac:dyDescent="0.2">
      <c r="A123" s="15">
        <f t="shared" si="7"/>
        <v>99</v>
      </c>
      <c r="B123" s="68" t="s">
        <v>103</v>
      </c>
      <c r="C123" s="69" t="s">
        <v>104</v>
      </c>
      <c r="E123" s="9">
        <v>19440</v>
      </c>
      <c r="F123" s="45">
        <v>8.98</v>
      </c>
      <c r="G123" s="8">
        <f t="shared" ref="G123:G138" si="14">F123*E123</f>
        <v>174571.2</v>
      </c>
      <c r="H123" s="45">
        <f t="shared" ref="H123:H138" si="15">F123</f>
        <v>8.98</v>
      </c>
      <c r="I123" s="8">
        <f t="shared" ref="I123:I138" si="16">H123*E123</f>
        <v>174571.2</v>
      </c>
      <c r="J123" s="8">
        <f t="shared" ref="J123:J142" si="17">I123-G123</f>
        <v>0</v>
      </c>
      <c r="K123" s="46">
        <f t="shared" ref="K123:K138" si="18">IF(G123=0,0,J123/G123)</f>
        <v>0</v>
      </c>
    </row>
    <row r="124" spans="1:13" ht="14.25" x14ac:dyDescent="0.2">
      <c r="A124" s="15">
        <f t="shared" si="7"/>
        <v>100</v>
      </c>
      <c r="B124" s="68" t="s">
        <v>103</v>
      </c>
      <c r="C124" s="69" t="s">
        <v>105</v>
      </c>
      <c r="E124" s="9">
        <v>0</v>
      </c>
      <c r="F124" s="45">
        <v>20.48</v>
      </c>
      <c r="G124" s="8">
        <f t="shared" si="14"/>
        <v>0</v>
      </c>
      <c r="H124" s="45">
        <f t="shared" si="15"/>
        <v>20.48</v>
      </c>
      <c r="I124" s="8">
        <f t="shared" si="16"/>
        <v>0</v>
      </c>
      <c r="J124" s="8">
        <f t="shared" si="17"/>
        <v>0</v>
      </c>
      <c r="K124" s="46">
        <f t="shared" si="18"/>
        <v>0</v>
      </c>
    </row>
    <row r="125" spans="1:13" ht="14.25" x14ac:dyDescent="0.2">
      <c r="A125" s="15">
        <f t="shared" si="7"/>
        <v>101</v>
      </c>
      <c r="B125" s="68" t="s">
        <v>103</v>
      </c>
      <c r="C125" s="69" t="s">
        <v>106</v>
      </c>
      <c r="E125" s="9">
        <v>24</v>
      </c>
      <c r="F125" s="45">
        <v>17.260000000000002</v>
      </c>
      <c r="G125" s="8">
        <f t="shared" si="14"/>
        <v>414.24</v>
      </c>
      <c r="H125" s="45">
        <f t="shared" si="15"/>
        <v>17.260000000000002</v>
      </c>
      <c r="I125" s="8">
        <f t="shared" si="16"/>
        <v>414.24</v>
      </c>
      <c r="J125" s="8">
        <f t="shared" si="17"/>
        <v>0</v>
      </c>
      <c r="K125" s="46">
        <f t="shared" si="18"/>
        <v>0</v>
      </c>
    </row>
    <row r="126" spans="1:13" ht="14.25" x14ac:dyDescent="0.2">
      <c r="A126" s="15">
        <f t="shared" si="7"/>
        <v>102</v>
      </c>
      <c r="B126" s="68" t="s">
        <v>103</v>
      </c>
      <c r="C126" s="69" t="s">
        <v>107</v>
      </c>
      <c r="E126" s="9">
        <v>0</v>
      </c>
      <c r="F126" s="45">
        <v>27.24</v>
      </c>
      <c r="G126" s="8">
        <f t="shared" si="14"/>
        <v>0</v>
      </c>
      <c r="H126" s="45">
        <f t="shared" si="15"/>
        <v>27.24</v>
      </c>
      <c r="I126" s="8">
        <f t="shared" si="16"/>
        <v>0</v>
      </c>
      <c r="J126" s="8">
        <f t="shared" si="17"/>
        <v>0</v>
      </c>
      <c r="K126" s="46">
        <f t="shared" si="18"/>
        <v>0</v>
      </c>
    </row>
    <row r="127" spans="1:13" ht="14.25" x14ac:dyDescent="0.2">
      <c r="A127" s="15">
        <f t="shared" si="7"/>
        <v>103</v>
      </c>
      <c r="B127" s="68" t="s">
        <v>108</v>
      </c>
      <c r="C127" s="69" t="s">
        <v>109</v>
      </c>
      <c r="E127" s="9">
        <v>65856</v>
      </c>
      <c r="F127" s="45">
        <v>8.7799999999999994</v>
      </c>
      <c r="G127" s="8">
        <f t="shared" si="14"/>
        <v>578215.67999999993</v>
      </c>
      <c r="H127" s="45">
        <f t="shared" si="15"/>
        <v>8.7799999999999994</v>
      </c>
      <c r="I127" s="8">
        <f t="shared" si="16"/>
        <v>578215.67999999993</v>
      </c>
      <c r="J127" s="8">
        <f t="shared" si="17"/>
        <v>0</v>
      </c>
      <c r="K127" s="46">
        <f t="shared" si="18"/>
        <v>0</v>
      </c>
    </row>
    <row r="128" spans="1:13" ht="14.25" x14ac:dyDescent="0.2">
      <c r="A128" s="15">
        <f t="shared" si="7"/>
        <v>104</v>
      </c>
      <c r="B128" s="68" t="s">
        <v>108</v>
      </c>
      <c r="C128" s="69" t="s">
        <v>110</v>
      </c>
      <c r="E128" s="9">
        <v>168</v>
      </c>
      <c r="F128" s="45">
        <v>18.73</v>
      </c>
      <c r="G128" s="8">
        <f t="shared" si="14"/>
        <v>3146.64</v>
      </c>
      <c r="H128" s="45">
        <f t="shared" si="15"/>
        <v>18.73</v>
      </c>
      <c r="I128" s="8">
        <f t="shared" si="16"/>
        <v>3146.64</v>
      </c>
      <c r="J128" s="8">
        <f t="shared" si="17"/>
        <v>0</v>
      </c>
      <c r="K128" s="46">
        <f t="shared" si="18"/>
        <v>0</v>
      </c>
    </row>
    <row r="129" spans="1:18" ht="14.25" x14ac:dyDescent="0.2">
      <c r="A129" s="15">
        <f t="shared" si="7"/>
        <v>105</v>
      </c>
      <c r="B129" s="68" t="s">
        <v>108</v>
      </c>
      <c r="C129" s="69" t="s">
        <v>111</v>
      </c>
      <c r="E129" s="9">
        <v>2856</v>
      </c>
      <c r="F129" s="45">
        <v>8.8699999999999992</v>
      </c>
      <c r="G129" s="8">
        <f t="shared" si="14"/>
        <v>25332.719999999998</v>
      </c>
      <c r="H129" s="45">
        <f t="shared" si="15"/>
        <v>8.8699999999999992</v>
      </c>
      <c r="I129" s="8">
        <f t="shared" si="16"/>
        <v>25332.719999999998</v>
      </c>
      <c r="J129" s="8">
        <f t="shared" si="17"/>
        <v>0</v>
      </c>
      <c r="K129" s="46">
        <f t="shared" si="18"/>
        <v>0</v>
      </c>
    </row>
    <row r="130" spans="1:18" ht="14.25" x14ac:dyDescent="0.2">
      <c r="A130" s="15">
        <f t="shared" si="7"/>
        <v>106</v>
      </c>
      <c r="B130" s="68" t="s">
        <v>108</v>
      </c>
      <c r="C130" s="69" t="s">
        <v>112</v>
      </c>
      <c r="E130" s="9">
        <v>1248</v>
      </c>
      <c r="F130" s="45">
        <v>12.46</v>
      </c>
      <c r="G130" s="8">
        <f t="shared" si="14"/>
        <v>15550.080000000002</v>
      </c>
      <c r="H130" s="45">
        <f t="shared" si="15"/>
        <v>12.46</v>
      </c>
      <c r="I130" s="8">
        <f t="shared" si="16"/>
        <v>15550.080000000002</v>
      </c>
      <c r="J130" s="8">
        <f t="shared" si="17"/>
        <v>0</v>
      </c>
      <c r="K130" s="46">
        <f t="shared" si="18"/>
        <v>0</v>
      </c>
    </row>
    <row r="131" spans="1:18" ht="14.25" x14ac:dyDescent="0.2">
      <c r="A131" s="15">
        <f t="shared" si="7"/>
        <v>107</v>
      </c>
      <c r="B131" s="68" t="s">
        <v>108</v>
      </c>
      <c r="C131" s="69" t="s">
        <v>113</v>
      </c>
      <c r="E131" s="9">
        <v>144</v>
      </c>
      <c r="F131" s="45">
        <v>22.41</v>
      </c>
      <c r="G131" s="8">
        <f t="shared" si="14"/>
        <v>3227.04</v>
      </c>
      <c r="H131" s="45">
        <f t="shared" si="15"/>
        <v>22.41</v>
      </c>
      <c r="I131" s="8">
        <f t="shared" si="16"/>
        <v>3227.04</v>
      </c>
      <c r="J131" s="8">
        <f t="shared" si="17"/>
        <v>0</v>
      </c>
      <c r="K131" s="46">
        <f t="shared" si="18"/>
        <v>0</v>
      </c>
    </row>
    <row r="132" spans="1:18" ht="14.25" x14ac:dyDescent="0.2">
      <c r="A132" s="15">
        <f t="shared" si="7"/>
        <v>108</v>
      </c>
      <c r="B132" s="68" t="s">
        <v>108</v>
      </c>
      <c r="C132" s="69" t="s">
        <v>114</v>
      </c>
      <c r="E132" s="9">
        <v>1236</v>
      </c>
      <c r="F132" s="45">
        <v>12.22</v>
      </c>
      <c r="G132" s="8">
        <f t="shared" si="14"/>
        <v>15103.92</v>
      </c>
      <c r="H132" s="45">
        <f t="shared" si="15"/>
        <v>12.22</v>
      </c>
      <c r="I132" s="8">
        <f t="shared" si="16"/>
        <v>15103.92</v>
      </c>
      <c r="J132" s="8">
        <f t="shared" si="17"/>
        <v>0</v>
      </c>
      <c r="K132" s="46">
        <f t="shared" si="18"/>
        <v>0</v>
      </c>
    </row>
    <row r="133" spans="1:18" x14ac:dyDescent="0.2">
      <c r="A133" s="15">
        <f t="shared" si="7"/>
        <v>109</v>
      </c>
      <c r="B133" s="68" t="s">
        <v>108</v>
      </c>
      <c r="C133" s="70" t="s">
        <v>115</v>
      </c>
      <c r="E133" s="9">
        <v>0</v>
      </c>
      <c r="F133" s="45">
        <v>18.7</v>
      </c>
      <c r="G133" s="8">
        <f t="shared" si="14"/>
        <v>0</v>
      </c>
      <c r="H133" s="45">
        <f t="shared" si="15"/>
        <v>18.7</v>
      </c>
      <c r="I133" s="8">
        <f t="shared" si="16"/>
        <v>0</v>
      </c>
      <c r="J133" s="8">
        <f t="shared" si="17"/>
        <v>0</v>
      </c>
      <c r="K133" s="46">
        <f t="shared" si="18"/>
        <v>0</v>
      </c>
    </row>
    <row r="134" spans="1:18" x14ac:dyDescent="0.2">
      <c r="A134" s="15">
        <f t="shared" si="7"/>
        <v>110</v>
      </c>
      <c r="B134" s="68" t="s">
        <v>108</v>
      </c>
      <c r="C134" s="70" t="s">
        <v>116</v>
      </c>
      <c r="E134" s="9">
        <v>0</v>
      </c>
      <c r="F134" s="45">
        <v>28.14</v>
      </c>
      <c r="G134" s="8">
        <f t="shared" si="14"/>
        <v>0</v>
      </c>
      <c r="H134" s="45">
        <f t="shared" si="15"/>
        <v>28.14</v>
      </c>
      <c r="I134" s="8">
        <f t="shared" si="16"/>
        <v>0</v>
      </c>
      <c r="J134" s="8">
        <f t="shared" si="17"/>
        <v>0</v>
      </c>
      <c r="K134" s="46">
        <f t="shared" si="18"/>
        <v>0</v>
      </c>
    </row>
    <row r="135" spans="1:18" x14ac:dyDescent="0.2">
      <c r="A135" s="15">
        <f t="shared" si="7"/>
        <v>111</v>
      </c>
      <c r="B135" s="68" t="s">
        <v>108</v>
      </c>
      <c r="C135" s="70" t="s">
        <v>117</v>
      </c>
      <c r="E135" s="9">
        <v>3096</v>
      </c>
      <c r="F135" s="45">
        <v>18.32</v>
      </c>
      <c r="G135" s="8">
        <f t="shared" si="14"/>
        <v>56718.720000000001</v>
      </c>
      <c r="H135" s="45">
        <f t="shared" si="15"/>
        <v>18.32</v>
      </c>
      <c r="I135" s="8">
        <f t="shared" si="16"/>
        <v>56718.720000000001</v>
      </c>
      <c r="J135" s="8">
        <f t="shared" si="17"/>
        <v>0</v>
      </c>
      <c r="K135" s="46">
        <f t="shared" si="18"/>
        <v>0</v>
      </c>
    </row>
    <row r="136" spans="1:18" x14ac:dyDescent="0.2">
      <c r="A136" s="15">
        <f t="shared" si="7"/>
        <v>112</v>
      </c>
      <c r="B136" s="68" t="s">
        <v>118</v>
      </c>
      <c r="C136" s="70" t="s">
        <v>119</v>
      </c>
      <c r="E136" s="9">
        <v>9588</v>
      </c>
      <c r="F136" s="45">
        <v>9.1300000000000008</v>
      </c>
      <c r="G136" s="8">
        <f t="shared" si="14"/>
        <v>87538.44</v>
      </c>
      <c r="H136" s="45">
        <f t="shared" si="15"/>
        <v>9.1300000000000008</v>
      </c>
      <c r="I136" s="8">
        <f t="shared" si="16"/>
        <v>87538.44</v>
      </c>
      <c r="J136" s="8">
        <f t="shared" si="17"/>
        <v>0</v>
      </c>
      <c r="K136" s="46">
        <f t="shared" si="18"/>
        <v>0</v>
      </c>
    </row>
    <row r="137" spans="1:18" x14ac:dyDescent="0.2">
      <c r="A137" s="15">
        <f t="shared" ref="A137:A200" si="19">A136+1</f>
        <v>113</v>
      </c>
      <c r="B137" s="68" t="s">
        <v>118</v>
      </c>
      <c r="C137" s="70" t="s">
        <v>109</v>
      </c>
      <c r="E137" s="9">
        <v>0</v>
      </c>
      <c r="F137" s="45">
        <v>12.52</v>
      </c>
      <c r="G137" s="8">
        <f t="shared" si="14"/>
        <v>0</v>
      </c>
      <c r="H137" s="45">
        <f t="shared" si="15"/>
        <v>12.52</v>
      </c>
      <c r="I137" s="8">
        <f t="shared" si="16"/>
        <v>0</v>
      </c>
      <c r="J137" s="8">
        <f t="shared" si="17"/>
        <v>0</v>
      </c>
      <c r="K137" s="46">
        <f t="shared" si="18"/>
        <v>0</v>
      </c>
    </row>
    <row r="138" spans="1:18" x14ac:dyDescent="0.2">
      <c r="A138" s="15">
        <f t="shared" si="19"/>
        <v>114</v>
      </c>
      <c r="B138" s="68" t="s">
        <v>118</v>
      </c>
      <c r="C138" s="70" t="s">
        <v>120</v>
      </c>
      <c r="E138" s="9">
        <v>60</v>
      </c>
      <c r="F138" s="45">
        <v>24.9</v>
      </c>
      <c r="G138" s="8">
        <f t="shared" si="14"/>
        <v>1494</v>
      </c>
      <c r="H138" s="45">
        <f t="shared" si="15"/>
        <v>24.9</v>
      </c>
      <c r="I138" s="8">
        <f t="shared" si="16"/>
        <v>1494</v>
      </c>
      <c r="J138" s="8">
        <f t="shared" si="17"/>
        <v>0</v>
      </c>
      <c r="K138" s="46">
        <f t="shared" si="18"/>
        <v>0</v>
      </c>
    </row>
    <row r="139" spans="1:18" s="34" customFormat="1" ht="24.6" customHeight="1" x14ac:dyDescent="0.2">
      <c r="A139" s="15">
        <f t="shared" si="19"/>
        <v>115</v>
      </c>
      <c r="C139" s="49"/>
      <c r="D139" s="50" t="s">
        <v>73</v>
      </c>
      <c r="E139" s="50"/>
      <c r="F139" s="50"/>
      <c r="G139" s="51">
        <f>SUM(G123:G138)</f>
        <v>961312.67999999993</v>
      </c>
      <c r="H139" s="50"/>
      <c r="I139" s="51">
        <f>SUM(I123:I138)</f>
        <v>961312.67999999993</v>
      </c>
      <c r="J139" s="51">
        <f>ROUND(I139-G139,2)</f>
        <v>0</v>
      </c>
      <c r="K139" s="52">
        <f>J139/G139</f>
        <v>0</v>
      </c>
      <c r="L139" s="53">
        <f>K139/G139</f>
        <v>0</v>
      </c>
      <c r="M139" s="1"/>
      <c r="O139" s="1"/>
      <c r="P139" s="1"/>
      <c r="Q139" s="1"/>
      <c r="R139" s="1"/>
    </row>
    <row r="140" spans="1:18" x14ac:dyDescent="0.2">
      <c r="A140" s="15">
        <f t="shared" si="19"/>
        <v>116</v>
      </c>
      <c r="D140" s="1" t="s">
        <v>74</v>
      </c>
      <c r="G140" s="35">
        <v>0</v>
      </c>
      <c r="I140" s="8">
        <f>G140</f>
        <v>0</v>
      </c>
      <c r="J140" s="8">
        <f t="shared" si="17"/>
        <v>0</v>
      </c>
      <c r="K140" s="45">
        <v>0</v>
      </c>
    </row>
    <row r="141" spans="1:18" x14ac:dyDescent="0.2">
      <c r="A141" s="15">
        <f t="shared" si="19"/>
        <v>117</v>
      </c>
      <c r="D141" s="1" t="s">
        <v>75</v>
      </c>
      <c r="G141" s="35">
        <v>0</v>
      </c>
      <c r="I141" s="8">
        <f>G141</f>
        <v>0</v>
      </c>
      <c r="J141" s="8">
        <f t="shared" si="17"/>
        <v>0</v>
      </c>
      <c r="K141" s="45">
        <v>0</v>
      </c>
    </row>
    <row r="142" spans="1:18" x14ac:dyDescent="0.2">
      <c r="A142" s="15">
        <f t="shared" si="19"/>
        <v>118</v>
      </c>
      <c r="D142" s="1" t="s">
        <v>82</v>
      </c>
      <c r="G142" s="35">
        <v>0</v>
      </c>
      <c r="I142" s="8">
        <f>G142</f>
        <v>0</v>
      </c>
      <c r="J142" s="8">
        <f t="shared" si="17"/>
        <v>0</v>
      </c>
      <c r="K142" s="45">
        <v>0</v>
      </c>
    </row>
    <row r="143" spans="1:18" x14ac:dyDescent="0.2">
      <c r="A143" s="15">
        <f t="shared" si="19"/>
        <v>119</v>
      </c>
      <c r="D143" s="1" t="s">
        <v>83</v>
      </c>
      <c r="G143" s="35">
        <v>0</v>
      </c>
      <c r="I143" s="8"/>
      <c r="J143" s="8"/>
      <c r="K143" s="45"/>
    </row>
    <row r="144" spans="1:18" x14ac:dyDescent="0.2">
      <c r="A144" s="15">
        <f t="shared" si="19"/>
        <v>120</v>
      </c>
      <c r="D144" s="59" t="s">
        <v>78</v>
      </c>
      <c r="E144" s="59"/>
      <c r="F144" s="59"/>
      <c r="G144" s="60">
        <f>SUM(G140:G142)</f>
        <v>0</v>
      </c>
      <c r="H144" s="59"/>
      <c r="I144" s="60">
        <f>SUM(I140:I142)</f>
        <v>0</v>
      </c>
      <c r="J144" s="60">
        <f>I144-G144</f>
        <v>0</v>
      </c>
      <c r="K144" s="61"/>
    </row>
    <row r="145" spans="1:16" s="34" customFormat="1" ht="26.45" customHeight="1" thickBot="1" x14ac:dyDescent="0.25">
      <c r="A145" s="15">
        <f t="shared" si="19"/>
        <v>121</v>
      </c>
      <c r="C145" s="49"/>
      <c r="D145" s="62" t="s">
        <v>79</v>
      </c>
      <c r="E145" s="62"/>
      <c r="F145" s="62"/>
      <c r="G145" s="63">
        <f>G144+G139</f>
        <v>961312.67999999993</v>
      </c>
      <c r="H145" s="62"/>
      <c r="I145" s="64">
        <f>I144+I139</f>
        <v>961312.67999999993</v>
      </c>
      <c r="J145" s="64">
        <f>I145-G145</f>
        <v>0</v>
      </c>
      <c r="K145" s="65">
        <f>J145/G145</f>
        <v>0</v>
      </c>
      <c r="L145" s="53">
        <f>K145/G145</f>
        <v>0</v>
      </c>
      <c r="M145" s="1"/>
    </row>
    <row r="146" spans="1:16" ht="14.25" thickTop="1" thickBot="1" x14ac:dyDescent="0.25">
      <c r="A146" s="15">
        <f t="shared" si="19"/>
        <v>122</v>
      </c>
      <c r="G146" s="66"/>
      <c r="I146" s="66"/>
      <c r="J146" s="66"/>
      <c r="K146" s="46"/>
    </row>
    <row r="147" spans="1:16" x14ac:dyDescent="0.2">
      <c r="A147" s="15">
        <f t="shared" si="19"/>
        <v>123</v>
      </c>
      <c r="B147" s="43" t="s">
        <v>121</v>
      </c>
      <c r="C147" s="44" t="s">
        <v>122</v>
      </c>
      <c r="D147" s="43"/>
      <c r="E147" s="43"/>
      <c r="F147" s="43"/>
      <c r="G147" s="43"/>
      <c r="H147" s="43"/>
      <c r="I147" s="43"/>
      <c r="J147" s="43"/>
      <c r="K147" s="43"/>
    </row>
    <row r="148" spans="1:16" x14ac:dyDescent="0.2">
      <c r="A148" s="15">
        <f t="shared" si="19"/>
        <v>124</v>
      </c>
      <c r="D148" s="1" t="s">
        <v>71</v>
      </c>
      <c r="E148" s="9">
        <v>12</v>
      </c>
      <c r="F148" s="45">
        <v>1268.17</v>
      </c>
      <c r="G148" s="8">
        <f>F148*E148</f>
        <v>15218.04</v>
      </c>
      <c r="H148" s="45">
        <f t="shared" ref="H148:H152" si="20">F148</f>
        <v>1268.17</v>
      </c>
      <c r="I148" s="8">
        <f>H148*E148</f>
        <v>15218.04</v>
      </c>
      <c r="J148" s="8">
        <f t="shared" ref="J148:J156" si="21">I148-G148</f>
        <v>0</v>
      </c>
      <c r="K148" s="46">
        <f>IF(G148=0,0,J148/G148)</f>
        <v>0</v>
      </c>
      <c r="O148" s="48"/>
    </row>
    <row r="149" spans="1:16" x14ac:dyDescent="0.2">
      <c r="A149" s="15">
        <f t="shared" si="19"/>
        <v>125</v>
      </c>
      <c r="B149" s="71"/>
      <c r="D149" s="1" t="s">
        <v>123</v>
      </c>
      <c r="E149" s="9">
        <v>70496</v>
      </c>
      <c r="F149" s="45">
        <v>7.44</v>
      </c>
      <c r="G149" s="8">
        <f>F149*E149</f>
        <v>524490.23999999999</v>
      </c>
      <c r="H149" s="45">
        <f>F149</f>
        <v>7.44</v>
      </c>
      <c r="I149" s="8">
        <f>H149*E149</f>
        <v>524490.23999999999</v>
      </c>
      <c r="J149" s="8">
        <f t="shared" si="21"/>
        <v>0</v>
      </c>
      <c r="K149" s="46">
        <f>IF(G149=0,0,J149/G149)</f>
        <v>0</v>
      </c>
      <c r="O149" s="48"/>
    </row>
    <row r="150" spans="1:16" x14ac:dyDescent="0.2">
      <c r="A150" s="15">
        <f t="shared" si="19"/>
        <v>126</v>
      </c>
      <c r="B150" s="71"/>
      <c r="D150" s="1" t="s">
        <v>124</v>
      </c>
      <c r="E150" s="9">
        <v>18006</v>
      </c>
      <c r="F150" s="45">
        <v>-5.6</v>
      </c>
      <c r="G150" s="8">
        <f>F150*E150</f>
        <v>-100833.59999999999</v>
      </c>
      <c r="H150" s="45">
        <f t="shared" si="20"/>
        <v>-5.6</v>
      </c>
      <c r="I150" s="8">
        <f>H150*E150</f>
        <v>-100833.59999999999</v>
      </c>
      <c r="J150" s="8">
        <f t="shared" si="21"/>
        <v>0</v>
      </c>
      <c r="K150" s="46">
        <f>IF(G150=0,0,J150/G150)</f>
        <v>0</v>
      </c>
      <c r="O150" s="48"/>
    </row>
    <row r="151" spans="1:16" x14ac:dyDescent="0.2">
      <c r="A151" s="15">
        <f t="shared" si="19"/>
        <v>127</v>
      </c>
      <c r="B151" s="71"/>
      <c r="D151" s="1" t="s">
        <v>125</v>
      </c>
      <c r="E151" s="9"/>
      <c r="F151" s="57"/>
      <c r="G151" s="8">
        <v>160719.99999999977</v>
      </c>
      <c r="H151" s="57"/>
      <c r="I151" s="8">
        <f>G151</f>
        <v>160719.99999999977</v>
      </c>
      <c r="J151" s="8">
        <f t="shared" si="21"/>
        <v>0</v>
      </c>
      <c r="K151" s="46">
        <f>IF(G151=0,0,J151/G151)</f>
        <v>0</v>
      </c>
      <c r="O151" s="48"/>
    </row>
    <row r="152" spans="1:16" x14ac:dyDescent="0.2">
      <c r="A152" s="15">
        <f t="shared" si="19"/>
        <v>128</v>
      </c>
      <c r="B152" s="71"/>
      <c r="D152" s="1" t="s">
        <v>72</v>
      </c>
      <c r="E152" s="9">
        <v>41463518</v>
      </c>
      <c r="F152" s="48">
        <v>4.2610000000000002E-2</v>
      </c>
      <c r="G152" s="8">
        <f>F152*E152</f>
        <v>1766760.5019800002</v>
      </c>
      <c r="H152" s="48">
        <f t="shared" si="20"/>
        <v>4.2610000000000002E-2</v>
      </c>
      <c r="I152" s="8">
        <f>H152*E152</f>
        <v>1766760.5019800002</v>
      </c>
      <c r="J152" s="8">
        <f t="shared" si="21"/>
        <v>0</v>
      </c>
      <c r="K152" s="46">
        <f>IF(G152=0,0,J152/G152)</f>
        <v>0</v>
      </c>
      <c r="O152" s="48"/>
    </row>
    <row r="153" spans="1:16" s="34" customFormat="1" ht="20.45" customHeight="1" x14ac:dyDescent="0.2">
      <c r="A153" s="15">
        <f t="shared" si="19"/>
        <v>129</v>
      </c>
      <c r="B153" s="71"/>
      <c r="C153" s="49"/>
      <c r="D153" s="50" t="s">
        <v>73</v>
      </c>
      <c r="E153" s="50"/>
      <c r="F153" s="50"/>
      <c r="G153" s="51">
        <f>SUM(G148:G152)</f>
        <v>2366355.1819799999</v>
      </c>
      <c r="H153" s="50"/>
      <c r="I153" s="51">
        <f>SUM(I148:I152)</f>
        <v>2366355.1819799999</v>
      </c>
      <c r="J153" s="51">
        <f t="shared" si="21"/>
        <v>0</v>
      </c>
      <c r="K153" s="52">
        <f>J153/G153</f>
        <v>0</v>
      </c>
      <c r="L153" s="53">
        <f>K153/G153</f>
        <v>0</v>
      </c>
      <c r="M153" s="1"/>
      <c r="O153" s="72"/>
      <c r="P153" s="73"/>
    </row>
    <row r="154" spans="1:16" x14ac:dyDescent="0.2">
      <c r="A154" s="15">
        <f t="shared" si="19"/>
        <v>130</v>
      </c>
      <c r="B154" s="71"/>
      <c r="D154" s="1" t="s">
        <v>74</v>
      </c>
      <c r="G154" s="35">
        <v>609174.62</v>
      </c>
      <c r="I154" s="8">
        <f>G154</f>
        <v>609174.62</v>
      </c>
      <c r="J154" s="8">
        <f t="shared" si="21"/>
        <v>0</v>
      </c>
      <c r="K154" s="45">
        <v>0</v>
      </c>
    </row>
    <row r="155" spans="1:16" x14ac:dyDescent="0.2">
      <c r="A155" s="15">
        <f t="shared" si="19"/>
        <v>131</v>
      </c>
      <c r="B155" s="71"/>
      <c r="D155" s="1" t="s">
        <v>75</v>
      </c>
      <c r="G155" s="35">
        <v>353471</v>
      </c>
      <c r="I155" s="8">
        <f>G155</f>
        <v>353471</v>
      </c>
      <c r="J155" s="8">
        <f t="shared" si="21"/>
        <v>0</v>
      </c>
      <c r="K155" s="45">
        <v>0</v>
      </c>
    </row>
    <row r="156" spans="1:16" x14ac:dyDescent="0.2">
      <c r="A156" s="15">
        <f t="shared" si="19"/>
        <v>132</v>
      </c>
      <c r="D156" s="1" t="s">
        <v>126</v>
      </c>
      <c r="G156" s="35">
        <v>3511</v>
      </c>
      <c r="I156" s="8">
        <f>G156</f>
        <v>3511</v>
      </c>
      <c r="J156" s="8">
        <f t="shared" si="21"/>
        <v>0</v>
      </c>
      <c r="K156" s="45">
        <v>0</v>
      </c>
    </row>
    <row r="157" spans="1:16" x14ac:dyDescent="0.2">
      <c r="A157" s="15">
        <f t="shared" si="19"/>
        <v>133</v>
      </c>
      <c r="D157" s="1" t="s">
        <v>83</v>
      </c>
      <c r="G157" s="35">
        <v>0</v>
      </c>
      <c r="I157" s="8">
        <f>G157</f>
        <v>0</v>
      </c>
      <c r="J157" s="8"/>
      <c r="K157" s="45"/>
    </row>
    <row r="158" spans="1:16" x14ac:dyDescent="0.2">
      <c r="A158" s="15">
        <f t="shared" si="19"/>
        <v>134</v>
      </c>
      <c r="D158" s="59" t="s">
        <v>78</v>
      </c>
      <c r="E158" s="59"/>
      <c r="F158" s="59"/>
      <c r="G158" s="60">
        <f>SUM(G154:G157)</f>
        <v>966156.62</v>
      </c>
      <c r="H158" s="59"/>
      <c r="I158" s="60">
        <f>SUM(I154:I157)</f>
        <v>966156.62</v>
      </c>
      <c r="J158" s="60">
        <f>I158-G158</f>
        <v>0</v>
      </c>
      <c r="K158" s="61">
        <f>J158/G158</f>
        <v>0</v>
      </c>
    </row>
    <row r="159" spans="1:16" s="34" customFormat="1" ht="26.45" customHeight="1" thickBot="1" x14ac:dyDescent="0.25">
      <c r="A159" s="15">
        <f t="shared" si="19"/>
        <v>135</v>
      </c>
      <c r="C159" s="49"/>
      <c r="D159" s="62" t="s">
        <v>79</v>
      </c>
      <c r="E159" s="62"/>
      <c r="F159" s="62"/>
      <c r="G159" s="63">
        <f>G158+G153</f>
        <v>3332511.80198</v>
      </c>
      <c r="H159" s="62"/>
      <c r="I159" s="64">
        <f>I158+I153</f>
        <v>3332511.80198</v>
      </c>
      <c r="J159" s="64">
        <f>ROUND(I159-G159,2)</f>
        <v>0</v>
      </c>
      <c r="K159" s="65">
        <f>J159/G159</f>
        <v>0</v>
      </c>
      <c r="L159" s="53">
        <f>K159/G159</f>
        <v>0</v>
      </c>
      <c r="M159" s="1"/>
    </row>
    <row r="160" spans="1:16" ht="13.5" thickTop="1" x14ac:dyDescent="0.2">
      <c r="A160" s="15">
        <f t="shared" si="19"/>
        <v>136</v>
      </c>
      <c r="D160" s="1" t="s">
        <v>34</v>
      </c>
      <c r="E160" s="9">
        <f>E152/E148</f>
        <v>3455293.1666666665</v>
      </c>
      <c r="G160" s="66">
        <f>G159/E148</f>
        <v>277709.31683166669</v>
      </c>
      <c r="I160" s="66">
        <f>I159/E148</f>
        <v>277709.31683166669</v>
      </c>
      <c r="J160" s="66">
        <f>J159/E148</f>
        <v>0</v>
      </c>
      <c r="K160" s="46">
        <f>K159</f>
        <v>0</v>
      </c>
    </row>
    <row r="161" spans="1:16" ht="13.5" thickBot="1" x14ac:dyDescent="0.25">
      <c r="A161" s="15">
        <f t="shared" si="19"/>
        <v>137</v>
      </c>
    </row>
    <row r="162" spans="1:16" x14ac:dyDescent="0.2">
      <c r="A162" s="15">
        <f t="shared" si="19"/>
        <v>138</v>
      </c>
      <c r="B162" s="43" t="s">
        <v>127</v>
      </c>
      <c r="C162" s="44" t="s">
        <v>122</v>
      </c>
      <c r="D162" s="43"/>
      <c r="E162" s="43"/>
      <c r="F162" s="43"/>
      <c r="G162" s="43"/>
      <c r="H162" s="43"/>
      <c r="I162" s="43"/>
      <c r="J162" s="43"/>
      <c r="K162" s="43"/>
    </row>
    <row r="163" spans="1:16" x14ac:dyDescent="0.2">
      <c r="A163" s="15">
        <f t="shared" si="19"/>
        <v>139</v>
      </c>
      <c r="D163" s="1" t="s">
        <v>71</v>
      </c>
      <c r="E163" s="9">
        <v>12</v>
      </c>
      <c r="F163" s="45">
        <v>0</v>
      </c>
      <c r="G163" s="8">
        <f>F163*E163</f>
        <v>0</v>
      </c>
      <c r="H163" s="45">
        <f t="shared" ref="H163:H165" si="22">F163</f>
        <v>0</v>
      </c>
      <c r="I163" s="8">
        <f>H163*E163</f>
        <v>0</v>
      </c>
      <c r="J163" s="8">
        <f t="shared" ref="J163:J169" si="23">I163-G163</f>
        <v>0</v>
      </c>
      <c r="K163" s="46">
        <f>IF(G163=0,0,J163/G163)</f>
        <v>0</v>
      </c>
      <c r="O163" s="48"/>
    </row>
    <row r="164" spans="1:16" x14ac:dyDescent="0.2">
      <c r="A164" s="15">
        <f t="shared" si="19"/>
        <v>140</v>
      </c>
      <c r="B164" s="71"/>
      <c r="D164" s="1" t="s">
        <v>96</v>
      </c>
      <c r="E164" s="9">
        <v>96000</v>
      </c>
      <c r="F164" s="45">
        <v>7.44</v>
      </c>
      <c r="G164" s="8">
        <f>F164*E164</f>
        <v>714240</v>
      </c>
      <c r="H164" s="45">
        <f>F164</f>
        <v>7.44</v>
      </c>
      <c r="I164" s="8">
        <f>H164*E164</f>
        <v>714240</v>
      </c>
      <c r="J164" s="8">
        <f t="shared" si="23"/>
        <v>0</v>
      </c>
      <c r="K164" s="46">
        <f>IF(G164=0,0,J164/G164)</f>
        <v>0</v>
      </c>
      <c r="O164" s="48"/>
    </row>
    <row r="165" spans="1:16" x14ac:dyDescent="0.2">
      <c r="A165" s="15">
        <f t="shared" si="19"/>
        <v>141</v>
      </c>
      <c r="D165" s="1" t="s">
        <v>72</v>
      </c>
      <c r="E165" s="9">
        <v>59373527</v>
      </c>
      <c r="F165" s="48">
        <v>4.2610000000000002E-2</v>
      </c>
      <c r="G165" s="8">
        <f>F165*E165</f>
        <v>2529905.9854700002</v>
      </c>
      <c r="H165" s="48">
        <f t="shared" si="22"/>
        <v>4.2610000000000002E-2</v>
      </c>
      <c r="I165" s="8">
        <f>H165*E165</f>
        <v>2529905.9854700002</v>
      </c>
      <c r="J165" s="8">
        <f t="shared" si="23"/>
        <v>0</v>
      </c>
      <c r="K165" s="46">
        <f>IF(G165=0,0,J165/G165)</f>
        <v>0</v>
      </c>
      <c r="O165" s="48"/>
    </row>
    <row r="166" spans="1:16" s="34" customFormat="1" ht="20.45" customHeight="1" x14ac:dyDescent="0.2">
      <c r="A166" s="15">
        <f t="shared" si="19"/>
        <v>142</v>
      </c>
      <c r="C166" s="49"/>
      <c r="D166" s="50" t="s">
        <v>73</v>
      </c>
      <c r="E166" s="50"/>
      <c r="F166" s="50"/>
      <c r="G166" s="51">
        <f>SUM(G163:G165)</f>
        <v>3244145.9854700002</v>
      </c>
      <c r="H166" s="50"/>
      <c r="I166" s="51">
        <f>SUM(I163:I165)</f>
        <v>3244145.9854700002</v>
      </c>
      <c r="J166" s="51">
        <f t="shared" si="23"/>
        <v>0</v>
      </c>
      <c r="K166" s="52">
        <f>J166/G166</f>
        <v>0</v>
      </c>
      <c r="L166" s="53">
        <f>K166/G166</f>
        <v>0</v>
      </c>
      <c r="M166" s="1"/>
      <c r="O166" s="72"/>
      <c r="P166" s="73"/>
    </row>
    <row r="167" spans="1:16" x14ac:dyDescent="0.2">
      <c r="A167" s="15">
        <f t="shared" si="19"/>
        <v>143</v>
      </c>
      <c r="D167" s="1" t="s">
        <v>74</v>
      </c>
      <c r="G167" s="35">
        <v>791344.53</v>
      </c>
      <c r="I167" s="8">
        <f>G167</f>
        <v>791344.53</v>
      </c>
      <c r="J167" s="8">
        <f t="shared" si="23"/>
        <v>0</v>
      </c>
      <c r="K167" s="45">
        <v>0</v>
      </c>
    </row>
    <row r="168" spans="1:16" x14ac:dyDescent="0.2">
      <c r="A168" s="15">
        <f t="shared" si="19"/>
        <v>144</v>
      </c>
      <c r="D168" s="1" t="s">
        <v>75</v>
      </c>
      <c r="G168" s="35">
        <v>577948</v>
      </c>
      <c r="I168" s="8">
        <f>G168</f>
        <v>577948</v>
      </c>
      <c r="J168" s="8">
        <f t="shared" si="23"/>
        <v>0</v>
      </c>
      <c r="K168" s="45">
        <v>0</v>
      </c>
    </row>
    <row r="169" spans="1:16" x14ac:dyDescent="0.2">
      <c r="A169" s="15">
        <f t="shared" si="19"/>
        <v>145</v>
      </c>
      <c r="D169" s="1" t="s">
        <v>82</v>
      </c>
      <c r="G169" s="35">
        <v>0</v>
      </c>
      <c r="I169" s="8">
        <f>G169</f>
        <v>0</v>
      </c>
      <c r="J169" s="8">
        <f t="shared" si="23"/>
        <v>0</v>
      </c>
      <c r="K169" s="45">
        <v>0</v>
      </c>
    </row>
    <row r="170" spans="1:16" x14ac:dyDescent="0.2">
      <c r="A170" s="15">
        <f t="shared" si="19"/>
        <v>146</v>
      </c>
      <c r="D170" s="1" t="s">
        <v>83</v>
      </c>
      <c r="G170" s="35">
        <v>0</v>
      </c>
      <c r="I170" s="8">
        <f>G170</f>
        <v>0</v>
      </c>
      <c r="J170" s="8"/>
      <c r="K170" s="45"/>
    </row>
    <row r="171" spans="1:16" x14ac:dyDescent="0.2">
      <c r="A171" s="15">
        <f t="shared" si="19"/>
        <v>147</v>
      </c>
      <c r="D171" s="59" t="s">
        <v>78</v>
      </c>
      <c r="E171" s="59"/>
      <c r="F171" s="59"/>
      <c r="G171" s="60">
        <f>SUM(G167:G170)</f>
        <v>1369292.53</v>
      </c>
      <c r="H171" s="59"/>
      <c r="I171" s="60">
        <f>SUM(I167:I170)</f>
        <v>1369292.53</v>
      </c>
      <c r="J171" s="60">
        <f>I171-G171</f>
        <v>0</v>
      </c>
      <c r="K171" s="61">
        <f>J171/G171</f>
        <v>0</v>
      </c>
    </row>
    <row r="172" spans="1:16" s="34" customFormat="1" ht="26.45" customHeight="1" thickBot="1" x14ac:dyDescent="0.25">
      <c r="A172" s="15">
        <f t="shared" si="19"/>
        <v>148</v>
      </c>
      <c r="C172" s="49"/>
      <c r="D172" s="62" t="s">
        <v>79</v>
      </c>
      <c r="E172" s="62"/>
      <c r="F172" s="62"/>
      <c r="G172" s="63">
        <f>G171+G166</f>
        <v>4613438.51547</v>
      </c>
      <c r="H172" s="62"/>
      <c r="I172" s="64">
        <f>I171+I166</f>
        <v>4613438.51547</v>
      </c>
      <c r="J172" s="64">
        <f>I172-G172</f>
        <v>0</v>
      </c>
      <c r="K172" s="65">
        <f>J172/G172</f>
        <v>0</v>
      </c>
      <c r="L172" s="53">
        <f>K172/G172</f>
        <v>0</v>
      </c>
      <c r="M172" s="1"/>
    </row>
    <row r="173" spans="1:16" ht="13.5" thickTop="1" x14ac:dyDescent="0.2">
      <c r="A173" s="15">
        <f t="shared" si="19"/>
        <v>149</v>
      </c>
      <c r="D173" s="1" t="s">
        <v>34</v>
      </c>
      <c r="E173" s="9">
        <f>E165/E163</f>
        <v>4947793.916666667</v>
      </c>
      <c r="G173" s="66">
        <f>G172/E163</f>
        <v>384453.2096225</v>
      </c>
      <c r="I173" s="66">
        <f>I172/E163</f>
        <v>384453.2096225</v>
      </c>
      <c r="J173" s="66">
        <f>J172/E163</f>
        <v>0</v>
      </c>
      <c r="K173" s="46">
        <f>K172</f>
        <v>0</v>
      </c>
    </row>
    <row r="174" spans="1:16" ht="13.5" thickBot="1" x14ac:dyDescent="0.25">
      <c r="A174" s="15">
        <f t="shared" si="19"/>
        <v>150</v>
      </c>
    </row>
    <row r="175" spans="1:16" x14ac:dyDescent="0.2">
      <c r="A175" s="15">
        <f>A161+1</f>
        <v>138</v>
      </c>
      <c r="B175" s="43" t="s">
        <v>128</v>
      </c>
      <c r="C175" s="44" t="s">
        <v>122</v>
      </c>
      <c r="D175" s="43"/>
      <c r="E175" s="43"/>
      <c r="F175" s="43"/>
      <c r="G175" s="43"/>
      <c r="H175" s="43"/>
      <c r="I175" s="43"/>
      <c r="J175" s="43"/>
      <c r="K175" s="43"/>
    </row>
    <row r="176" spans="1:16" x14ac:dyDescent="0.2">
      <c r="A176" s="15">
        <f t="shared" si="19"/>
        <v>139</v>
      </c>
      <c r="D176" s="1" t="s">
        <v>71</v>
      </c>
      <c r="E176" s="9">
        <v>12</v>
      </c>
      <c r="F176" s="45">
        <v>1268.17</v>
      </c>
      <c r="G176" s="8">
        <f>F176*E176</f>
        <v>15218.04</v>
      </c>
      <c r="H176" s="45">
        <f t="shared" ref="H176:H178" si="24">F176</f>
        <v>1268.17</v>
      </c>
      <c r="I176" s="8">
        <f>H176*E176</f>
        <v>15218.04</v>
      </c>
      <c r="J176" s="8">
        <f t="shared" ref="J176:J182" si="25">I176-G176</f>
        <v>0</v>
      </c>
      <c r="K176" s="46">
        <f>IF(G176=0,0,J176/G176)</f>
        <v>0</v>
      </c>
      <c r="O176" s="48"/>
    </row>
    <row r="177" spans="1:16" x14ac:dyDescent="0.2">
      <c r="A177" s="15">
        <f t="shared" si="19"/>
        <v>140</v>
      </c>
      <c r="B177" s="71"/>
      <c r="D177" s="1" t="s">
        <v>96</v>
      </c>
      <c r="E177" s="9">
        <v>92021</v>
      </c>
      <c r="F177" s="45">
        <v>7.44</v>
      </c>
      <c r="G177" s="8">
        <f>F177*E177</f>
        <v>684636.24</v>
      </c>
      <c r="H177" s="45">
        <f>F177</f>
        <v>7.44</v>
      </c>
      <c r="I177" s="8">
        <f>H177*E177</f>
        <v>684636.24</v>
      </c>
      <c r="J177" s="8">
        <f t="shared" si="25"/>
        <v>0</v>
      </c>
      <c r="K177" s="46">
        <f>IF(G177=0,0,J177/G177)</f>
        <v>0</v>
      </c>
      <c r="O177" s="48"/>
    </row>
    <row r="178" spans="1:16" x14ac:dyDescent="0.2">
      <c r="A178" s="15">
        <f t="shared" si="19"/>
        <v>141</v>
      </c>
      <c r="D178" s="1" t="s">
        <v>72</v>
      </c>
      <c r="E178" s="9">
        <v>56173030</v>
      </c>
      <c r="F178" s="48">
        <v>4.2610000000000002E-2</v>
      </c>
      <c r="G178" s="8">
        <f>F178*E178</f>
        <v>2393532.8083000001</v>
      </c>
      <c r="H178" s="48">
        <f t="shared" si="24"/>
        <v>4.2610000000000002E-2</v>
      </c>
      <c r="I178" s="8">
        <f>H178*E178</f>
        <v>2393532.8083000001</v>
      </c>
      <c r="J178" s="8">
        <f t="shared" si="25"/>
        <v>0</v>
      </c>
      <c r="K178" s="46">
        <f>IF(G178=0,0,J178/G178)</f>
        <v>0</v>
      </c>
      <c r="O178" s="48"/>
    </row>
    <row r="179" spans="1:16" s="34" customFormat="1" ht="20.45" customHeight="1" x14ac:dyDescent="0.2">
      <c r="A179" s="15">
        <f t="shared" si="19"/>
        <v>142</v>
      </c>
      <c r="C179" s="49"/>
      <c r="D179" s="50" t="s">
        <v>73</v>
      </c>
      <c r="E179" s="50"/>
      <c r="F179" s="50"/>
      <c r="G179" s="51">
        <f>SUM(G176:G178)</f>
        <v>3093387.0882999999</v>
      </c>
      <c r="H179" s="50"/>
      <c r="I179" s="51">
        <f>SUM(I176:I178)</f>
        <v>3093387.0882999999</v>
      </c>
      <c r="J179" s="51">
        <f t="shared" si="25"/>
        <v>0</v>
      </c>
      <c r="K179" s="52">
        <f>J179/G179</f>
        <v>0</v>
      </c>
      <c r="L179" s="53">
        <f>K179/G179</f>
        <v>0</v>
      </c>
      <c r="M179" s="1"/>
      <c r="O179" s="72"/>
      <c r="P179" s="73"/>
    </row>
    <row r="180" spans="1:16" x14ac:dyDescent="0.2">
      <c r="A180" s="15">
        <f t="shared" si="19"/>
        <v>143</v>
      </c>
      <c r="D180" s="1" t="s">
        <v>74</v>
      </c>
      <c r="G180" s="35">
        <v>754774.6399999999</v>
      </c>
      <c r="I180" s="8">
        <f>G180</f>
        <v>754774.6399999999</v>
      </c>
      <c r="J180" s="8">
        <f t="shared" si="25"/>
        <v>0</v>
      </c>
      <c r="K180" s="45">
        <v>0</v>
      </c>
    </row>
    <row r="181" spans="1:16" x14ac:dyDescent="0.2">
      <c r="A181" s="15">
        <f t="shared" si="19"/>
        <v>144</v>
      </c>
      <c r="D181" s="1" t="s">
        <v>75</v>
      </c>
      <c r="G181" s="35">
        <v>534246</v>
      </c>
      <c r="I181" s="8">
        <f>G181</f>
        <v>534246</v>
      </c>
      <c r="J181" s="8">
        <f t="shared" si="25"/>
        <v>0</v>
      </c>
      <c r="K181" s="45">
        <v>0</v>
      </c>
    </row>
    <row r="182" spans="1:16" x14ac:dyDescent="0.2">
      <c r="A182" s="15">
        <f t="shared" si="19"/>
        <v>145</v>
      </c>
      <c r="D182" s="1" t="s">
        <v>82</v>
      </c>
      <c r="G182" s="35">
        <v>0</v>
      </c>
      <c r="I182" s="8">
        <f>G182</f>
        <v>0</v>
      </c>
      <c r="J182" s="8">
        <f t="shared" si="25"/>
        <v>0</v>
      </c>
      <c r="K182" s="45">
        <v>0</v>
      </c>
    </row>
    <row r="183" spans="1:16" x14ac:dyDescent="0.2">
      <c r="A183" s="15">
        <f t="shared" si="19"/>
        <v>146</v>
      </c>
      <c r="D183" s="1" t="s">
        <v>83</v>
      </c>
      <c r="G183" s="35">
        <v>0</v>
      </c>
      <c r="I183" s="8">
        <f>G183</f>
        <v>0</v>
      </c>
      <c r="J183" s="8"/>
      <c r="K183" s="45"/>
    </row>
    <row r="184" spans="1:16" x14ac:dyDescent="0.2">
      <c r="A184" s="15">
        <f t="shared" si="19"/>
        <v>147</v>
      </c>
      <c r="D184" s="59" t="s">
        <v>78</v>
      </c>
      <c r="E184" s="59"/>
      <c r="F184" s="59"/>
      <c r="G184" s="60">
        <f>SUM(G180:G183)</f>
        <v>1289020.6399999999</v>
      </c>
      <c r="H184" s="59"/>
      <c r="I184" s="60">
        <f>SUM(I180:I183)</f>
        <v>1289020.6399999999</v>
      </c>
      <c r="J184" s="60">
        <f>I184-G184</f>
        <v>0</v>
      </c>
      <c r="K184" s="61">
        <f>J184/G184</f>
        <v>0</v>
      </c>
    </row>
    <row r="185" spans="1:16" s="34" customFormat="1" ht="26.45" customHeight="1" thickBot="1" x14ac:dyDescent="0.25">
      <c r="A185" s="15">
        <f t="shared" si="19"/>
        <v>148</v>
      </c>
      <c r="C185" s="49"/>
      <c r="D185" s="62" t="s">
        <v>79</v>
      </c>
      <c r="E185" s="62"/>
      <c r="F185" s="62"/>
      <c r="G185" s="63">
        <f>G184+G179</f>
        <v>4382407.7282999996</v>
      </c>
      <c r="H185" s="62"/>
      <c r="I185" s="64">
        <f>I184+I179</f>
        <v>4382407.7282999996</v>
      </c>
      <c r="J185" s="64">
        <f>I185-G185</f>
        <v>0</v>
      </c>
      <c r="K185" s="65">
        <f>J185/G185</f>
        <v>0</v>
      </c>
      <c r="L185" s="53">
        <f>K185/G185</f>
        <v>0</v>
      </c>
      <c r="M185" s="1"/>
    </row>
    <row r="186" spans="1:16" ht="13.5" thickTop="1" x14ac:dyDescent="0.2">
      <c r="A186" s="15">
        <f t="shared" si="19"/>
        <v>149</v>
      </c>
      <c r="D186" s="1" t="s">
        <v>34</v>
      </c>
      <c r="E186" s="9">
        <f>E178/E176</f>
        <v>4681085.833333333</v>
      </c>
      <c r="G186" s="66">
        <f>G185/E176</f>
        <v>365200.64402499999</v>
      </c>
      <c r="I186" s="66">
        <f>I185/E176</f>
        <v>365200.64402499999</v>
      </c>
      <c r="J186" s="66">
        <f>J185/E176</f>
        <v>0</v>
      </c>
      <c r="K186" s="46">
        <f>K185</f>
        <v>0</v>
      </c>
    </row>
    <row r="187" spans="1:16" ht="13.5" thickBot="1" x14ac:dyDescent="0.25">
      <c r="A187" s="15">
        <f t="shared" si="19"/>
        <v>150</v>
      </c>
    </row>
    <row r="188" spans="1:16" x14ac:dyDescent="0.2">
      <c r="A188" s="15">
        <f>A174+1</f>
        <v>151</v>
      </c>
      <c r="B188" s="43" t="s">
        <v>129</v>
      </c>
      <c r="C188" s="44" t="s">
        <v>122</v>
      </c>
      <c r="D188" s="43"/>
      <c r="E188" s="43"/>
      <c r="F188" s="43"/>
      <c r="G188" s="43"/>
      <c r="H188" s="43"/>
      <c r="I188" s="43"/>
      <c r="J188" s="43"/>
      <c r="K188" s="43"/>
    </row>
    <row r="189" spans="1:16" x14ac:dyDescent="0.2">
      <c r="A189" s="15">
        <f t="shared" si="19"/>
        <v>152</v>
      </c>
      <c r="D189" s="1" t="s">
        <v>71</v>
      </c>
      <c r="E189" s="9">
        <v>12</v>
      </c>
      <c r="F189" s="45">
        <v>5726.7</v>
      </c>
      <c r="G189" s="8">
        <f>F189*E189</f>
        <v>68720.399999999994</v>
      </c>
      <c r="H189" s="45">
        <f t="shared" ref="H189:H191" si="26">F189</f>
        <v>5726.7</v>
      </c>
      <c r="I189" s="8">
        <f>H189*E189</f>
        <v>68720.399999999994</v>
      </c>
      <c r="J189" s="8">
        <f t="shared" ref="J189:J195" si="27">I189-G189</f>
        <v>0</v>
      </c>
      <c r="K189" s="46">
        <f>IF(G189=0,0,J189/G189)</f>
        <v>0</v>
      </c>
      <c r="O189" s="48"/>
    </row>
    <row r="190" spans="1:16" x14ac:dyDescent="0.2">
      <c r="A190" s="15">
        <f t="shared" si="19"/>
        <v>153</v>
      </c>
      <c r="B190" s="71"/>
      <c r="D190" s="1" t="s">
        <v>96</v>
      </c>
      <c r="E190" s="9">
        <v>412081</v>
      </c>
      <c r="F190" s="45">
        <v>7.3</v>
      </c>
      <c r="G190" s="8">
        <f>F190*E190</f>
        <v>3008191.3</v>
      </c>
      <c r="H190" s="45">
        <f t="shared" si="26"/>
        <v>7.3</v>
      </c>
      <c r="I190" s="8">
        <f>H190*E190</f>
        <v>3008191.3</v>
      </c>
      <c r="J190" s="8">
        <f t="shared" si="27"/>
        <v>0</v>
      </c>
      <c r="K190" s="46">
        <f>IF(G190=0,0,J190/G190)</f>
        <v>0</v>
      </c>
      <c r="O190" s="48"/>
    </row>
    <row r="191" spans="1:16" x14ac:dyDescent="0.2">
      <c r="A191" s="15">
        <f t="shared" si="19"/>
        <v>154</v>
      </c>
      <c r="D191" s="1" t="s">
        <v>72</v>
      </c>
      <c r="E191" s="9">
        <v>256019383</v>
      </c>
      <c r="F191" s="48">
        <v>3.9780000000000003E-2</v>
      </c>
      <c r="G191" s="8">
        <f>F191*E191</f>
        <v>10184451.055740001</v>
      </c>
      <c r="H191" s="48">
        <f t="shared" si="26"/>
        <v>3.9780000000000003E-2</v>
      </c>
      <c r="I191" s="8">
        <f>H191*E191</f>
        <v>10184451.055740001</v>
      </c>
      <c r="J191" s="8">
        <f t="shared" si="27"/>
        <v>0</v>
      </c>
      <c r="K191" s="46">
        <f>IF(G191=0,0,J191/G191)</f>
        <v>0</v>
      </c>
      <c r="O191" s="48"/>
    </row>
    <row r="192" spans="1:16" s="34" customFormat="1" ht="20.45" customHeight="1" x14ac:dyDescent="0.2">
      <c r="A192" s="15">
        <f t="shared" si="19"/>
        <v>155</v>
      </c>
      <c r="C192" s="49"/>
      <c r="D192" s="50" t="s">
        <v>73</v>
      </c>
      <c r="E192" s="50"/>
      <c r="F192" s="50"/>
      <c r="G192" s="51">
        <f>SUM(G189:G191)</f>
        <v>13261362.75574</v>
      </c>
      <c r="H192" s="50"/>
      <c r="I192" s="51">
        <f>SUM(I189:I191)</f>
        <v>13261362.75574</v>
      </c>
      <c r="J192" s="51">
        <f t="shared" si="27"/>
        <v>0</v>
      </c>
      <c r="K192" s="52">
        <f>J192/G192</f>
        <v>0</v>
      </c>
      <c r="L192" s="53">
        <f>K192/G192</f>
        <v>0</v>
      </c>
      <c r="M192" s="1"/>
      <c r="O192" s="72"/>
      <c r="P192" s="73"/>
    </row>
    <row r="193" spans="1:16" x14ac:dyDescent="0.2">
      <c r="A193" s="15">
        <f t="shared" si="19"/>
        <v>156</v>
      </c>
      <c r="D193" s="1" t="s">
        <v>74</v>
      </c>
      <c r="G193" s="35">
        <v>3382471.01</v>
      </c>
      <c r="I193" s="8">
        <f>G193</f>
        <v>3382471.01</v>
      </c>
      <c r="J193" s="8">
        <f t="shared" si="27"/>
        <v>0</v>
      </c>
      <c r="K193" s="45">
        <v>0</v>
      </c>
    </row>
    <row r="194" spans="1:16" x14ac:dyDescent="0.2">
      <c r="A194" s="15">
        <f t="shared" si="19"/>
        <v>157</v>
      </c>
      <c r="D194" s="1" t="s">
        <v>75</v>
      </c>
      <c r="G194" s="35">
        <v>2411760</v>
      </c>
      <c r="I194" s="8">
        <f>G194</f>
        <v>2411760</v>
      </c>
      <c r="J194" s="8">
        <f t="shared" si="27"/>
        <v>0</v>
      </c>
      <c r="K194" s="45">
        <v>0</v>
      </c>
    </row>
    <row r="195" spans="1:16" x14ac:dyDescent="0.2">
      <c r="A195" s="15">
        <f t="shared" si="19"/>
        <v>158</v>
      </c>
      <c r="D195" s="1" t="s">
        <v>82</v>
      </c>
      <c r="G195" s="35">
        <v>0</v>
      </c>
      <c r="I195" s="8">
        <f>G195</f>
        <v>0</v>
      </c>
      <c r="J195" s="8">
        <f t="shared" si="27"/>
        <v>0</v>
      </c>
      <c r="K195" s="45">
        <v>0</v>
      </c>
    </row>
    <row r="196" spans="1:16" x14ac:dyDescent="0.2">
      <c r="A196" s="15">
        <f t="shared" si="19"/>
        <v>159</v>
      </c>
      <c r="D196" s="1" t="s">
        <v>83</v>
      </c>
      <c r="G196" s="35">
        <v>0</v>
      </c>
      <c r="I196" s="8">
        <f>G196</f>
        <v>0</v>
      </c>
      <c r="J196" s="8"/>
      <c r="K196" s="45"/>
    </row>
    <row r="197" spans="1:16" x14ac:dyDescent="0.2">
      <c r="A197" s="15">
        <f t="shared" si="19"/>
        <v>160</v>
      </c>
      <c r="D197" s="59" t="s">
        <v>78</v>
      </c>
      <c r="E197" s="59"/>
      <c r="F197" s="59"/>
      <c r="G197" s="60">
        <f>SUM(G193:G196)</f>
        <v>5794231.0099999998</v>
      </c>
      <c r="H197" s="59"/>
      <c r="I197" s="60">
        <f>SUM(I193:I196)</f>
        <v>5794231.0099999998</v>
      </c>
      <c r="J197" s="60">
        <f>I197-G197</f>
        <v>0</v>
      </c>
      <c r="K197" s="61">
        <f>J197/G197</f>
        <v>0</v>
      </c>
    </row>
    <row r="198" spans="1:16" s="34" customFormat="1" ht="26.45" customHeight="1" thickBot="1" x14ac:dyDescent="0.25">
      <c r="A198" s="15">
        <f t="shared" si="19"/>
        <v>161</v>
      </c>
      <c r="C198" s="49"/>
      <c r="D198" s="62" t="s">
        <v>79</v>
      </c>
      <c r="E198" s="62"/>
      <c r="F198" s="62"/>
      <c r="G198" s="63">
        <f>G197+G192</f>
        <v>19055593.76574</v>
      </c>
      <c r="H198" s="62"/>
      <c r="I198" s="64">
        <f>I197+I192</f>
        <v>19055593.76574</v>
      </c>
      <c r="J198" s="64">
        <f>I198-G198</f>
        <v>0</v>
      </c>
      <c r="K198" s="65">
        <f>J198/G198</f>
        <v>0</v>
      </c>
      <c r="L198" s="53">
        <f>K198/G198</f>
        <v>0</v>
      </c>
      <c r="M198" s="1"/>
    </row>
    <row r="199" spans="1:16" ht="13.5" thickTop="1" x14ac:dyDescent="0.2">
      <c r="A199" s="15">
        <f t="shared" si="19"/>
        <v>162</v>
      </c>
      <c r="D199" s="1" t="s">
        <v>34</v>
      </c>
      <c r="E199" s="9">
        <f>E191/E189</f>
        <v>21334948.583333332</v>
      </c>
      <c r="G199" s="66">
        <f>G198/E189</f>
        <v>1587966.1471450001</v>
      </c>
      <c r="I199" s="66">
        <f>I198/E189</f>
        <v>1587966.1471450001</v>
      </c>
      <c r="J199" s="66">
        <f>J198/E189</f>
        <v>0</v>
      </c>
      <c r="K199" s="46">
        <f>K198</f>
        <v>0</v>
      </c>
    </row>
    <row r="200" spans="1:16" ht="13.5" thickBot="1" x14ac:dyDescent="0.25">
      <c r="A200" s="15">
        <f t="shared" si="19"/>
        <v>163</v>
      </c>
    </row>
    <row r="201" spans="1:16" x14ac:dyDescent="0.2">
      <c r="A201" s="15">
        <f>A121+1</f>
        <v>98</v>
      </c>
      <c r="B201" s="43" t="s">
        <v>130</v>
      </c>
      <c r="C201" s="44" t="s">
        <v>122</v>
      </c>
      <c r="D201" s="43"/>
      <c r="E201" s="43"/>
      <c r="F201" s="43"/>
      <c r="G201" s="43"/>
      <c r="H201" s="43"/>
      <c r="I201" s="43"/>
      <c r="J201" s="43"/>
      <c r="K201" s="43"/>
    </row>
    <row r="202" spans="1:16" x14ac:dyDescent="0.2">
      <c r="A202" s="15">
        <f t="shared" ref="A202:A237" si="28">A201+1</f>
        <v>99</v>
      </c>
      <c r="D202" s="1" t="s">
        <v>71</v>
      </c>
      <c r="E202" s="9">
        <v>163515005</v>
      </c>
      <c r="F202" s="74">
        <v>2E-3</v>
      </c>
      <c r="G202" s="8">
        <f>F202*E202</f>
        <v>327030.01</v>
      </c>
      <c r="H202" s="74">
        <f t="shared" ref="H202:H204" si="29">F202</f>
        <v>2E-3</v>
      </c>
      <c r="I202" s="8">
        <f>H202*E202</f>
        <v>327030.01</v>
      </c>
      <c r="J202" s="8">
        <f t="shared" ref="J202:J208" si="30">I202-G202</f>
        <v>0</v>
      </c>
      <c r="K202" s="46">
        <f>IF(G202=0,0,J202/G202)</f>
        <v>0</v>
      </c>
      <c r="P202" s="1">
        <f>G202/F202</f>
        <v>163515005</v>
      </c>
    </row>
    <row r="203" spans="1:16" x14ac:dyDescent="0.2">
      <c r="A203" s="15">
        <f t="shared" si="28"/>
        <v>100</v>
      </c>
      <c r="D203" s="1" t="s">
        <v>72</v>
      </c>
      <c r="E203" s="9">
        <v>140567003</v>
      </c>
      <c r="F203" s="47">
        <v>6.0740000000000002E-2</v>
      </c>
      <c r="G203" s="8">
        <f>F203*E203</f>
        <v>8538039.7622200008</v>
      </c>
      <c r="H203" s="47">
        <f t="shared" si="29"/>
        <v>6.0740000000000002E-2</v>
      </c>
      <c r="I203" s="8">
        <f>H203*E203</f>
        <v>8538039.7622200008</v>
      </c>
      <c r="J203" s="8">
        <f t="shared" si="30"/>
        <v>0</v>
      </c>
      <c r="K203" s="46">
        <f>IF(G203=0,0,J203/G203)</f>
        <v>0</v>
      </c>
    </row>
    <row r="204" spans="1:16" x14ac:dyDescent="0.2">
      <c r="A204" s="15">
        <f t="shared" si="28"/>
        <v>101</v>
      </c>
      <c r="D204" s="1" t="s">
        <v>96</v>
      </c>
      <c r="E204" s="9">
        <v>327872</v>
      </c>
      <c r="F204" s="45">
        <v>1.75</v>
      </c>
      <c r="G204" s="8">
        <f>E204*F204</f>
        <v>573776</v>
      </c>
      <c r="H204" s="45">
        <f t="shared" si="29"/>
        <v>1.75</v>
      </c>
      <c r="I204" s="8">
        <f>H204*E204</f>
        <v>573776</v>
      </c>
      <c r="J204" s="8">
        <f t="shared" si="30"/>
        <v>0</v>
      </c>
      <c r="K204" s="46">
        <f>IF(G204=0,0,J204/G204)</f>
        <v>0</v>
      </c>
    </row>
    <row r="205" spans="1:16" s="34" customFormat="1" ht="20.45" customHeight="1" x14ac:dyDescent="0.2">
      <c r="A205" s="15">
        <f t="shared" si="28"/>
        <v>102</v>
      </c>
      <c r="C205" s="49"/>
      <c r="D205" s="50" t="s">
        <v>73</v>
      </c>
      <c r="E205" s="50"/>
      <c r="F205" s="50"/>
      <c r="G205" s="51">
        <f>SUM(G202:G204)</f>
        <v>9438845.7722200006</v>
      </c>
      <c r="H205" s="50"/>
      <c r="I205" s="51">
        <f>SUM(I202:I204)</f>
        <v>9438845.7722200006</v>
      </c>
      <c r="J205" s="51">
        <f t="shared" si="30"/>
        <v>0</v>
      </c>
      <c r="K205" s="52">
        <f>IF(G205=0,0,J205/G205)</f>
        <v>0</v>
      </c>
      <c r="L205" s="53">
        <f>K205/G205</f>
        <v>0</v>
      </c>
      <c r="M205" s="1"/>
    </row>
    <row r="206" spans="1:16" x14ac:dyDescent="0.2">
      <c r="A206" s="15">
        <f t="shared" si="28"/>
        <v>103</v>
      </c>
      <c r="D206" s="1" t="s">
        <v>74</v>
      </c>
      <c r="G206" s="35">
        <v>0</v>
      </c>
      <c r="I206" s="8">
        <f>G206</f>
        <v>0</v>
      </c>
      <c r="J206" s="8">
        <f t="shared" si="30"/>
        <v>0</v>
      </c>
      <c r="K206" s="45">
        <v>0</v>
      </c>
    </row>
    <row r="207" spans="1:16" x14ac:dyDescent="0.2">
      <c r="A207" s="15">
        <f t="shared" si="28"/>
        <v>104</v>
      </c>
      <c r="D207" s="1" t="s">
        <v>75</v>
      </c>
      <c r="G207" s="35">
        <v>574417</v>
      </c>
      <c r="I207" s="8">
        <f>G207</f>
        <v>574417</v>
      </c>
      <c r="J207" s="8">
        <f t="shared" si="30"/>
        <v>0</v>
      </c>
      <c r="K207" s="45">
        <v>0</v>
      </c>
    </row>
    <row r="208" spans="1:16" x14ac:dyDescent="0.2">
      <c r="A208" s="15">
        <f t="shared" si="28"/>
        <v>105</v>
      </c>
      <c r="D208" s="1" t="s">
        <v>82</v>
      </c>
      <c r="G208" s="35">
        <v>0</v>
      </c>
      <c r="I208" s="8">
        <f>G208</f>
        <v>0</v>
      </c>
      <c r="J208" s="8">
        <f t="shared" si="30"/>
        <v>0</v>
      </c>
      <c r="K208" s="45">
        <v>0</v>
      </c>
    </row>
    <row r="209" spans="1:13" x14ac:dyDescent="0.2">
      <c r="A209" s="15">
        <f t="shared" si="28"/>
        <v>106</v>
      </c>
      <c r="D209" s="1" t="s">
        <v>83</v>
      </c>
      <c r="G209" s="35">
        <v>0</v>
      </c>
      <c r="I209" s="8">
        <f>G209</f>
        <v>0</v>
      </c>
      <c r="J209" s="8"/>
      <c r="K209" s="45"/>
    </row>
    <row r="210" spans="1:13" x14ac:dyDescent="0.2">
      <c r="A210" s="15">
        <f t="shared" si="28"/>
        <v>107</v>
      </c>
      <c r="D210" s="59" t="s">
        <v>78</v>
      </c>
      <c r="E210" s="59"/>
      <c r="F210" s="59"/>
      <c r="G210" s="60">
        <f>SUM(G206:G209)</f>
        <v>574417</v>
      </c>
      <c r="H210" s="59"/>
      <c r="I210" s="60">
        <f>SUM(I206:I209)</f>
        <v>574417</v>
      </c>
      <c r="J210" s="60">
        <f>I210-G210</f>
        <v>0</v>
      </c>
      <c r="K210" s="61">
        <f>J210/G210</f>
        <v>0</v>
      </c>
    </row>
    <row r="211" spans="1:13" s="34" customFormat="1" ht="26.45" customHeight="1" thickBot="1" x14ac:dyDescent="0.25">
      <c r="A211" s="15">
        <f t="shared" si="28"/>
        <v>108</v>
      </c>
      <c r="C211" s="49"/>
      <c r="D211" s="62" t="s">
        <v>79</v>
      </c>
      <c r="E211" s="62"/>
      <c r="F211" s="62"/>
      <c r="G211" s="63">
        <f>G210+G205</f>
        <v>10013262.772220001</v>
      </c>
      <c r="H211" s="62"/>
      <c r="I211" s="64">
        <f>I210+I205</f>
        <v>10013262.772220001</v>
      </c>
      <c r="J211" s="64">
        <f>I211-G211</f>
        <v>0</v>
      </c>
      <c r="K211" s="65">
        <f>IF(G211=0,0,J211/G211)</f>
        <v>0</v>
      </c>
      <c r="L211" s="53">
        <f>K211/G211</f>
        <v>0</v>
      </c>
      <c r="M211" s="1"/>
    </row>
    <row r="212" spans="1:13" ht="13.5" thickTop="1" x14ac:dyDescent="0.2">
      <c r="A212" s="15">
        <f t="shared" si="28"/>
        <v>109</v>
      </c>
      <c r="D212" s="75" t="s">
        <v>34</v>
      </c>
      <c r="E212" s="76">
        <f>E203/12</f>
        <v>11713916.916666666</v>
      </c>
      <c r="F212" s="4"/>
      <c r="G212" s="77">
        <f>G211/12</f>
        <v>834438.56435166672</v>
      </c>
      <c r="H212" s="4"/>
      <c r="I212" s="77">
        <f>I211/12</f>
        <v>834438.56435166672</v>
      </c>
      <c r="J212" s="78">
        <f>J211/12</f>
        <v>0</v>
      </c>
      <c r="K212" s="79">
        <f>K211</f>
        <v>0</v>
      </c>
    </row>
    <row r="213" spans="1:13" ht="13.5" thickBot="1" x14ac:dyDescent="0.25">
      <c r="A213" s="15">
        <f t="shared" si="28"/>
        <v>110</v>
      </c>
    </row>
    <row r="214" spans="1:13" x14ac:dyDescent="0.2">
      <c r="A214" s="15">
        <f t="shared" si="28"/>
        <v>111</v>
      </c>
      <c r="B214" s="43" t="s">
        <v>131</v>
      </c>
      <c r="C214" s="44" t="s">
        <v>131</v>
      </c>
      <c r="D214" s="43"/>
      <c r="E214" s="43"/>
      <c r="F214" s="43"/>
      <c r="G214" s="43"/>
      <c r="H214" s="43"/>
      <c r="I214" s="43"/>
      <c r="J214" s="43"/>
      <c r="K214" s="43"/>
    </row>
    <row r="215" spans="1:13" x14ac:dyDescent="0.2">
      <c r="A215" s="15">
        <f t="shared" si="28"/>
        <v>112</v>
      </c>
      <c r="D215" s="1" t="s">
        <v>132</v>
      </c>
      <c r="E215" s="9">
        <v>3462</v>
      </c>
      <c r="F215" s="45">
        <v>604.75</v>
      </c>
      <c r="G215" s="8">
        <f>F215*E215</f>
        <v>2093644.5</v>
      </c>
      <c r="H215" s="45">
        <f>F215</f>
        <v>604.75</v>
      </c>
      <c r="I215" s="8">
        <f>H215*E215</f>
        <v>2093644.5</v>
      </c>
      <c r="J215" s="8">
        <f t="shared" ref="J215:J220" si="31">I215-G215</f>
        <v>0</v>
      </c>
      <c r="K215" s="46">
        <f>IF(G215=0,0,J215/G215)</f>
        <v>0</v>
      </c>
    </row>
    <row r="216" spans="1:13" x14ac:dyDescent="0.2">
      <c r="A216" s="15">
        <f t="shared" si="28"/>
        <v>113</v>
      </c>
      <c r="D216" s="1" t="s">
        <v>133</v>
      </c>
      <c r="E216" s="9">
        <v>1859750.9</v>
      </c>
      <c r="F216" s="80">
        <v>4.266</v>
      </c>
      <c r="G216" s="8">
        <f>F216*E216</f>
        <v>7933697.3393999999</v>
      </c>
      <c r="H216" s="80">
        <f>F216</f>
        <v>4.266</v>
      </c>
      <c r="I216" s="8">
        <f>H216*E216</f>
        <v>7933697.3393999999</v>
      </c>
      <c r="J216" s="8">
        <f t="shared" si="31"/>
        <v>0</v>
      </c>
      <c r="K216" s="46">
        <f>IF(G216=0,0,J216/G216)</f>
        <v>0</v>
      </c>
    </row>
    <row r="217" spans="1:13" s="34" customFormat="1" ht="20.45" customHeight="1" x14ac:dyDescent="0.2">
      <c r="A217" s="15">
        <f t="shared" si="28"/>
        <v>114</v>
      </c>
      <c r="C217" s="49"/>
      <c r="D217" s="50" t="s">
        <v>73</v>
      </c>
      <c r="E217" s="50"/>
      <c r="F217" s="50"/>
      <c r="G217" s="51">
        <f>SUM(G215:G216)</f>
        <v>10027341.839400001</v>
      </c>
      <c r="H217" s="50"/>
      <c r="I217" s="51">
        <f>SUM(I215:I216)</f>
        <v>10027341.839400001</v>
      </c>
      <c r="J217" s="51">
        <f t="shared" si="31"/>
        <v>0</v>
      </c>
      <c r="K217" s="52">
        <f>J217/G217</f>
        <v>0</v>
      </c>
      <c r="L217" s="53">
        <f>K217/G217</f>
        <v>0</v>
      </c>
      <c r="M217" s="1"/>
    </row>
    <row r="218" spans="1:13" x14ac:dyDescent="0.2">
      <c r="A218" s="15">
        <f t="shared" si="28"/>
        <v>115</v>
      </c>
      <c r="D218" s="1" t="s">
        <v>74</v>
      </c>
      <c r="G218" s="35">
        <v>2616174</v>
      </c>
      <c r="I218" s="8">
        <f>G218</f>
        <v>2616174</v>
      </c>
      <c r="J218" s="8">
        <f t="shared" si="31"/>
        <v>0</v>
      </c>
      <c r="K218" s="45">
        <v>0</v>
      </c>
    </row>
    <row r="219" spans="1:13" x14ac:dyDescent="0.2">
      <c r="A219" s="15">
        <f t="shared" si="28"/>
        <v>116</v>
      </c>
      <c r="D219" s="1" t="s">
        <v>75</v>
      </c>
      <c r="G219" s="35">
        <v>1879756</v>
      </c>
      <c r="I219" s="8">
        <f>G219</f>
        <v>1879756</v>
      </c>
      <c r="J219" s="8">
        <f t="shared" si="31"/>
        <v>0</v>
      </c>
      <c r="K219" s="45">
        <v>0</v>
      </c>
    </row>
    <row r="220" spans="1:13" x14ac:dyDescent="0.2">
      <c r="A220" s="15">
        <f t="shared" si="28"/>
        <v>117</v>
      </c>
      <c r="D220" s="1" t="s">
        <v>82</v>
      </c>
      <c r="G220" s="35">
        <v>0</v>
      </c>
      <c r="I220" s="8">
        <f>G220</f>
        <v>0</v>
      </c>
      <c r="J220" s="8">
        <f t="shared" si="31"/>
        <v>0</v>
      </c>
      <c r="K220" s="45">
        <v>0</v>
      </c>
    </row>
    <row r="221" spans="1:13" x14ac:dyDescent="0.2">
      <c r="A221" s="15">
        <f t="shared" si="28"/>
        <v>118</v>
      </c>
      <c r="D221" s="1" t="s">
        <v>83</v>
      </c>
      <c r="G221" s="35">
        <v>0</v>
      </c>
      <c r="I221" s="8">
        <f>G221</f>
        <v>0</v>
      </c>
      <c r="J221" s="8"/>
      <c r="K221" s="45"/>
    </row>
    <row r="222" spans="1:13" x14ac:dyDescent="0.2">
      <c r="A222" s="15">
        <f t="shared" si="28"/>
        <v>119</v>
      </c>
      <c r="D222" s="59" t="s">
        <v>78</v>
      </c>
      <c r="E222" s="59"/>
      <c r="F222" s="59"/>
      <c r="G222" s="60">
        <f>SUM(G218:G221)</f>
        <v>4495930</v>
      </c>
      <c r="H222" s="59"/>
      <c r="I222" s="60">
        <f>SUM(I218:I221)</f>
        <v>4495930</v>
      </c>
      <c r="J222" s="60">
        <f>I222-G222</f>
        <v>0</v>
      </c>
      <c r="K222" s="61">
        <f>J222/G222</f>
        <v>0</v>
      </c>
    </row>
    <row r="223" spans="1:13" s="34" customFormat="1" ht="26.45" customHeight="1" thickBot="1" x14ac:dyDescent="0.25">
      <c r="A223" s="15">
        <f t="shared" si="28"/>
        <v>120</v>
      </c>
      <c r="C223" s="49"/>
      <c r="D223" s="62" t="s">
        <v>79</v>
      </c>
      <c r="E223" s="62"/>
      <c r="F223" s="62"/>
      <c r="G223" s="63">
        <f>G222+G217</f>
        <v>14523271.839400001</v>
      </c>
      <c r="H223" s="62"/>
      <c r="I223" s="64">
        <f>I222+I217</f>
        <v>14523271.839400001</v>
      </c>
      <c r="J223" s="64">
        <f>I223-G223</f>
        <v>0</v>
      </c>
      <c r="K223" s="65">
        <f>J223/G223</f>
        <v>0</v>
      </c>
      <c r="L223" s="53">
        <f>K223/G223</f>
        <v>0</v>
      </c>
      <c r="M223" s="1"/>
    </row>
    <row r="224" spans="1:13" ht="13.5" thickTop="1" x14ac:dyDescent="0.2">
      <c r="A224" s="15">
        <f t="shared" si="28"/>
        <v>121</v>
      </c>
      <c r="D224" s="1" t="s">
        <v>34</v>
      </c>
      <c r="G224" s="66">
        <f>G223/E215</f>
        <v>4195.0525243789716</v>
      </c>
      <c r="I224" s="66">
        <f>I223/E215</f>
        <v>4195.0525243789716</v>
      </c>
      <c r="J224" s="66">
        <f>I224-G224</f>
        <v>0</v>
      </c>
      <c r="K224" s="46">
        <f>J224/G224</f>
        <v>0</v>
      </c>
    </row>
    <row r="225" spans="1:13" x14ac:dyDescent="0.2">
      <c r="A225" s="15">
        <f t="shared" si="28"/>
        <v>122</v>
      </c>
    </row>
    <row r="226" spans="1:13" x14ac:dyDescent="0.2">
      <c r="A226" s="15">
        <f t="shared" si="28"/>
        <v>123</v>
      </c>
    </row>
    <row r="227" spans="1:13" x14ac:dyDescent="0.2">
      <c r="A227" s="15">
        <f t="shared" si="28"/>
        <v>124</v>
      </c>
    </row>
    <row r="228" spans="1:13" s="34" customFormat="1" ht="19.899999999999999" customHeight="1" x14ac:dyDescent="0.2">
      <c r="A228" s="15">
        <f t="shared" si="28"/>
        <v>125</v>
      </c>
      <c r="B228" s="34" t="s">
        <v>134</v>
      </c>
      <c r="C228" s="49"/>
      <c r="D228" s="50" t="s">
        <v>73</v>
      </c>
      <c r="E228" s="50"/>
      <c r="F228" s="50"/>
      <c r="G228" s="81">
        <f t="shared" ref="G228:G234" si="32">G10+G23+G75+G113+G205+G217+G88+G139+G101+G36+G48+G61+G153+G166+G179+G192</f>
        <v>83101367.312554076</v>
      </c>
      <c r="H228" s="50"/>
      <c r="I228" s="81">
        <f>I10+I23+I75+I113+I205+I217+I88+I139+I101+I36+I48+I61+I153+I166+I179+I192</f>
        <v>85855504.712464094</v>
      </c>
      <c r="J228" s="81">
        <f>J10+J23+J75+J113+J205+J217+J88+J139+J101+J36+J48+J61+J153+J166+J179+J192</f>
        <v>2754137.3999099974</v>
      </c>
      <c r="K228" s="52">
        <f>J228/G228</f>
        <v>3.3141902341406258E-2</v>
      </c>
      <c r="L228" s="53">
        <f>K228/G228</f>
        <v>3.9881296076339686E-10</v>
      </c>
      <c r="M228" s="1"/>
    </row>
    <row r="229" spans="1:13" x14ac:dyDescent="0.2">
      <c r="A229" s="15">
        <f t="shared" si="28"/>
        <v>126</v>
      </c>
      <c r="D229" s="1" t="s">
        <v>74</v>
      </c>
      <c r="G229" s="35">
        <f t="shared" si="32"/>
        <v>14102577.029999997</v>
      </c>
      <c r="I229" s="35">
        <f t="shared" ref="I229:J234" si="33">I11+I24+I76+I114+I206+I218+I89+I140+I102+I37+I49+I62+I154+I167+I180+I193</f>
        <v>14102577.029999997</v>
      </c>
      <c r="J229" s="35">
        <f t="shared" si="33"/>
        <v>0</v>
      </c>
    </row>
    <row r="230" spans="1:13" x14ac:dyDescent="0.2">
      <c r="A230" s="15">
        <f t="shared" si="28"/>
        <v>127</v>
      </c>
      <c r="D230" s="1" t="s">
        <v>75</v>
      </c>
      <c r="G230" s="35">
        <f t="shared" si="32"/>
        <v>10095517.710000001</v>
      </c>
      <c r="I230" s="35">
        <f t="shared" si="33"/>
        <v>10095517.710000001</v>
      </c>
      <c r="J230" s="35">
        <f t="shared" si="33"/>
        <v>0</v>
      </c>
    </row>
    <row r="231" spans="1:13" x14ac:dyDescent="0.2">
      <c r="A231" s="15">
        <f t="shared" si="28"/>
        <v>128</v>
      </c>
      <c r="D231" s="1" t="s">
        <v>82</v>
      </c>
      <c r="G231" s="35">
        <f t="shared" si="32"/>
        <v>231.63000000000011</v>
      </c>
      <c r="I231" s="35">
        <f t="shared" si="33"/>
        <v>231.63000000000011</v>
      </c>
      <c r="J231" s="35">
        <f t="shared" si="33"/>
        <v>0</v>
      </c>
    </row>
    <row r="232" spans="1:13" x14ac:dyDescent="0.2">
      <c r="A232" s="15">
        <f t="shared" si="28"/>
        <v>129</v>
      </c>
      <c r="D232" s="1" t="s">
        <v>83</v>
      </c>
      <c r="G232" s="35">
        <f t="shared" si="32"/>
        <v>462</v>
      </c>
      <c r="I232" s="35">
        <f t="shared" si="33"/>
        <v>462</v>
      </c>
      <c r="J232" s="35">
        <f t="shared" si="33"/>
        <v>0</v>
      </c>
      <c r="K232" s="45"/>
    </row>
    <row r="233" spans="1:13" x14ac:dyDescent="0.2">
      <c r="A233" s="15">
        <f t="shared" si="28"/>
        <v>130</v>
      </c>
      <c r="D233" s="59" t="s">
        <v>78</v>
      </c>
      <c r="E233" s="59"/>
      <c r="F233" s="59"/>
      <c r="G233" s="82">
        <f t="shared" si="32"/>
        <v>24198788.369999997</v>
      </c>
      <c r="H233" s="59"/>
      <c r="I233" s="82">
        <f t="shared" si="33"/>
        <v>24198788.369999997</v>
      </c>
      <c r="J233" s="82">
        <f t="shared" si="33"/>
        <v>0</v>
      </c>
      <c r="K233" s="61">
        <f>J233/G233</f>
        <v>0</v>
      </c>
    </row>
    <row r="234" spans="1:13" s="34" customFormat="1" ht="21" customHeight="1" thickBot="1" x14ac:dyDescent="0.25">
      <c r="A234" s="15">
        <f t="shared" si="28"/>
        <v>131</v>
      </c>
      <c r="C234" s="49"/>
      <c r="D234" s="62" t="s">
        <v>79</v>
      </c>
      <c r="E234" s="62"/>
      <c r="F234" s="62"/>
      <c r="G234" s="63">
        <f t="shared" si="32"/>
        <v>107300155.6825541</v>
      </c>
      <c r="H234" s="62"/>
      <c r="I234" s="63">
        <f t="shared" si="33"/>
        <v>110054293.0824641</v>
      </c>
      <c r="J234" s="63">
        <f t="shared" si="33"/>
        <v>2754137.4</v>
      </c>
      <c r="K234" s="65">
        <f>J234/G234</f>
        <v>2.5667599291729588E-2</v>
      </c>
      <c r="L234" s="53">
        <f>K234/G234</f>
        <v>2.3921306663959367E-10</v>
      </c>
      <c r="M234" s="1"/>
    </row>
    <row r="235" spans="1:13" s="34" customFormat="1" ht="21" customHeight="1" thickTop="1" x14ac:dyDescent="0.2">
      <c r="A235" s="15">
        <f t="shared" si="28"/>
        <v>132</v>
      </c>
      <c r="C235" s="49"/>
      <c r="G235" s="73"/>
      <c r="I235" s="73"/>
      <c r="J235" s="73"/>
      <c r="K235" s="83"/>
      <c r="L235" s="53"/>
      <c r="M235" s="1"/>
    </row>
    <row r="236" spans="1:13" s="34" customFormat="1" ht="15" customHeight="1" x14ac:dyDescent="0.2">
      <c r="A236" s="15">
        <f t="shared" si="28"/>
        <v>133</v>
      </c>
      <c r="C236" s="49"/>
      <c r="G236" s="73"/>
      <c r="I236" s="34" t="s">
        <v>135</v>
      </c>
      <c r="J236" s="73">
        <v>2755741.3932218486</v>
      </c>
      <c r="K236" s="83"/>
      <c r="L236" s="53"/>
      <c r="M236" s="1"/>
    </row>
    <row r="237" spans="1:13" s="34" customFormat="1" ht="15" customHeight="1" x14ac:dyDescent="0.2">
      <c r="A237" s="15">
        <f t="shared" si="28"/>
        <v>134</v>
      </c>
      <c r="C237" s="49"/>
      <c r="G237" s="73"/>
      <c r="I237" s="34" t="s">
        <v>136</v>
      </c>
      <c r="J237" s="73">
        <f>J234-J236</f>
        <v>-1603.9932218487374</v>
      </c>
      <c r="K237" s="83"/>
      <c r="L237" s="53"/>
      <c r="M237" s="1"/>
    </row>
    <row r="238" spans="1:13" x14ac:dyDescent="0.2">
      <c r="A238" s="15"/>
    </row>
    <row r="239" spans="1:13" x14ac:dyDescent="0.2">
      <c r="A239" s="15"/>
      <c r="J239" s="35"/>
    </row>
    <row r="240" spans="1:13" x14ac:dyDescent="0.2">
      <c r="A240" s="15"/>
      <c r="J240" s="35"/>
    </row>
    <row r="241" spans="1:16" x14ac:dyDescent="0.2">
      <c r="A241" s="15"/>
      <c r="B241" s="17"/>
    </row>
    <row r="242" spans="1:16" x14ac:dyDescent="0.2">
      <c r="A242" s="15"/>
      <c r="J242" s="35"/>
    </row>
    <row r="243" spans="1:16" x14ac:dyDescent="0.2">
      <c r="A243" s="15"/>
      <c r="B243" s="17"/>
    </row>
    <row r="244" spans="1:16" x14ac:dyDescent="0.2">
      <c r="A244" s="15"/>
      <c r="J244" s="35"/>
    </row>
    <row r="245" spans="1:16" x14ac:dyDescent="0.2">
      <c r="A245" s="15"/>
      <c r="B245" s="17"/>
    </row>
    <row r="246" spans="1:16" x14ac:dyDescent="0.2">
      <c r="A246" s="15"/>
      <c r="J246" s="35"/>
    </row>
    <row r="247" spans="1:16" x14ac:dyDescent="0.2">
      <c r="A247" s="15"/>
      <c r="B247" s="17"/>
    </row>
    <row r="248" spans="1:16" x14ac:dyDescent="0.2">
      <c r="A248" s="15"/>
      <c r="J248" s="35"/>
    </row>
    <row r="249" spans="1:16" x14ac:dyDescent="0.2">
      <c r="A249" s="15"/>
      <c r="B249" s="17"/>
    </row>
    <row r="250" spans="1:16" x14ac:dyDescent="0.2">
      <c r="A250" s="15"/>
      <c r="J250" s="35"/>
    </row>
    <row r="251" spans="1:16" x14ac:dyDescent="0.2">
      <c r="A251" s="15"/>
      <c r="B251" s="17"/>
    </row>
    <row r="252" spans="1:16" s="34" customFormat="1" ht="20.45" customHeight="1" x14ac:dyDescent="0.2">
      <c r="A252" s="15"/>
      <c r="B252" s="1"/>
      <c r="C252" s="4"/>
      <c r="D252" s="1"/>
      <c r="E252" s="1"/>
      <c r="F252" s="1"/>
      <c r="G252" s="1"/>
      <c r="H252" s="1"/>
      <c r="I252" s="1"/>
      <c r="J252" s="35"/>
      <c r="K252" s="1"/>
      <c r="L252" s="1"/>
      <c r="M252" s="1"/>
      <c r="N252" s="1"/>
      <c r="P252" s="1"/>
    </row>
    <row r="253" spans="1:16" x14ac:dyDescent="0.2">
      <c r="A253" s="15"/>
      <c r="B253" s="17"/>
    </row>
    <row r="254" spans="1:16" x14ac:dyDescent="0.2">
      <c r="A254" s="15"/>
      <c r="J254" s="35"/>
    </row>
    <row r="255" spans="1:16" x14ac:dyDescent="0.2">
      <c r="A255" s="15"/>
      <c r="B255" s="17"/>
    </row>
    <row r="256" spans="1:16" x14ac:dyDescent="0.2">
      <c r="A256" s="15"/>
      <c r="J256" s="35"/>
    </row>
    <row r="257" spans="1:10" x14ac:dyDescent="0.2">
      <c r="A257" s="15"/>
      <c r="B257" s="17"/>
    </row>
    <row r="258" spans="1:10" x14ac:dyDescent="0.2">
      <c r="A258" s="15"/>
      <c r="J258" s="35"/>
    </row>
    <row r="259" spans="1:10" x14ac:dyDescent="0.2">
      <c r="A259" s="15"/>
      <c r="B259" s="17"/>
    </row>
    <row r="260" spans="1:10" x14ac:dyDescent="0.2">
      <c r="A260" s="15"/>
      <c r="J260" s="35"/>
    </row>
    <row r="261" spans="1:10" x14ac:dyDescent="0.2">
      <c r="A261" s="15"/>
      <c r="B261" s="17"/>
    </row>
    <row r="262" spans="1:10" x14ac:dyDescent="0.2">
      <c r="A262" s="15"/>
      <c r="J262" s="35"/>
    </row>
    <row r="263" spans="1:10" x14ac:dyDescent="0.2">
      <c r="A263" s="15"/>
      <c r="B263" s="17"/>
    </row>
    <row r="264" spans="1:10" x14ac:dyDescent="0.2">
      <c r="A264" s="15"/>
      <c r="J264" s="35"/>
    </row>
    <row r="265" spans="1:10" x14ac:dyDescent="0.2">
      <c r="A265" s="15"/>
      <c r="B265" s="17"/>
    </row>
    <row r="266" spans="1:10" x14ac:dyDescent="0.2">
      <c r="A266" s="15"/>
      <c r="J266" s="35"/>
    </row>
    <row r="267" spans="1:10" x14ac:dyDescent="0.2">
      <c r="A267" s="15"/>
      <c r="B267" s="17"/>
    </row>
    <row r="268" spans="1:10" x14ac:dyDescent="0.2">
      <c r="A268" s="15"/>
      <c r="J268" s="35"/>
    </row>
    <row r="269" spans="1:10" x14ac:dyDescent="0.2">
      <c r="A269" s="15"/>
      <c r="B269" s="17"/>
    </row>
    <row r="270" spans="1:10" x14ac:dyDescent="0.2">
      <c r="A270" s="15"/>
      <c r="J270" s="35"/>
    </row>
    <row r="271" spans="1:10" x14ac:dyDescent="0.2">
      <c r="A271" s="15"/>
      <c r="B271" s="17"/>
    </row>
    <row r="272" spans="1:10" x14ac:dyDescent="0.2">
      <c r="A272" s="15"/>
      <c r="J272" s="35"/>
    </row>
    <row r="273" spans="1:10" x14ac:dyDescent="0.2">
      <c r="A273" s="15"/>
      <c r="B273" s="17"/>
    </row>
    <row r="274" spans="1:10" x14ac:dyDescent="0.2">
      <c r="A274" s="15"/>
      <c r="J274" s="35"/>
    </row>
    <row r="275" spans="1:10" x14ac:dyDescent="0.2">
      <c r="A275" s="15"/>
      <c r="B275" s="17"/>
    </row>
    <row r="276" spans="1:10" x14ac:dyDescent="0.2">
      <c r="A276" s="15"/>
      <c r="J276" s="35"/>
    </row>
    <row r="277" spans="1:10" x14ac:dyDescent="0.2">
      <c r="A277" s="15"/>
      <c r="B277" s="17"/>
    </row>
    <row r="278" spans="1:10" x14ac:dyDescent="0.2">
      <c r="A278" s="15"/>
      <c r="J278" s="35"/>
    </row>
    <row r="279" spans="1:10" x14ac:dyDescent="0.2">
      <c r="A279" s="15"/>
      <c r="B279" s="17"/>
    </row>
    <row r="280" spans="1:10" x14ac:dyDescent="0.2">
      <c r="A280" s="15"/>
      <c r="J280" s="35"/>
    </row>
    <row r="281" spans="1:10" x14ac:dyDescent="0.2">
      <c r="A281" s="15"/>
      <c r="B281" s="17"/>
    </row>
    <row r="282" spans="1:10" x14ac:dyDescent="0.2">
      <c r="A282" s="15"/>
      <c r="J282" s="35"/>
    </row>
    <row r="283" spans="1:10" x14ac:dyDescent="0.2">
      <c r="A283" s="15"/>
      <c r="B283" s="17"/>
    </row>
    <row r="284" spans="1:10" x14ac:dyDescent="0.2">
      <c r="A284" s="15"/>
      <c r="J284" s="35"/>
    </row>
    <row r="285" spans="1:10" x14ac:dyDescent="0.2">
      <c r="A285" s="15"/>
      <c r="B285" s="17"/>
    </row>
    <row r="286" spans="1:10" x14ac:dyDescent="0.2">
      <c r="A286" s="15"/>
      <c r="J286" s="35"/>
    </row>
    <row r="287" spans="1:10" x14ac:dyDescent="0.2">
      <c r="A287" s="15"/>
      <c r="B287" s="17"/>
    </row>
    <row r="288" spans="1:10" x14ac:dyDescent="0.2">
      <c r="A288" s="15"/>
      <c r="J288" s="35"/>
    </row>
    <row r="289" spans="1:11" x14ac:dyDescent="0.2">
      <c r="A289" s="15"/>
      <c r="B289" s="17"/>
    </row>
    <row r="290" spans="1:11" x14ac:dyDescent="0.2">
      <c r="A290" s="15"/>
      <c r="J290" s="35"/>
    </row>
    <row r="291" spans="1:11" x14ac:dyDescent="0.2">
      <c r="A291" s="15"/>
      <c r="B291" s="17"/>
    </row>
    <row r="292" spans="1:11" x14ac:dyDescent="0.2">
      <c r="A292" s="15"/>
      <c r="J292" s="35"/>
    </row>
    <row r="293" spans="1:11" x14ac:dyDescent="0.2">
      <c r="A293" s="15"/>
      <c r="E293" s="9"/>
      <c r="F293" s="45"/>
      <c r="G293" s="8"/>
      <c r="H293" s="45"/>
      <c r="I293" s="8"/>
      <c r="J293" s="8"/>
      <c r="K293" s="8"/>
    </row>
    <row r="294" spans="1:11" x14ac:dyDescent="0.2">
      <c r="A294" s="15"/>
      <c r="E294" s="9"/>
      <c r="F294" s="45"/>
      <c r="G294" s="8"/>
      <c r="H294" s="45"/>
      <c r="I294" s="8"/>
      <c r="J294" s="8"/>
      <c r="K294" s="8"/>
    </row>
    <row r="296" spans="1:11" x14ac:dyDescent="0.2">
      <c r="G296" s="84"/>
      <c r="I296" s="84"/>
      <c r="J296" s="84"/>
      <c r="K296" s="84"/>
    </row>
    <row r="299" spans="1:11" x14ac:dyDescent="0.2">
      <c r="G299" s="56"/>
      <c r="I299" s="56"/>
      <c r="J299" s="56"/>
      <c r="K299" s="56"/>
    </row>
    <row r="300" spans="1:11" x14ac:dyDescent="0.2">
      <c r="G300" s="85"/>
      <c r="I300" s="85"/>
      <c r="J300" s="85"/>
      <c r="K300" s="85"/>
    </row>
  </sheetData>
  <printOptions horizontalCentered="1"/>
  <pageMargins left="0.7" right="0.7" top="0.75" bottom="0.75" header="0.3" footer="0.3"/>
  <pageSetup scale="55" fitToHeight="6" orientation="landscape" r:id="rId1"/>
  <headerFooter>
    <oddHeader>&amp;R&amp;"Arial,Bold"&amp;10Exhibit GRM-1
 Page &amp;P of &amp;N</oddHeader>
    <oddFooter>&amp;RExhibit JW-9
 Page &amp;P of &amp;N</oddFooter>
  </headerFooter>
  <rowBreaks count="6" manualBreakCount="6">
    <brk id="56" max="10" man="1"/>
    <brk id="96" max="10" man="1"/>
    <brk id="121" max="10" man="1"/>
    <brk id="174" max="10" man="1"/>
    <brk id="213" max="10" man="1"/>
    <brk id="2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zoomScaleNormal="100" workbookViewId="0"/>
  </sheetViews>
  <sheetFormatPr defaultColWidth="9.140625" defaultRowHeight="12.75" x14ac:dyDescent="0.2"/>
  <cols>
    <col min="1" max="1" width="5.85546875" style="1" customWidth="1"/>
    <col min="2" max="2" width="2.28515625" style="1" customWidth="1"/>
    <col min="3" max="3" width="13.28515625" style="1" customWidth="1"/>
    <col min="4" max="4" width="10.85546875" style="1" customWidth="1"/>
    <col min="5" max="5" width="4.140625" style="1" customWidth="1"/>
    <col min="6" max="6" width="16.7109375" style="1" customWidth="1"/>
    <col min="7" max="7" width="15.28515625" style="1" customWidth="1"/>
    <col min="8" max="11" width="12.5703125" style="1" customWidth="1"/>
    <col min="12" max="12" width="14.85546875" style="1" customWidth="1"/>
    <col min="13" max="16384" width="9.140625" style="1"/>
  </cols>
  <sheetData>
    <row r="1" spans="1:13" x14ac:dyDescent="0.2">
      <c r="L1" s="2" t="s">
        <v>137</v>
      </c>
    </row>
    <row r="3" spans="1:13" x14ac:dyDescent="0.2">
      <c r="L3" s="2"/>
    </row>
    <row r="4" spans="1:13" x14ac:dyDescent="0.2">
      <c r="A4" s="86" t="s">
        <v>138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x14ac:dyDescent="0.2">
      <c r="A5" s="86" t="s">
        <v>139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9" spans="1:13" ht="38.25" x14ac:dyDescent="0.2">
      <c r="A9" s="4" t="s">
        <v>2</v>
      </c>
      <c r="C9" s="4" t="s">
        <v>3</v>
      </c>
      <c r="D9" s="4" t="s">
        <v>4</v>
      </c>
      <c r="E9" s="4"/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4" t="s">
        <v>11</v>
      </c>
    </row>
    <row r="10" spans="1:13" x14ac:dyDescent="0.2">
      <c r="A10" s="6" t="s">
        <v>12</v>
      </c>
      <c r="C10" s="7" t="s">
        <v>13</v>
      </c>
      <c r="D10" s="7" t="s">
        <v>14</v>
      </c>
      <c r="E10" s="4"/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7" t="s">
        <v>21</v>
      </c>
    </row>
    <row r="11" spans="1:13" x14ac:dyDescent="0.2">
      <c r="A11" s="4"/>
    </row>
    <row r="12" spans="1:13" x14ac:dyDescent="0.2">
      <c r="A12" s="4"/>
    </row>
    <row r="13" spans="1:13" x14ac:dyDescent="0.2">
      <c r="A13" s="4">
        <v>1</v>
      </c>
      <c r="C13" s="4">
        <v>2022</v>
      </c>
      <c r="D13" s="4" t="s">
        <v>22</v>
      </c>
      <c r="E13" s="8"/>
      <c r="F13" s="9">
        <v>23869</v>
      </c>
      <c r="G13" s="9">
        <v>51</v>
      </c>
      <c r="H13" s="9">
        <v>524</v>
      </c>
      <c r="I13" s="9">
        <v>54</v>
      </c>
      <c r="J13" s="9">
        <v>304</v>
      </c>
      <c r="K13" s="9">
        <v>237</v>
      </c>
      <c r="L13" s="10"/>
    </row>
    <row r="14" spans="1:13" x14ac:dyDescent="0.2">
      <c r="A14" s="4">
        <v>2</v>
      </c>
      <c r="C14" s="4">
        <v>2022</v>
      </c>
      <c r="D14" s="4" t="s">
        <v>23</v>
      </c>
      <c r="E14" s="8"/>
      <c r="F14" s="9">
        <v>23869</v>
      </c>
      <c r="G14" s="9">
        <v>50</v>
      </c>
      <c r="H14" s="9">
        <v>523</v>
      </c>
      <c r="I14" s="9">
        <v>54</v>
      </c>
      <c r="J14" s="9">
        <v>310</v>
      </c>
      <c r="K14" s="9">
        <v>235</v>
      </c>
    </row>
    <row r="15" spans="1:13" x14ac:dyDescent="0.2">
      <c r="A15" s="4">
        <v>3</v>
      </c>
      <c r="C15" s="4">
        <v>2022</v>
      </c>
      <c r="D15" s="4" t="s">
        <v>24</v>
      </c>
      <c r="E15" s="8"/>
      <c r="F15" s="9">
        <v>23979</v>
      </c>
      <c r="G15" s="9">
        <v>52</v>
      </c>
      <c r="H15" s="9">
        <v>536</v>
      </c>
      <c r="I15" s="9">
        <v>56</v>
      </c>
      <c r="J15" s="9">
        <v>316</v>
      </c>
      <c r="K15" s="9">
        <v>238</v>
      </c>
    </row>
    <row r="16" spans="1:13" x14ac:dyDescent="0.2">
      <c r="A16" s="4">
        <v>4</v>
      </c>
      <c r="C16" s="4">
        <v>2022</v>
      </c>
      <c r="D16" s="4" t="s">
        <v>25</v>
      </c>
      <c r="E16" s="8"/>
      <c r="F16" s="9">
        <v>23914</v>
      </c>
      <c r="G16" s="9">
        <v>51</v>
      </c>
      <c r="H16" s="9">
        <v>524</v>
      </c>
      <c r="I16" s="9">
        <v>58</v>
      </c>
      <c r="J16" s="9">
        <v>316</v>
      </c>
      <c r="K16" s="9">
        <v>242</v>
      </c>
    </row>
    <row r="17" spans="1:12" x14ac:dyDescent="0.2">
      <c r="A17" s="4">
        <v>5</v>
      </c>
      <c r="C17" s="4">
        <v>2022</v>
      </c>
      <c r="D17" s="4" t="s">
        <v>26</v>
      </c>
      <c r="E17" s="8"/>
      <c r="F17" s="9">
        <v>24028</v>
      </c>
      <c r="G17" s="9">
        <v>51</v>
      </c>
      <c r="H17" s="9">
        <v>537</v>
      </c>
      <c r="I17" s="9">
        <v>60</v>
      </c>
      <c r="J17" s="9">
        <v>314</v>
      </c>
      <c r="K17" s="9">
        <v>240</v>
      </c>
    </row>
    <row r="18" spans="1:12" x14ac:dyDescent="0.2">
      <c r="A18" s="4">
        <v>6</v>
      </c>
      <c r="C18" s="4">
        <v>2022</v>
      </c>
      <c r="D18" s="4" t="s">
        <v>27</v>
      </c>
      <c r="E18" s="8"/>
      <c r="F18" s="9">
        <v>23920</v>
      </c>
      <c r="G18" s="9">
        <v>51</v>
      </c>
      <c r="H18" s="9">
        <v>511</v>
      </c>
      <c r="I18" s="9">
        <v>60</v>
      </c>
      <c r="J18" s="9">
        <v>311</v>
      </c>
      <c r="K18" s="9">
        <v>242</v>
      </c>
    </row>
    <row r="19" spans="1:12" x14ac:dyDescent="0.2">
      <c r="A19" s="4">
        <v>7</v>
      </c>
      <c r="C19" s="4">
        <v>2022</v>
      </c>
      <c r="D19" s="4" t="s">
        <v>28</v>
      </c>
      <c r="E19" s="8"/>
      <c r="F19" s="9">
        <v>24068</v>
      </c>
      <c r="G19" s="9">
        <v>53</v>
      </c>
      <c r="H19" s="9">
        <v>517</v>
      </c>
      <c r="I19" s="9">
        <v>63</v>
      </c>
      <c r="J19" s="9">
        <v>313</v>
      </c>
      <c r="K19" s="9">
        <v>242</v>
      </c>
    </row>
    <row r="20" spans="1:12" x14ac:dyDescent="0.2">
      <c r="A20" s="4">
        <v>8</v>
      </c>
      <c r="C20" s="4">
        <v>2022</v>
      </c>
      <c r="D20" s="4" t="s">
        <v>29</v>
      </c>
      <c r="E20" s="8"/>
      <c r="F20" s="9">
        <v>24150</v>
      </c>
      <c r="G20" s="9">
        <v>51</v>
      </c>
      <c r="H20" s="9">
        <v>519</v>
      </c>
      <c r="I20" s="9">
        <v>64</v>
      </c>
      <c r="J20" s="9">
        <v>312</v>
      </c>
      <c r="K20" s="9">
        <v>243</v>
      </c>
    </row>
    <row r="21" spans="1:12" x14ac:dyDescent="0.2">
      <c r="A21" s="4">
        <v>9</v>
      </c>
      <c r="C21" s="4">
        <v>2022</v>
      </c>
      <c r="D21" s="4" t="s">
        <v>30</v>
      </c>
      <c r="E21" s="8"/>
      <c r="F21" s="9">
        <v>24089</v>
      </c>
      <c r="G21" s="9">
        <v>52</v>
      </c>
      <c r="H21" s="9">
        <v>514</v>
      </c>
      <c r="I21" s="9">
        <v>65</v>
      </c>
      <c r="J21" s="9">
        <v>311</v>
      </c>
      <c r="K21" s="9">
        <v>244</v>
      </c>
    </row>
    <row r="22" spans="1:12" x14ac:dyDescent="0.2">
      <c r="A22" s="4">
        <v>10</v>
      </c>
      <c r="C22" s="4">
        <v>2022</v>
      </c>
      <c r="D22" s="4" t="s">
        <v>31</v>
      </c>
      <c r="E22" s="8"/>
      <c r="F22" s="9">
        <v>24122</v>
      </c>
      <c r="G22" s="9">
        <v>51</v>
      </c>
      <c r="H22" s="9">
        <v>513</v>
      </c>
      <c r="I22" s="9">
        <v>66</v>
      </c>
      <c r="J22" s="9">
        <v>312</v>
      </c>
      <c r="K22" s="9">
        <v>246</v>
      </c>
    </row>
    <row r="23" spans="1:12" x14ac:dyDescent="0.2">
      <c r="A23" s="4">
        <v>11</v>
      </c>
      <c r="C23" s="4">
        <v>2022</v>
      </c>
      <c r="D23" s="4" t="s">
        <v>32</v>
      </c>
      <c r="E23" s="8"/>
      <c r="F23" s="9">
        <v>24213</v>
      </c>
      <c r="G23" s="9">
        <v>50</v>
      </c>
      <c r="H23" s="9">
        <v>528</v>
      </c>
      <c r="I23" s="9">
        <v>67</v>
      </c>
      <c r="J23" s="9">
        <v>314</v>
      </c>
      <c r="K23" s="9">
        <v>249</v>
      </c>
    </row>
    <row r="24" spans="1:12" x14ac:dyDescent="0.2">
      <c r="A24" s="4">
        <v>12</v>
      </c>
      <c r="C24" s="4">
        <v>2022</v>
      </c>
      <c r="D24" s="4" t="s">
        <v>33</v>
      </c>
      <c r="E24" s="8"/>
      <c r="F24" s="9">
        <v>24278</v>
      </c>
      <c r="G24" s="9">
        <v>50</v>
      </c>
      <c r="H24" s="9">
        <v>530</v>
      </c>
      <c r="I24" s="9">
        <v>66</v>
      </c>
      <c r="J24" s="9">
        <v>313</v>
      </c>
      <c r="K24" s="9">
        <v>247</v>
      </c>
    </row>
    <row r="25" spans="1:12" x14ac:dyDescent="0.2">
      <c r="A25" s="4">
        <v>13</v>
      </c>
      <c r="C25" s="11" t="s">
        <v>34</v>
      </c>
      <c r="D25" s="12"/>
      <c r="E25" s="13"/>
      <c r="F25" s="14">
        <f t="shared" ref="F25:K25" si="0">ROUND(AVERAGE(F13:F24),0)</f>
        <v>24042</v>
      </c>
      <c r="G25" s="14">
        <f t="shared" si="0"/>
        <v>51</v>
      </c>
      <c r="H25" s="14">
        <f t="shared" si="0"/>
        <v>523</v>
      </c>
      <c r="I25" s="14">
        <f t="shared" si="0"/>
        <v>61</v>
      </c>
      <c r="J25" s="14">
        <f t="shared" si="0"/>
        <v>312</v>
      </c>
      <c r="K25" s="14">
        <f t="shared" si="0"/>
        <v>242</v>
      </c>
    </row>
    <row r="26" spans="1:12" x14ac:dyDescent="0.2">
      <c r="A26" s="4">
        <v>14</v>
      </c>
    </row>
    <row r="27" spans="1:12" x14ac:dyDescent="0.2">
      <c r="A27" s="4">
        <v>15</v>
      </c>
      <c r="C27" s="15" t="s">
        <v>35</v>
      </c>
      <c r="E27" s="13"/>
      <c r="F27" s="16">
        <f>F24-F25</f>
        <v>236</v>
      </c>
      <c r="G27" s="16">
        <f t="shared" ref="G27:K27" si="1">G24-G25</f>
        <v>-1</v>
      </c>
      <c r="H27" s="16">
        <f t="shared" si="1"/>
        <v>7</v>
      </c>
      <c r="I27" s="16">
        <f t="shared" si="1"/>
        <v>5</v>
      </c>
      <c r="J27" s="16">
        <f t="shared" si="1"/>
        <v>1</v>
      </c>
      <c r="K27" s="16">
        <f t="shared" si="1"/>
        <v>5</v>
      </c>
    </row>
    <row r="28" spans="1:12" x14ac:dyDescent="0.2">
      <c r="A28" s="4">
        <v>16</v>
      </c>
      <c r="D28" s="4"/>
      <c r="E28" s="13"/>
      <c r="F28" s="13"/>
      <c r="G28" s="13"/>
    </row>
    <row r="29" spans="1:12" x14ac:dyDescent="0.2">
      <c r="A29" s="4">
        <v>17</v>
      </c>
      <c r="C29" s="1" t="s">
        <v>36</v>
      </c>
      <c r="D29" s="4"/>
      <c r="E29" s="13"/>
      <c r="F29" s="16">
        <v>308135777</v>
      </c>
      <c r="G29" s="16">
        <v>909510</v>
      </c>
      <c r="H29" s="16">
        <v>7907545</v>
      </c>
      <c r="I29" s="16">
        <v>796690</v>
      </c>
      <c r="J29" s="16">
        <v>920624</v>
      </c>
      <c r="K29" s="16">
        <v>18017225</v>
      </c>
    </row>
    <row r="30" spans="1:12" x14ac:dyDescent="0.2">
      <c r="A30" s="4">
        <v>18</v>
      </c>
      <c r="C30" s="1" t="s">
        <v>37</v>
      </c>
      <c r="D30" s="4"/>
      <c r="E30" s="13"/>
      <c r="F30" s="16">
        <f>F29/F25</f>
        <v>12816.561725314034</v>
      </c>
      <c r="G30" s="16">
        <f t="shared" ref="G30:K30" si="2">G29/G25</f>
        <v>17833.529411764706</v>
      </c>
      <c r="H30" s="16">
        <f t="shared" si="2"/>
        <v>15119.588910133843</v>
      </c>
      <c r="I30" s="16">
        <f t="shared" si="2"/>
        <v>13060.491803278688</v>
      </c>
      <c r="J30" s="16">
        <f t="shared" si="2"/>
        <v>2950.7179487179487</v>
      </c>
      <c r="K30" s="16">
        <f t="shared" si="2"/>
        <v>74451.342975206615</v>
      </c>
    </row>
    <row r="31" spans="1:12" x14ac:dyDescent="0.2">
      <c r="A31" s="4">
        <v>19</v>
      </c>
      <c r="C31" s="1" t="s">
        <v>38</v>
      </c>
      <c r="D31" s="4"/>
      <c r="E31" s="13"/>
      <c r="F31" s="16">
        <f>F30*F27</f>
        <v>3024708.567174112</v>
      </c>
      <c r="G31" s="16">
        <f t="shared" ref="G31:K31" si="3">G30*G27</f>
        <v>-17833.529411764706</v>
      </c>
      <c r="H31" s="16">
        <f t="shared" si="3"/>
        <v>105837.12237093691</v>
      </c>
      <c r="I31" s="16">
        <f t="shared" si="3"/>
        <v>65302.459016393441</v>
      </c>
      <c r="J31" s="16">
        <f t="shared" si="3"/>
        <v>2950.7179487179487</v>
      </c>
      <c r="K31" s="16">
        <f t="shared" si="3"/>
        <v>372256.71487603307</v>
      </c>
      <c r="L31" s="10">
        <f>SUM(F31:K31)</f>
        <v>3553222.0519744284</v>
      </c>
    </row>
    <row r="32" spans="1:12" x14ac:dyDescent="0.2">
      <c r="A32" s="4">
        <v>20</v>
      </c>
      <c r="D32" s="4"/>
      <c r="E32" s="13"/>
      <c r="F32" s="13"/>
      <c r="G32" s="13"/>
    </row>
    <row r="33" spans="1:12" x14ac:dyDescent="0.2">
      <c r="A33" s="4"/>
      <c r="C33" s="1" t="s">
        <v>39</v>
      </c>
      <c r="D33" s="4"/>
      <c r="E33" s="13"/>
      <c r="F33" s="13"/>
      <c r="G33" s="13"/>
    </row>
    <row r="34" spans="1:12" x14ac:dyDescent="0.2">
      <c r="A34" s="4">
        <v>21</v>
      </c>
      <c r="C34" s="17" t="s">
        <v>40</v>
      </c>
      <c r="D34" s="4"/>
      <c r="E34" s="13"/>
      <c r="F34" s="13"/>
      <c r="G34" s="13"/>
    </row>
    <row r="35" spans="1:12" x14ac:dyDescent="0.2">
      <c r="A35" s="4">
        <v>22</v>
      </c>
      <c r="C35" s="1" t="s">
        <v>41</v>
      </c>
      <c r="D35" s="4"/>
      <c r="E35" s="13"/>
      <c r="F35" s="18">
        <v>30159639.654100001</v>
      </c>
      <c r="G35" s="18">
        <v>75292.505190000011</v>
      </c>
      <c r="H35" s="19">
        <v>787795.81850000005</v>
      </c>
      <c r="I35" s="19">
        <v>77777.087</v>
      </c>
      <c r="J35" s="19">
        <v>132682.60482000001</v>
      </c>
      <c r="K35" s="19">
        <v>1839787.0995</v>
      </c>
    </row>
    <row r="36" spans="1:12" x14ac:dyDescent="0.2">
      <c r="A36" s="4">
        <v>23</v>
      </c>
      <c r="C36" s="1" t="s">
        <v>42</v>
      </c>
      <c r="D36" s="4"/>
      <c r="E36" s="13"/>
      <c r="F36" s="20">
        <f>F35/F29</f>
        <v>9.7877760082692375E-2</v>
      </c>
      <c r="G36" s="20">
        <f t="shared" ref="G36:K36" si="4">G35/G29</f>
        <v>8.2783592472870024E-2</v>
      </c>
      <c r="H36" s="20">
        <f t="shared" si="4"/>
        <v>9.9625840700242621E-2</v>
      </c>
      <c r="I36" s="20">
        <f t="shared" si="4"/>
        <v>9.7625283359901588E-2</v>
      </c>
      <c r="J36" s="20">
        <f t="shared" si="4"/>
        <v>0.14412246999860964</v>
      </c>
      <c r="K36" s="20">
        <f t="shared" si="4"/>
        <v>0.10211267825650176</v>
      </c>
    </row>
    <row r="37" spans="1:12" x14ac:dyDescent="0.2">
      <c r="A37" s="4">
        <v>24</v>
      </c>
      <c r="C37" s="1" t="s">
        <v>43</v>
      </c>
      <c r="D37" s="4"/>
      <c r="E37" s="13"/>
      <c r="F37" s="13">
        <f>F36*F31</f>
        <v>296051.69945793191</v>
      </c>
      <c r="G37" s="13">
        <f t="shared" ref="G37:K37" si="5">G36*G31</f>
        <v>-1476.3236311764708</v>
      </c>
      <c r="H37" s="13">
        <f t="shared" si="5"/>
        <v>10544.112293499045</v>
      </c>
      <c r="I37" s="13">
        <f t="shared" si="5"/>
        <v>6375.1710655737697</v>
      </c>
      <c r="J37" s="13">
        <f t="shared" si="5"/>
        <v>425.26475903846153</v>
      </c>
      <c r="K37" s="13">
        <f t="shared" si="5"/>
        <v>38012.130154958679</v>
      </c>
      <c r="L37" s="10">
        <f>SUM(F37:K37)</f>
        <v>349932.05409982539</v>
      </c>
    </row>
    <row r="38" spans="1:12" x14ac:dyDescent="0.2">
      <c r="A38" s="4">
        <v>25</v>
      </c>
      <c r="D38" s="4"/>
      <c r="E38" s="13"/>
      <c r="F38" s="13"/>
      <c r="G38" s="13"/>
      <c r="H38" s="13"/>
      <c r="I38" s="13"/>
      <c r="J38" s="13"/>
      <c r="K38" s="13"/>
    </row>
    <row r="39" spans="1:12" x14ac:dyDescent="0.2">
      <c r="A39" s="4">
        <v>26</v>
      </c>
      <c r="C39" s="17" t="s">
        <v>44</v>
      </c>
      <c r="D39" s="4"/>
      <c r="E39" s="13"/>
      <c r="F39" s="13"/>
      <c r="G39" s="13"/>
      <c r="H39" s="13"/>
      <c r="I39" s="13"/>
      <c r="J39" s="13"/>
      <c r="K39" s="13"/>
    </row>
    <row r="40" spans="1:12" x14ac:dyDescent="0.2">
      <c r="A40" s="4">
        <v>27</v>
      </c>
      <c r="C40" s="1" t="s">
        <v>45</v>
      </c>
      <c r="D40" s="4"/>
      <c r="E40" s="13"/>
      <c r="F40" s="21">
        <f>G56/G57</f>
        <v>5.8334485077380996E-2</v>
      </c>
      <c r="G40" s="21">
        <f>F40</f>
        <v>5.8334485077380996E-2</v>
      </c>
      <c r="H40" s="21">
        <f t="shared" ref="H40:K40" si="6">G40</f>
        <v>5.8334485077380996E-2</v>
      </c>
      <c r="I40" s="21">
        <f t="shared" si="6"/>
        <v>5.8334485077380996E-2</v>
      </c>
      <c r="J40" s="21">
        <f t="shared" si="6"/>
        <v>5.8334485077380996E-2</v>
      </c>
      <c r="K40" s="21">
        <f t="shared" si="6"/>
        <v>5.8334485077380996E-2</v>
      </c>
    </row>
    <row r="41" spans="1:12" x14ac:dyDescent="0.2">
      <c r="A41" s="4">
        <v>28</v>
      </c>
      <c r="C41" s="1" t="s">
        <v>46</v>
      </c>
      <c r="D41" s="4"/>
      <c r="E41" s="13"/>
      <c r="F41" s="13">
        <f>F40*F31</f>
        <v>176444.81677524469</v>
      </c>
      <c r="G41" s="13">
        <f>G40*G31</f>
        <v>-1040.3097553476234</v>
      </c>
      <c r="H41" s="13">
        <f t="shared" ref="H41:K41" si="7">H40*H31</f>
        <v>6173.9540355803656</v>
      </c>
      <c r="I41" s="13">
        <f t="shared" si="7"/>
        <v>3809.3853210080874</v>
      </c>
      <c r="J41" s="13">
        <f t="shared" si="7"/>
        <v>172.12861214704745</v>
      </c>
      <c r="K41" s="13">
        <f t="shared" si="7"/>
        <v>21715.403778890824</v>
      </c>
      <c r="L41" s="10">
        <f>SUM(F41:K41)</f>
        <v>207275.37876752339</v>
      </c>
    </row>
    <row r="42" spans="1:12" ht="13.5" thickBot="1" x14ac:dyDescent="0.25">
      <c r="A42" s="4">
        <v>29</v>
      </c>
      <c r="C42" s="22"/>
      <c r="D42" s="23"/>
      <c r="E42" s="24"/>
      <c r="F42" s="24"/>
      <c r="G42" s="24"/>
      <c r="H42" s="24"/>
      <c r="I42" s="24"/>
      <c r="J42" s="24"/>
      <c r="K42" s="24"/>
      <c r="L42" s="22"/>
    </row>
    <row r="43" spans="1:12" ht="13.5" thickTop="1" x14ac:dyDescent="0.2">
      <c r="A43" s="4">
        <v>30</v>
      </c>
      <c r="D43" s="4"/>
      <c r="E43" s="13"/>
    </row>
    <row r="44" spans="1:12" x14ac:dyDescent="0.2">
      <c r="A44" s="4">
        <v>31</v>
      </c>
      <c r="E44" s="13"/>
      <c r="F44" s="25" t="s">
        <v>47</v>
      </c>
      <c r="G44" s="25" t="s">
        <v>48</v>
      </c>
    </row>
    <row r="45" spans="1:12" x14ac:dyDescent="0.2">
      <c r="A45" s="4">
        <v>32</v>
      </c>
      <c r="C45" s="1" t="s">
        <v>49</v>
      </c>
      <c r="E45" s="13"/>
      <c r="F45" s="13">
        <v>0</v>
      </c>
      <c r="G45" s="13">
        <v>0</v>
      </c>
    </row>
    <row r="46" spans="1:12" x14ac:dyDescent="0.2">
      <c r="A46" s="4">
        <v>33</v>
      </c>
      <c r="E46" s="13"/>
      <c r="F46" s="13"/>
    </row>
    <row r="47" spans="1:12" x14ac:dyDescent="0.2">
      <c r="A47" s="4">
        <v>34</v>
      </c>
      <c r="C47" s="1" t="s">
        <v>50</v>
      </c>
      <c r="E47" s="8"/>
      <c r="F47" s="8">
        <f>L37</f>
        <v>349932.05409982539</v>
      </c>
      <c r="G47" s="8">
        <f>L41</f>
        <v>207275.37876752339</v>
      </c>
    </row>
    <row r="48" spans="1:12" x14ac:dyDescent="0.2">
      <c r="A48" s="4">
        <v>35</v>
      </c>
    </row>
    <row r="49" spans="1:12" ht="13.5" thickBot="1" x14ac:dyDescent="0.25">
      <c r="A49" s="4">
        <v>36</v>
      </c>
      <c r="C49" s="26" t="s">
        <v>51</v>
      </c>
      <c r="D49" s="26"/>
      <c r="E49" s="27"/>
      <c r="F49" s="28">
        <f>ROUND(F47-F45,2)</f>
        <v>349932.05</v>
      </c>
      <c r="G49" s="28">
        <f>ROUND(G47-G45,2)</f>
        <v>207275.38</v>
      </c>
    </row>
    <row r="50" spans="1:12" ht="13.5" thickTop="1" x14ac:dyDescent="0.2">
      <c r="A50" s="4">
        <v>37</v>
      </c>
    </row>
    <row r="51" spans="1:12" x14ac:dyDescent="0.2">
      <c r="A51" s="4">
        <v>38</v>
      </c>
    </row>
    <row r="52" spans="1:12" x14ac:dyDescent="0.2">
      <c r="A52" s="4">
        <v>39</v>
      </c>
      <c r="C52" s="29" t="s">
        <v>52</v>
      </c>
      <c r="G52" s="30" t="s">
        <v>53</v>
      </c>
    </row>
    <row r="53" spans="1:12" x14ac:dyDescent="0.2">
      <c r="A53" s="4">
        <v>40</v>
      </c>
      <c r="C53" s="1" t="s">
        <v>54</v>
      </c>
      <c r="D53" s="4"/>
      <c r="E53" s="13"/>
      <c r="G53" s="13">
        <v>80627507</v>
      </c>
    </row>
    <row r="54" spans="1:12" x14ac:dyDescent="0.2">
      <c r="A54" s="4">
        <v>41</v>
      </c>
      <c r="C54" s="1" t="s">
        <v>55</v>
      </c>
      <c r="D54" s="4"/>
      <c r="E54" s="13"/>
      <c r="G54" s="13">
        <v>-11162273</v>
      </c>
    </row>
    <row r="55" spans="1:12" x14ac:dyDescent="0.2">
      <c r="A55" s="4">
        <v>42</v>
      </c>
      <c r="C55" s="1" t="s">
        <v>56</v>
      </c>
      <c r="D55" s="4"/>
      <c r="E55" s="13"/>
      <c r="G55" s="13">
        <v>-9613093</v>
      </c>
    </row>
    <row r="56" spans="1:12" x14ac:dyDescent="0.2">
      <c r="A56" s="4">
        <v>44</v>
      </c>
      <c r="C56" s="1" t="s">
        <v>57</v>
      </c>
      <c r="D56" s="4"/>
      <c r="E56" s="13"/>
      <c r="G56" s="13">
        <f>SUM(G53:G55)</f>
        <v>59852141</v>
      </c>
    </row>
    <row r="57" spans="1:12" x14ac:dyDescent="0.2">
      <c r="A57" s="4">
        <v>45</v>
      </c>
      <c r="C57" s="1" t="s">
        <v>58</v>
      </c>
      <c r="D57" s="4"/>
      <c r="E57" s="13"/>
      <c r="G57" s="16">
        <v>1026016445</v>
      </c>
    </row>
    <row r="59" spans="1:12" ht="27.6" customHeight="1" x14ac:dyDescent="0.2">
      <c r="C59" s="88" t="s">
        <v>59</v>
      </c>
      <c r="D59" s="88"/>
      <c r="E59" s="88"/>
      <c r="F59" s="88"/>
      <c r="G59" s="88"/>
      <c r="H59" s="88"/>
      <c r="I59" s="88"/>
      <c r="J59" s="88"/>
      <c r="K59" s="88"/>
      <c r="L59" s="88"/>
    </row>
    <row r="61" spans="1:12" x14ac:dyDescent="0.2">
      <c r="G61" s="31"/>
    </row>
    <row r="62" spans="1:12" x14ac:dyDescent="0.2">
      <c r="G62" s="10"/>
    </row>
  </sheetData>
  <mergeCells count="4">
    <mergeCell ref="A4:L4"/>
    <mergeCell ref="A5:L5"/>
    <mergeCell ref="A7:L7"/>
    <mergeCell ref="C59:L59"/>
  </mergeCells>
  <printOptions horizontalCentered="1"/>
  <pageMargins left="0.7" right="0.7" top="0.75" bottom="0.75" header="0.3" footer="0.3"/>
  <pageSetup scale="67" orientation="portrait" r:id="rId1"/>
  <headerFooter>
    <oddHeader>&amp;R&amp;"-,Bold"Exhibit GRM-1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Unmodified 1.06 YearEndCust</vt:lpstr>
      <vt:lpstr>Unmodified Billing Detail</vt:lpstr>
      <vt:lpstr>OAG Modified 1.06 YearEndCust</vt:lpstr>
      <vt:lpstr>'Unmodified Billing Detail'!Print_Area</vt:lpstr>
      <vt:lpstr>'Unmodified Billing Detail'!Print_Titles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Haarmann</dc:creator>
  <cp:lastModifiedBy>Laura Haarmann</cp:lastModifiedBy>
  <cp:lastPrinted>2023-11-21T21:28:17Z</cp:lastPrinted>
  <dcterms:created xsi:type="dcterms:W3CDTF">2023-11-21T21:21:50Z</dcterms:created>
  <dcterms:modified xsi:type="dcterms:W3CDTF">2023-12-15T15:36:26Z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{458EC822-4C3D-4E90-8875-B0B2387AB2C4}</vt:lpwstr>
  </property>
</Properties>
</file>