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leming Mason/2022 Rate Case 2023-00223/COS ^0 Rates/"/>
    </mc:Choice>
  </mc:AlternateContent>
  <xr:revisionPtr revIDLastSave="147" documentId="8_{60BB5994-12D3-4D8A-9A16-0C747E617E96}" xr6:coauthVersionLast="47" xr6:coauthVersionMax="47" xr10:uidLastSave="{C3A66450-B3ED-46F6-8C8A-A244AEB5F26D}"/>
  <bookViews>
    <workbookView xWindow="-108" yWindow="-108" windowWidth="23256" windowHeight="12456" xr2:uid="{00000000-000D-0000-FFFF-FFFF00000000}"/>
  </bookViews>
  <sheets>
    <sheet name="RevReq" sheetId="1" r:id="rId1"/>
    <sheet name="Adj List" sheetId="15" r:id="rId2"/>
    <sheet name="Adj BS" sheetId="17" r:id="rId3"/>
    <sheet name="Adj IS" sheetId="18" r:id="rId4"/>
    <sheet name="1.01 FAC" sheetId="8" r:id="rId5"/>
    <sheet name="1.02 ES" sheetId="9" r:id="rId6"/>
    <sheet name="1.03 Int Exp" sheetId="23" r:id="rId7"/>
    <sheet name="1.04 Depr" sheetId="24" r:id="rId8"/>
    <sheet name="1.05 ROW" sheetId="25" r:id="rId9"/>
    <sheet name="1.06 YearEndCust" sheetId="13" r:id="rId10"/>
    <sheet name="1.07 GTCC" sheetId="20" r:id="rId11"/>
    <sheet name="1.08 DonAdsDues" sheetId="7" r:id="rId12"/>
    <sheet name="1.09 Dir" sheetId="26" r:id="rId13"/>
    <sheet name="1.10 Wages and Salaries" sheetId="27" r:id="rId14"/>
    <sheet name="1.11 401k" sheetId="28" r:id="rId15"/>
    <sheet name="1.12 Healthcare" sheetId="29" r:id="rId16"/>
    <sheet name="1.13 RateCase" sheetId="16" r:id="rId17"/>
    <sheet name="1.14 LifeInsur" sheetId="30" r:id="rId18"/>
  </sheets>
  <definedNames>
    <definedName name="_xlnm.Print_Area" localSheetId="4">'1.01 FAC'!$A$1:$H$35</definedName>
    <definedName name="_xlnm.Print_Area" localSheetId="5">'1.02 ES'!$A$1:$H$35</definedName>
    <definedName name="_xlnm.Print_Area" localSheetId="6">'1.03 Int Exp'!$A$1:$F$64</definedName>
    <definedName name="_xlnm.Print_Area" localSheetId="7">'1.04 Depr'!$A$1:$J$50</definedName>
    <definedName name="_xlnm.Print_Area" localSheetId="8">'1.05 ROW'!$A$1:$C$22</definedName>
    <definedName name="_xlnm.Print_Area" localSheetId="10">'1.07 GTCC'!$A$1:$D$19</definedName>
    <definedName name="_xlnm.Print_Area" localSheetId="11">'1.08 DonAdsDues'!$A$1:$D$33</definedName>
    <definedName name="_xlnm.Print_Area" localSheetId="12">'1.09 Dir'!$A$1:$K$28</definedName>
    <definedName name="_xlnm.Print_Area" localSheetId="13">'1.10 Wages and Salaries'!$A$1:$J$40</definedName>
    <definedName name="_xlnm.Print_Area" localSheetId="14">'1.11 401k'!$A$1:$E$22</definedName>
    <definedName name="_xlnm.Print_Area" localSheetId="15">'1.12 Healthcare'!$A$1:$G$28</definedName>
    <definedName name="_xlnm.Print_Area" localSheetId="17">'1.14 LifeInsur'!$A$1:$H$70</definedName>
    <definedName name="_xlnm.Print_Area" localSheetId="3">'Adj IS'!$A$1:$V$42</definedName>
    <definedName name="_xlnm.Print_Area" localSheetId="1">'Adj List'!$A$1:$G$30</definedName>
    <definedName name="_xlnm.Print_Area" localSheetId="0">RevReq!$A$1:$G$60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5" l="1"/>
  <c r="C18" i="25"/>
  <c r="E18" i="15"/>
  <c r="F23" i="29"/>
  <c r="F24" i="29"/>
  <c r="F22" i="29"/>
  <c r="F25" i="29" s="1"/>
  <c r="H25" i="9" l="1"/>
  <c r="H25" i="8"/>
  <c r="F25" i="8"/>
  <c r="C9" i="1"/>
  <c r="F12" i="9"/>
  <c r="F25" i="9" s="1"/>
  <c r="F12" i="8"/>
  <c r="F45" i="23" l="1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G55" i="13" l="1"/>
  <c r="G54" i="13"/>
  <c r="D27" i="1"/>
  <c r="E20" i="15" l="1"/>
  <c r="B68" i="30"/>
  <c r="B67" i="30"/>
  <c r="B66" i="30"/>
  <c r="B65" i="30"/>
  <c r="B64" i="30"/>
  <c r="B63" i="30"/>
  <c r="E56" i="30"/>
  <c r="G56" i="30" s="1"/>
  <c r="B56" i="30"/>
  <c r="E55" i="30"/>
  <c r="G55" i="30" s="1"/>
  <c r="B55" i="30"/>
  <c r="E54" i="30"/>
  <c r="G54" i="30" s="1"/>
  <c r="B54" i="30"/>
  <c r="G53" i="30"/>
  <c r="E53" i="30"/>
  <c r="F53" i="30" s="1"/>
  <c r="B53" i="30"/>
  <c r="E52" i="30"/>
  <c r="F52" i="30" s="1"/>
  <c r="B52" i="30"/>
  <c r="E51" i="30"/>
  <c r="F51" i="30" s="1"/>
  <c r="B51" i="30"/>
  <c r="G50" i="30"/>
  <c r="H50" i="30" s="1"/>
  <c r="F50" i="30"/>
  <c r="E50" i="30"/>
  <c r="B50" i="30"/>
  <c r="E49" i="30"/>
  <c r="G49" i="30" s="1"/>
  <c r="B49" i="30"/>
  <c r="E48" i="30"/>
  <c r="G48" i="30" s="1"/>
  <c r="B48" i="30"/>
  <c r="E47" i="30"/>
  <c r="G47" i="30" s="1"/>
  <c r="B47" i="30"/>
  <c r="E46" i="30"/>
  <c r="G46" i="30" s="1"/>
  <c r="B46" i="30"/>
  <c r="G45" i="30"/>
  <c r="E45" i="30"/>
  <c r="F45" i="30" s="1"/>
  <c r="B45" i="30"/>
  <c r="E44" i="30"/>
  <c r="G44" i="30" s="1"/>
  <c r="B44" i="30"/>
  <c r="E43" i="30"/>
  <c r="G43" i="30" s="1"/>
  <c r="B43" i="30"/>
  <c r="G42" i="30"/>
  <c r="H42" i="30" s="1"/>
  <c r="F42" i="30"/>
  <c r="E42" i="30"/>
  <c r="B42" i="30"/>
  <c r="E41" i="30"/>
  <c r="F41" i="30" s="1"/>
  <c r="B41" i="30"/>
  <c r="E40" i="30"/>
  <c r="G40" i="30" s="1"/>
  <c r="B40" i="30"/>
  <c r="E39" i="30"/>
  <c r="G39" i="30" s="1"/>
  <c r="B39" i="30"/>
  <c r="E38" i="30"/>
  <c r="G38" i="30" s="1"/>
  <c r="B38" i="30"/>
  <c r="G37" i="30"/>
  <c r="H37" i="30" s="1"/>
  <c r="E37" i="30"/>
  <c r="F37" i="30" s="1"/>
  <c r="B37" i="30"/>
  <c r="E36" i="30"/>
  <c r="F36" i="30" s="1"/>
  <c r="B36" i="30"/>
  <c r="E35" i="30"/>
  <c r="F35" i="30" s="1"/>
  <c r="B35" i="30"/>
  <c r="G34" i="30"/>
  <c r="H34" i="30" s="1"/>
  <c r="F34" i="30"/>
  <c r="E34" i="30"/>
  <c r="B34" i="30"/>
  <c r="E33" i="30"/>
  <c r="F33" i="30" s="1"/>
  <c r="B33" i="30"/>
  <c r="E32" i="30"/>
  <c r="G32" i="30" s="1"/>
  <c r="B32" i="30"/>
  <c r="E31" i="30"/>
  <c r="G31" i="30" s="1"/>
  <c r="B31" i="30"/>
  <c r="E30" i="30"/>
  <c r="G30" i="30" s="1"/>
  <c r="B30" i="30"/>
  <c r="G29" i="30"/>
  <c r="E29" i="30"/>
  <c r="F29" i="30" s="1"/>
  <c r="B29" i="30"/>
  <c r="E28" i="30"/>
  <c r="G28" i="30" s="1"/>
  <c r="B28" i="30"/>
  <c r="E27" i="30"/>
  <c r="G27" i="30" s="1"/>
  <c r="B27" i="30"/>
  <c r="G26" i="30"/>
  <c r="H26" i="30" s="1"/>
  <c r="F26" i="30"/>
  <c r="E26" i="30"/>
  <c r="B26" i="30"/>
  <c r="E25" i="30"/>
  <c r="F25" i="30" s="1"/>
  <c r="B25" i="30"/>
  <c r="E24" i="30"/>
  <c r="G24" i="30" s="1"/>
  <c r="B24" i="30"/>
  <c r="E23" i="30"/>
  <c r="G23" i="30" s="1"/>
  <c r="B23" i="30"/>
  <c r="E22" i="30"/>
  <c r="G22" i="30" s="1"/>
  <c r="B22" i="30"/>
  <c r="G21" i="30"/>
  <c r="H21" i="30" s="1"/>
  <c r="E21" i="30"/>
  <c r="F21" i="30" s="1"/>
  <c r="B21" i="30"/>
  <c r="E20" i="30"/>
  <c r="F20" i="30" s="1"/>
  <c r="B20" i="30"/>
  <c r="E19" i="30"/>
  <c r="F19" i="30" s="1"/>
  <c r="B19" i="30"/>
  <c r="G18" i="30"/>
  <c r="H18" i="30" s="1"/>
  <c r="F18" i="30"/>
  <c r="E18" i="30"/>
  <c r="B18" i="30"/>
  <c r="E17" i="30"/>
  <c r="G17" i="30" s="1"/>
  <c r="B17" i="30"/>
  <c r="E16" i="30"/>
  <c r="G16" i="30" s="1"/>
  <c r="B16" i="30"/>
  <c r="E15" i="30"/>
  <c r="G15" i="30" s="1"/>
  <c r="B15" i="30"/>
  <c r="E14" i="30"/>
  <c r="G14" i="30" s="1"/>
  <c r="B14" i="30"/>
  <c r="G13" i="30"/>
  <c r="H13" i="30" s="1"/>
  <c r="E13" i="30"/>
  <c r="F13" i="30" s="1"/>
  <c r="B13" i="30"/>
  <c r="E12" i="30"/>
  <c r="G12" i="30" s="1"/>
  <c r="B12" i="30"/>
  <c r="B57" i="30" s="1"/>
  <c r="D14" i="29"/>
  <c r="C14" i="29"/>
  <c r="D13" i="29"/>
  <c r="C13" i="29"/>
  <c r="A13" i="29"/>
  <c r="A14" i="29" s="1"/>
  <c r="A16" i="29" s="1"/>
  <c r="A17" i="29" s="1"/>
  <c r="A18" i="29" s="1"/>
  <c r="A19" i="29" s="1"/>
  <c r="A20" i="29" s="1"/>
  <c r="A22" i="29" s="1"/>
  <c r="A23" i="29" s="1"/>
  <c r="A24" i="29" s="1"/>
  <c r="A25" i="29" s="1"/>
  <c r="D12" i="29"/>
  <c r="C12" i="29"/>
  <c r="E17" i="15"/>
  <c r="D18" i="28"/>
  <c r="D14" i="28"/>
  <c r="E16" i="15"/>
  <c r="D27" i="27"/>
  <c r="E26" i="27" s="1"/>
  <c r="G21" i="27"/>
  <c r="E21" i="27"/>
  <c r="C21" i="27"/>
  <c r="J19" i="27"/>
  <c r="I16" i="27"/>
  <c r="I21" i="27" s="1"/>
  <c r="J21" i="27" s="1"/>
  <c r="D16" i="27"/>
  <c r="I13" i="27"/>
  <c r="J13" i="27" s="1"/>
  <c r="D13" i="27"/>
  <c r="E15" i="15"/>
  <c r="C24" i="26"/>
  <c r="C22" i="26"/>
  <c r="J18" i="26"/>
  <c r="I18" i="26"/>
  <c r="G18" i="26"/>
  <c r="F18" i="26"/>
  <c r="E18" i="26"/>
  <c r="D18" i="26"/>
  <c r="C18" i="26"/>
  <c r="K17" i="26"/>
  <c r="K16" i="26"/>
  <c r="K15" i="26"/>
  <c r="C25" i="26" s="1"/>
  <c r="K14" i="26"/>
  <c r="E14" i="26"/>
  <c r="K13" i="26"/>
  <c r="K12" i="26"/>
  <c r="K11" i="26"/>
  <c r="K10" i="26"/>
  <c r="H10" i="26"/>
  <c r="H18" i="26" s="1"/>
  <c r="E10" i="26"/>
  <c r="C14" i="25"/>
  <c r="A13" i="25"/>
  <c r="A14" i="25" s="1"/>
  <c r="A16" i="25" s="1"/>
  <c r="A17" i="25" s="1"/>
  <c r="A18" i="25" s="1"/>
  <c r="A21" i="24"/>
  <c r="A22" i="24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F41" i="24"/>
  <c r="E41" i="24"/>
  <c r="H40" i="24"/>
  <c r="J40" i="24" s="1"/>
  <c r="H39" i="24"/>
  <c r="J39" i="24" s="1"/>
  <c r="H38" i="24"/>
  <c r="J38" i="24" s="1"/>
  <c r="H37" i="24"/>
  <c r="J37" i="24" s="1"/>
  <c r="H36" i="24"/>
  <c r="J36" i="24" s="1"/>
  <c r="H35" i="24"/>
  <c r="J35" i="24" s="1"/>
  <c r="H34" i="24"/>
  <c r="J34" i="24" s="1"/>
  <c r="H33" i="24"/>
  <c r="J33" i="24" s="1"/>
  <c r="I32" i="24"/>
  <c r="H32" i="24"/>
  <c r="J32" i="24" s="1"/>
  <c r="I31" i="24"/>
  <c r="H31" i="24"/>
  <c r="J31" i="24" s="1"/>
  <c r="J30" i="24"/>
  <c r="I29" i="24"/>
  <c r="I41" i="24" s="1"/>
  <c r="H29" i="24"/>
  <c r="J29" i="24" s="1"/>
  <c r="J28" i="24"/>
  <c r="H28" i="24"/>
  <c r="H27" i="24"/>
  <c r="J27" i="24" s="1"/>
  <c r="H26" i="24"/>
  <c r="J26" i="24" s="1"/>
  <c r="I23" i="24"/>
  <c r="F23" i="24"/>
  <c r="F42" i="24" s="1"/>
  <c r="E23" i="24"/>
  <c r="E42" i="24" s="1"/>
  <c r="H19" i="24"/>
  <c r="J19" i="24" s="1"/>
  <c r="H18" i="24"/>
  <c r="J18" i="24" s="1"/>
  <c r="H17" i="24"/>
  <c r="J17" i="24" s="1"/>
  <c r="H16" i="24"/>
  <c r="J16" i="24" s="1"/>
  <c r="H15" i="24"/>
  <c r="J15" i="24" s="1"/>
  <c r="H14" i="24"/>
  <c r="J14" i="24" s="1"/>
  <c r="H13" i="24"/>
  <c r="A12" i="24"/>
  <c r="A13" i="24" s="1"/>
  <c r="A14" i="24" s="1"/>
  <c r="A15" i="24" s="1"/>
  <c r="A16" i="24" s="1"/>
  <c r="A17" i="24" s="1"/>
  <c r="A18" i="24" s="1"/>
  <c r="A19" i="24" s="1"/>
  <c r="A20" i="24" s="1"/>
  <c r="F57" i="23"/>
  <c r="F61" i="23" s="1"/>
  <c r="C46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F46" i="23"/>
  <c r="F50" i="23" s="1"/>
  <c r="F52" i="23" s="1"/>
  <c r="E9" i="15" s="1"/>
  <c r="D25" i="1" s="1"/>
  <c r="D30" i="7"/>
  <c r="D27" i="7"/>
  <c r="B27" i="7"/>
  <c r="D26" i="7"/>
  <c r="D23" i="7"/>
  <c r="D22" i="7"/>
  <c r="B16" i="7"/>
  <c r="B17" i="7" s="1"/>
  <c r="B18" i="7" s="1"/>
  <c r="D16" i="1" l="1"/>
  <c r="C20" i="25"/>
  <c r="E12" i="29"/>
  <c r="E13" i="29"/>
  <c r="E14" i="29"/>
  <c r="G16" i="29" s="1"/>
  <c r="F14" i="29"/>
  <c r="G14" i="29" s="1"/>
  <c r="E14" i="15"/>
  <c r="J23" i="18" s="1"/>
  <c r="H32" i="30"/>
  <c r="H29" i="30"/>
  <c r="H28" i="30"/>
  <c r="H55" i="30"/>
  <c r="H15" i="30"/>
  <c r="H49" i="30"/>
  <c r="H43" i="30"/>
  <c r="H53" i="30"/>
  <c r="H38" i="30"/>
  <c r="H45" i="30"/>
  <c r="H44" i="30"/>
  <c r="H54" i="30"/>
  <c r="F15" i="30"/>
  <c r="F31" i="30"/>
  <c r="H31" i="30" s="1"/>
  <c r="F39" i="30"/>
  <c r="H39" i="30" s="1"/>
  <c r="F47" i="30"/>
  <c r="H47" i="30" s="1"/>
  <c r="F12" i="30"/>
  <c r="H12" i="30" s="1"/>
  <c r="H57" i="30" s="1"/>
  <c r="F28" i="30"/>
  <c r="F44" i="30"/>
  <c r="F17" i="30"/>
  <c r="H17" i="30" s="1"/>
  <c r="G20" i="30"/>
  <c r="H20" i="30" s="1"/>
  <c r="G36" i="30"/>
  <c r="H36" i="30" s="1"/>
  <c r="F49" i="30"/>
  <c r="G52" i="30"/>
  <c r="H52" i="30" s="1"/>
  <c r="F14" i="30"/>
  <c r="H14" i="30" s="1"/>
  <c r="G25" i="30"/>
  <c r="H25" i="30" s="1"/>
  <c r="F30" i="30"/>
  <c r="H30" i="30" s="1"/>
  <c r="G33" i="30"/>
  <c r="H33" i="30" s="1"/>
  <c r="F38" i="30"/>
  <c r="G41" i="30"/>
  <c r="H41" i="30" s="1"/>
  <c r="F46" i="30"/>
  <c r="H46" i="30" s="1"/>
  <c r="F54" i="30"/>
  <c r="F27" i="30"/>
  <c r="H27" i="30" s="1"/>
  <c r="F43" i="30"/>
  <c r="F16" i="30"/>
  <c r="H16" i="30" s="1"/>
  <c r="G19" i="30"/>
  <c r="H19" i="30" s="1"/>
  <c r="F24" i="30"/>
  <c r="H24" i="30" s="1"/>
  <c r="F32" i="30"/>
  <c r="G35" i="30"/>
  <c r="H35" i="30" s="1"/>
  <c r="F40" i="30"/>
  <c r="H40" i="30" s="1"/>
  <c r="F48" i="30"/>
  <c r="H48" i="30" s="1"/>
  <c r="G51" i="30"/>
  <c r="H51" i="30" s="1"/>
  <c r="F56" i="30"/>
  <c r="H56" i="30" s="1"/>
  <c r="F23" i="30"/>
  <c r="H23" i="30" s="1"/>
  <c r="F55" i="30"/>
  <c r="F22" i="30"/>
  <c r="H22" i="30" s="1"/>
  <c r="J26" i="27"/>
  <c r="E24" i="27"/>
  <c r="J24" i="27" s="1"/>
  <c r="J16" i="27"/>
  <c r="E25" i="27"/>
  <c r="J25" i="27" s="1"/>
  <c r="C26" i="26"/>
  <c r="K18" i="26"/>
  <c r="J44" i="24"/>
  <c r="J49" i="24" s="1"/>
  <c r="I42" i="24"/>
  <c r="H23" i="24"/>
  <c r="H41" i="24"/>
  <c r="J41" i="24" s="1"/>
  <c r="J13" i="24"/>
  <c r="J23" i="24" s="1"/>
  <c r="G18" i="29" l="1"/>
  <c r="G20" i="29" s="1"/>
  <c r="B62" i="30"/>
  <c r="B61" i="30"/>
  <c r="G59" i="30"/>
  <c r="D35" i="27"/>
  <c r="D34" i="27"/>
  <c r="D33" i="27"/>
  <c r="D32" i="27"/>
  <c r="D31" i="27"/>
  <c r="J27" i="27"/>
  <c r="K23" i="26"/>
  <c r="K21" i="26"/>
  <c r="J42" i="24"/>
  <c r="J48" i="24" s="1"/>
  <c r="J50" i="24" s="1"/>
  <c r="E10" i="15" s="1"/>
  <c r="D23" i="1" s="1"/>
  <c r="H42" i="24"/>
  <c r="G22" i="29" l="1"/>
  <c r="G24" i="29"/>
  <c r="G23" i="29"/>
  <c r="G61" i="30"/>
  <c r="G60" i="30"/>
  <c r="D36" i="27"/>
  <c r="K25" i="26"/>
  <c r="G25" i="29" l="1"/>
  <c r="E19" i="15"/>
  <c r="D20" i="1" s="1"/>
  <c r="I36" i="13"/>
  <c r="H36" i="13"/>
  <c r="I25" i="13"/>
  <c r="I30" i="13" s="1"/>
  <c r="H25" i="13"/>
  <c r="H30" i="13" s="1"/>
  <c r="K36" i="13"/>
  <c r="J36" i="13"/>
  <c r="K25" i="13"/>
  <c r="K30" i="13" s="1"/>
  <c r="J25" i="13"/>
  <c r="J30" i="13" s="1"/>
  <c r="P23" i="18"/>
  <c r="J27" i="13" l="1"/>
  <c r="J31" i="13" s="1"/>
  <c r="H27" i="13"/>
  <c r="H31" i="13" s="1"/>
  <c r="K27" i="13"/>
  <c r="K31" i="13" s="1"/>
  <c r="I27" i="13"/>
  <c r="I31" i="13" s="1"/>
  <c r="J37" i="13" l="1"/>
  <c r="I37" i="13"/>
  <c r="K37" i="13"/>
  <c r="H37" i="13"/>
  <c r="A5" i="13" l="1"/>
  <c r="A4" i="13"/>
  <c r="C53" i="1"/>
  <c r="E52" i="1"/>
  <c r="F52" i="1" s="1"/>
  <c r="G52" i="1" s="1"/>
  <c r="R6" i="18" l="1"/>
  <c r="R4" i="18"/>
  <c r="R9" i="18" l="1"/>
  <c r="Q6" i="18"/>
  <c r="Q4" i="18"/>
  <c r="Q24" i="18"/>
  <c r="Q31" i="18" s="1"/>
  <c r="Q12" i="18"/>
  <c r="A13" i="20"/>
  <c r="A14" i="20" s="1"/>
  <c r="A15" i="20" s="1"/>
  <c r="D11" i="20"/>
  <c r="D15" i="20" s="1"/>
  <c r="F13" i="15" s="1"/>
  <c r="A12" i="20"/>
  <c r="A5" i="20"/>
  <c r="A4" i="20"/>
  <c r="G56" i="13"/>
  <c r="F40" i="13" s="1"/>
  <c r="G36" i="13"/>
  <c r="F36" i="13"/>
  <c r="G25" i="13"/>
  <c r="G30" i="13" s="1"/>
  <c r="F25" i="13"/>
  <c r="F30" i="13" s="1"/>
  <c r="I38" i="18" l="1"/>
  <c r="D36" i="1"/>
  <c r="Q37" i="18"/>
  <c r="Q40" i="18" s="1"/>
  <c r="Q33" i="18"/>
  <c r="F27" i="13"/>
  <c r="F31" i="13" s="1"/>
  <c r="F37" i="13" s="1"/>
  <c r="G27" i="13"/>
  <c r="G31" i="13" s="1"/>
  <c r="G37" i="13" s="1"/>
  <c r="G40" i="13"/>
  <c r="H40" i="13" s="1"/>
  <c r="I40" i="13" l="1"/>
  <c r="H41" i="13"/>
  <c r="Q42" i="18"/>
  <c r="L31" i="13"/>
  <c r="L37" i="13"/>
  <c r="F47" i="13" s="1"/>
  <c r="F49" i="13" s="1"/>
  <c r="D12" i="15" s="1"/>
  <c r="G41" i="13"/>
  <c r="F41" i="13"/>
  <c r="H10" i="18" l="1"/>
  <c r="J40" i="13"/>
  <c r="I41" i="13"/>
  <c r="K40" i="13" l="1"/>
  <c r="J41" i="13"/>
  <c r="K41" i="13" l="1"/>
  <c r="L41" i="13" s="1"/>
  <c r="G47" i="13" s="1"/>
  <c r="G49" i="13" s="1"/>
  <c r="E12" i="15" s="1"/>
  <c r="P6" i="18"/>
  <c r="P4" i="18"/>
  <c r="V9" i="18"/>
  <c r="P12" i="18"/>
  <c r="P24" i="18"/>
  <c r="P31" i="18" s="1"/>
  <c r="H16" i="18" l="1"/>
  <c r="D35" i="1"/>
  <c r="P37" i="18"/>
  <c r="P40" i="18" s="1"/>
  <c r="E8" i="17"/>
  <c r="P33" i="18"/>
  <c r="V37" i="18" l="1"/>
  <c r="P42" i="18"/>
  <c r="M23" i="18"/>
  <c r="M24" i="18" s="1"/>
  <c r="M31" i="18" s="1"/>
  <c r="N23" i="18"/>
  <c r="N24" i="18" s="1"/>
  <c r="N31" i="18" s="1"/>
  <c r="O6" i="18"/>
  <c r="N6" i="18"/>
  <c r="M6" i="18"/>
  <c r="L6" i="18"/>
  <c r="K6" i="18"/>
  <c r="J6" i="18"/>
  <c r="I6" i="18"/>
  <c r="H6" i="18"/>
  <c r="G6" i="18"/>
  <c r="F6" i="18"/>
  <c r="E6" i="18"/>
  <c r="O4" i="18"/>
  <c r="N4" i="18"/>
  <c r="M4" i="18"/>
  <c r="L4" i="18"/>
  <c r="K4" i="18"/>
  <c r="J4" i="18"/>
  <c r="I4" i="18"/>
  <c r="H4" i="18"/>
  <c r="G4" i="18"/>
  <c r="F4" i="18"/>
  <c r="D6" i="18"/>
  <c r="C6" i="18"/>
  <c r="C4" i="18"/>
  <c r="D4" i="18"/>
  <c r="E4" i="18"/>
  <c r="B1" i="18"/>
  <c r="T40" i="18"/>
  <c r="S40" i="18"/>
  <c r="R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V39" i="18"/>
  <c r="V38" i="18"/>
  <c r="V35" i="18"/>
  <c r="V30" i="18"/>
  <c r="V29" i="18"/>
  <c r="V27" i="18"/>
  <c r="U24" i="18"/>
  <c r="U31" i="18" s="1"/>
  <c r="T24" i="18"/>
  <c r="T31" i="18" s="1"/>
  <c r="S24" i="18"/>
  <c r="S31" i="18" s="1"/>
  <c r="R24" i="18"/>
  <c r="R31" i="18" s="1"/>
  <c r="V22" i="18"/>
  <c r="V21" i="18"/>
  <c r="V20" i="18"/>
  <c r="V18" i="18"/>
  <c r="F24" i="18"/>
  <c r="E24" i="18"/>
  <c r="V16" i="18"/>
  <c r="H24" i="18"/>
  <c r="H31" i="18" s="1"/>
  <c r="V15" i="18"/>
  <c r="T12" i="18"/>
  <c r="S12" i="18"/>
  <c r="R12" i="18"/>
  <c r="O12" i="18"/>
  <c r="N12" i="18"/>
  <c r="M12" i="18"/>
  <c r="L12" i="18"/>
  <c r="K12" i="18"/>
  <c r="J12" i="18"/>
  <c r="I12" i="18"/>
  <c r="G12" i="18"/>
  <c r="V11" i="18"/>
  <c r="F12" i="18"/>
  <c r="E12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7" i="18" s="1"/>
  <c r="A38" i="18" s="1"/>
  <c r="A39" i="18" s="1"/>
  <c r="A40" i="18" s="1"/>
  <c r="A41" i="18" s="1"/>
  <c r="A42" i="18" s="1"/>
  <c r="E70" i="17"/>
  <c r="E58" i="17"/>
  <c r="D58" i="17"/>
  <c r="F56" i="17"/>
  <c r="F10" i="17"/>
  <c r="A1" i="17"/>
  <c r="F69" i="17"/>
  <c r="F68" i="17"/>
  <c r="E66" i="17"/>
  <c r="D66" i="17"/>
  <c r="F65" i="17"/>
  <c r="F64" i="17"/>
  <c r="F63" i="17"/>
  <c r="F62" i="17"/>
  <c r="F61" i="17"/>
  <c r="F60" i="17"/>
  <c r="F57" i="17"/>
  <c r="E54" i="17"/>
  <c r="D54" i="17"/>
  <c r="F53" i="17"/>
  <c r="F52" i="17"/>
  <c r="F51" i="17"/>
  <c r="F50" i="17"/>
  <c r="F49" i="17"/>
  <c r="E47" i="17"/>
  <c r="D47" i="17"/>
  <c r="F46" i="17"/>
  <c r="F45" i="17"/>
  <c r="F44" i="17"/>
  <c r="F42" i="17"/>
  <c r="F41" i="17"/>
  <c r="F36" i="17"/>
  <c r="F35" i="17"/>
  <c r="E33" i="17"/>
  <c r="E38" i="17" s="1"/>
  <c r="D33" i="17"/>
  <c r="F32" i="17"/>
  <c r="F31" i="17"/>
  <c r="F30" i="17"/>
  <c r="F29" i="17"/>
  <c r="F28" i="17"/>
  <c r="F27" i="17"/>
  <c r="F26" i="17"/>
  <c r="F25" i="17"/>
  <c r="F24" i="17"/>
  <c r="F23" i="17"/>
  <c r="E21" i="17"/>
  <c r="D21" i="17"/>
  <c r="F20" i="17"/>
  <c r="F19" i="17"/>
  <c r="F18" i="17"/>
  <c r="F17" i="17"/>
  <c r="F16" i="17"/>
  <c r="F15" i="17"/>
  <c r="F14" i="17"/>
  <c r="E12" i="17"/>
  <c r="F11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D6" i="17"/>
  <c r="E6" i="17" s="1"/>
  <c r="F58" i="17" l="1"/>
  <c r="D70" i="17"/>
  <c r="R33" i="18"/>
  <c r="R42" i="18" s="1"/>
  <c r="T33" i="18"/>
  <c r="T42" i="18"/>
  <c r="U33" i="18"/>
  <c r="M33" i="18"/>
  <c r="M42" i="18" s="1"/>
  <c r="H12" i="18"/>
  <c r="N33" i="18"/>
  <c r="N42" i="18" s="1"/>
  <c r="S33" i="18"/>
  <c r="S42" i="18" s="1"/>
  <c r="V40" i="18"/>
  <c r="F54" i="17"/>
  <c r="F66" i="17"/>
  <c r="F47" i="17"/>
  <c r="F33" i="17"/>
  <c r="F21" i="17"/>
  <c r="F12" i="17"/>
  <c r="D12" i="17"/>
  <c r="D38" i="17" s="1"/>
  <c r="F70" i="17" l="1"/>
  <c r="H33" i="18"/>
  <c r="H42" i="18" s="1"/>
  <c r="F38" i="17"/>
  <c r="A5" i="16" l="1"/>
  <c r="A4" i="16"/>
  <c r="D15" i="16"/>
  <c r="D17" i="16" s="1"/>
  <c r="D19" i="16" s="1"/>
  <c r="D23" i="16" s="1"/>
  <c r="D25" i="16" s="1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O23" i="18" l="1"/>
  <c r="O24" i="18" s="1"/>
  <c r="O31" i="18" s="1"/>
  <c r="O33" i="18" l="1"/>
  <c r="O42" i="18" s="1"/>
  <c r="A1" i="15" l="1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F30" i="15"/>
  <c r="G12" i="15"/>
  <c r="D5" i="15"/>
  <c r="E5" i="15" s="1"/>
  <c r="F5" i="15" s="1"/>
  <c r="G5" i="15" s="1"/>
  <c r="I19" i="18"/>
  <c r="I24" i="18" s="1"/>
  <c r="I31" i="18" s="1"/>
  <c r="I33" i="18" l="1"/>
  <c r="I42" i="18" s="1"/>
  <c r="G13" i="15"/>
  <c r="G19" i="18" l="1"/>
  <c r="G11" i="15"/>
  <c r="G24" i="18" l="1"/>
  <c r="V19" i="18"/>
  <c r="G31" i="18" l="1"/>
  <c r="G33" i="18" l="1"/>
  <c r="G42" i="18" l="1"/>
  <c r="A5" i="9"/>
  <c r="A4" i="9"/>
  <c r="F27" i="9"/>
  <c r="F31" i="9" s="1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D8" i="15" l="1"/>
  <c r="H27" i="9"/>
  <c r="H31" i="9" s="1"/>
  <c r="F26" i="18"/>
  <c r="G10" i="15"/>
  <c r="E8" i="15" l="1"/>
  <c r="D10" i="18"/>
  <c r="D12" i="18" s="1"/>
  <c r="E28" i="18"/>
  <c r="G9" i="15"/>
  <c r="V26" i="18"/>
  <c r="F31" i="18"/>
  <c r="A4" i="8"/>
  <c r="A5" i="8"/>
  <c r="H27" i="8"/>
  <c r="H31" i="8" s="1"/>
  <c r="E7" i="15" s="1"/>
  <c r="F27" i="8"/>
  <c r="F31" i="8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A15" i="7"/>
  <c r="G8" i="15" l="1"/>
  <c r="D17" i="18"/>
  <c r="D24" i="18" s="1"/>
  <c r="D31" i="18" s="1"/>
  <c r="D33" i="18" s="1"/>
  <c r="D42" i="18" s="1"/>
  <c r="D14" i="1"/>
  <c r="D7" i="15"/>
  <c r="A16" i="7"/>
  <c r="A17" i="7" s="1"/>
  <c r="A18" i="7" s="1"/>
  <c r="A19" i="7" s="1"/>
  <c r="F33" i="18"/>
  <c r="F42" i="18" s="1"/>
  <c r="G14" i="15"/>
  <c r="C17" i="18"/>
  <c r="V28" i="18"/>
  <c r="E31" i="18"/>
  <c r="D30" i="15" l="1"/>
  <c r="G7" i="15"/>
  <c r="C10" i="18"/>
  <c r="V10" i="18" s="1"/>
  <c r="D9" i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J24" i="18"/>
  <c r="J31" i="18" s="1"/>
  <c r="E33" i="18"/>
  <c r="E42" i="18" s="1"/>
  <c r="C24" i="18"/>
  <c r="V17" i="18"/>
  <c r="C12" i="18" l="1"/>
  <c r="V12" i="18" s="1"/>
  <c r="C31" i="18"/>
  <c r="J33" i="18"/>
  <c r="J42" i="18" s="1"/>
  <c r="C33" i="18" l="1"/>
  <c r="C42" i="18"/>
  <c r="A5" i="7"/>
  <c r="A4" i="7"/>
  <c r="K23" i="18" l="1"/>
  <c r="G15" i="15"/>
  <c r="K24" i="18" l="1"/>
  <c r="K31" i="18" l="1"/>
  <c r="K33" i="18" l="1"/>
  <c r="K42" i="18" l="1"/>
  <c r="E41" i="1" l="1"/>
  <c r="E36" i="1"/>
  <c r="C47" i="1"/>
  <c r="E46" i="1"/>
  <c r="E37" i="1"/>
  <c r="F37" i="1" s="1"/>
  <c r="G37" i="1" s="1"/>
  <c r="E35" i="1"/>
  <c r="F35" i="1" s="1"/>
  <c r="G35" i="1" s="1"/>
  <c r="E34" i="1"/>
  <c r="F34" i="1" s="1"/>
  <c r="G34" i="1" s="1"/>
  <c r="E33" i="1"/>
  <c r="F33" i="1" s="1"/>
  <c r="G33" i="1" s="1"/>
  <c r="E27" i="1"/>
  <c r="F27" i="1" s="1"/>
  <c r="G27" i="1" s="1"/>
  <c r="E26" i="1"/>
  <c r="F26" i="1" s="1"/>
  <c r="G26" i="1" s="1"/>
  <c r="E25" i="1"/>
  <c r="E24" i="1"/>
  <c r="F24" i="1" s="1"/>
  <c r="G24" i="1" s="1"/>
  <c r="E23" i="1"/>
  <c r="F23" i="1" s="1"/>
  <c r="G23" i="1" s="1"/>
  <c r="C21" i="1"/>
  <c r="C29" i="1" s="1"/>
  <c r="C54" i="1" s="1"/>
  <c r="E19" i="1"/>
  <c r="F19" i="1" s="1"/>
  <c r="G19" i="1" s="1"/>
  <c r="E18" i="1"/>
  <c r="F18" i="1" s="1"/>
  <c r="G18" i="1" s="1"/>
  <c r="E17" i="1"/>
  <c r="F17" i="1" s="1"/>
  <c r="G17" i="1" s="1"/>
  <c r="E16" i="1"/>
  <c r="E15" i="1"/>
  <c r="F15" i="1" s="1"/>
  <c r="G15" i="1" s="1"/>
  <c r="E14" i="1"/>
  <c r="D11" i="1"/>
  <c r="C11" i="1"/>
  <c r="E10" i="1"/>
  <c r="F10" i="1" s="1"/>
  <c r="G10" i="1" s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7" i="1"/>
  <c r="D7" i="1" s="1"/>
  <c r="F14" i="1" l="1"/>
  <c r="F25" i="1"/>
  <c r="E53" i="1"/>
  <c r="G41" i="1"/>
  <c r="F41" i="1"/>
  <c r="E11" i="1"/>
  <c r="F36" i="1"/>
  <c r="E47" i="1"/>
  <c r="C48" i="1"/>
  <c r="C31" i="1"/>
  <c r="F16" i="1"/>
  <c r="G16" i="1" s="1"/>
  <c r="G14" i="1" l="1"/>
  <c r="G25" i="1"/>
  <c r="F53" i="1"/>
  <c r="F47" i="1"/>
  <c r="G36" i="1"/>
  <c r="L23" i="18"/>
  <c r="G16" i="15"/>
  <c r="G30" i="15" s="1"/>
  <c r="E30" i="15"/>
  <c r="C42" i="1"/>
  <c r="C39" i="1"/>
  <c r="C55" i="1" l="1"/>
  <c r="G47" i="1"/>
  <c r="G53" i="1"/>
  <c r="D21" i="1"/>
  <c r="E20" i="1"/>
  <c r="L24" i="18"/>
  <c r="V23" i="18"/>
  <c r="C43" i="1"/>
  <c r="C44" i="1"/>
  <c r="C49" i="1"/>
  <c r="D29" i="1" l="1"/>
  <c r="L31" i="18"/>
  <c r="V24" i="18"/>
  <c r="F20" i="1"/>
  <c r="E21" i="1"/>
  <c r="D31" i="1"/>
  <c r="E29" i="1" l="1"/>
  <c r="E48" i="1" s="1"/>
  <c r="D39" i="1"/>
  <c r="G20" i="1"/>
  <c r="F21" i="1"/>
  <c r="L33" i="18"/>
  <c r="V31" i="18"/>
  <c r="E31" i="1" l="1"/>
  <c r="E39" i="1" s="1"/>
  <c r="G21" i="1"/>
  <c r="G29" i="1" s="1"/>
  <c r="G48" i="1" s="1"/>
  <c r="F29" i="1"/>
  <c r="E54" i="1"/>
  <c r="L42" i="18"/>
  <c r="V42" i="18" s="1"/>
  <c r="V33" i="18"/>
  <c r="E42" i="1" l="1"/>
  <c r="E56" i="1" s="1"/>
  <c r="F54" i="1"/>
  <c r="F48" i="1"/>
  <c r="G54" i="1"/>
  <c r="E55" i="1"/>
  <c r="E49" i="1"/>
  <c r="E43" i="1"/>
  <c r="E44" i="1"/>
  <c r="F59" i="1" l="1"/>
  <c r="E50" i="1"/>
  <c r="G59" i="1"/>
  <c r="F9" i="1" l="1"/>
  <c r="F11" i="1" s="1"/>
  <c r="F60" i="1"/>
  <c r="G9" i="1"/>
  <c r="G60" i="1"/>
  <c r="G11" i="1" l="1"/>
  <c r="F31" i="1"/>
  <c r="G31" i="1" l="1"/>
  <c r="F42" i="1"/>
  <c r="F39" i="1"/>
  <c r="G42" i="1" l="1"/>
  <c r="G39" i="1"/>
  <c r="F55" i="1"/>
  <c r="F49" i="1"/>
  <c r="F43" i="1"/>
  <c r="F44" i="1"/>
  <c r="F56" i="1"/>
  <c r="G43" i="1" l="1"/>
  <c r="G56" i="1"/>
  <c r="G55" i="1"/>
  <c r="G49" i="1"/>
  <c r="G44" i="1"/>
  <c r="G50" i="1" s="1"/>
  <c r="F50" i="1"/>
</calcChain>
</file>

<file path=xl/sharedStrings.xml><?xml version="1.0" encoding="utf-8"?>
<sst xmlns="http://schemas.openxmlformats.org/spreadsheetml/2006/main" count="683" uniqueCount="468">
  <si>
    <t>Statement of Operations &amp; Revenue Requirement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</si>
  <si>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</si>
  <si>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</si>
  <si>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</si>
  <si>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</si>
  <si>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</si>
  <si>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</si>
  <si>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</si>
  <si>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</si>
  <si>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</si>
  <si>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</si>
  <si>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</si>
  <si>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</si>
  <si>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</si>
  <si>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</si>
  <si>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</si>
  <si>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</si>
  <si>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</si>
  <si>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</si>
  <si>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</si>
  <si>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</si>
  <si>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</si>
  <si>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</si>
  <si>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</si>
  <si>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</si>
  <si>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</si>
  <si>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</si>
  <si>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</si>
  <si>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</si>
  <si>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</si>
  <si>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</si>
  <si>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</si>
  <si>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</si>
  <si>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</si>
  <si>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</si>
  <si>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</si>
  <si>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</si>
  <si>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</si>
  <si>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</si>
  <si>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</si>
  <si>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</si>
  <si>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</si>
  <si>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</si>
  <si>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</si>
  <si>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</si>
  <si>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</si>
  <si>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(6)</t>
  </si>
  <si>
    <t>Target OTIER</t>
  </si>
  <si>
    <t>Based on TIER</t>
  </si>
  <si>
    <t>Based on OTIER</t>
  </si>
  <si>
    <t>Revenue Requirement at Target TIER</t>
  </si>
  <si>
    <t>Revenue Deficiency at Target TIER</t>
  </si>
  <si>
    <t xml:space="preserve">Variance from Target OTIER </t>
  </si>
  <si>
    <t>Variance from Target TIER</t>
  </si>
  <si>
    <t>Wages &amp; Salaries</t>
  </si>
  <si>
    <t>Total</t>
  </si>
  <si>
    <t>E</t>
  </si>
  <si>
    <t xml:space="preserve"> </t>
  </si>
  <si>
    <t>C</t>
  </si>
  <si>
    <t>A</t>
  </si>
  <si>
    <t>D</t>
  </si>
  <si>
    <t>B</t>
  </si>
  <si>
    <t>Reference Schedule:  1.12</t>
  </si>
  <si>
    <t>(1)</t>
  </si>
  <si>
    <t>(2)</t>
  </si>
  <si>
    <t>(3)</t>
  </si>
  <si>
    <t>(7)</t>
  </si>
  <si>
    <t>(8)</t>
  </si>
  <si>
    <t>Reference Schedule:  1.11</t>
  </si>
  <si>
    <t>401(k) Contribution Match Expense</t>
  </si>
  <si>
    <t>Empl #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</si>
  <si>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</si>
  <si>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</si>
  <si>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</si>
  <si>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</si>
  <si>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</si>
  <si>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</si>
  <si>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</si>
  <si>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</si>
  <si>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</si>
  <si>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</si>
  <si>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</si>
  <si>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</si>
  <si>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 Forma Amount</t>
  </si>
  <si>
    <t>Reference Schedule:  1.09</t>
  </si>
  <si>
    <t>Item</t>
  </si>
  <si>
    <t>Health Insurance</t>
  </si>
  <si>
    <t>Reference Schedule:  1.08</t>
  </si>
  <si>
    <t>Donations, Promotional Advertising &amp; Dues</t>
  </si>
  <si>
    <t>Payroll Expensed</t>
  </si>
  <si>
    <t>Payroll Capitalized</t>
  </si>
  <si>
    <t>Payroll Other</t>
  </si>
  <si>
    <t>Items to be removed:</t>
  </si>
  <si>
    <t>Amount</t>
  </si>
  <si>
    <t>Total to be removed:</t>
  </si>
  <si>
    <t>Account</t>
  </si>
  <si>
    <t>Excluded</t>
  </si>
  <si>
    <t>Youth Tour</t>
  </si>
  <si>
    <t>Donations</t>
  </si>
  <si>
    <t>Annual Meeting - Prizes</t>
  </si>
  <si>
    <t>This adjustment removes charitable donations, promotional advertising expenses, and dues from the revenue requirement consistent with standard Commission practices.</t>
  </si>
  <si>
    <t>Reference Schedule:  1.01</t>
  </si>
  <si>
    <t xml:space="preserve">Fuel Adjustment Clause </t>
  </si>
  <si>
    <t>Year</t>
  </si>
  <si>
    <t>Month</t>
  </si>
  <si>
    <t>Revenue</t>
  </si>
  <si>
    <t>Expense</t>
  </si>
  <si>
    <t>TOTAL</t>
  </si>
  <si>
    <t>Test Year Amount</t>
  </si>
  <si>
    <t>Pro Forma Year Amount</t>
  </si>
  <si>
    <t>This adjustment removes the FAC revenues and expenses from the test period.</t>
  </si>
  <si>
    <t>Reference Schedule:  1.02</t>
  </si>
  <si>
    <t>Environmental Surcharge</t>
  </si>
  <si>
    <t>This adjustment removes the Envionmental Surcharge revenues and expenses from the test period.</t>
  </si>
  <si>
    <t>Interest Expense</t>
  </si>
  <si>
    <t>Note #</t>
  </si>
  <si>
    <t>Lender</t>
  </si>
  <si>
    <t>Rate</t>
  </si>
  <si>
    <t>Interest</t>
  </si>
  <si>
    <t>CoBank</t>
  </si>
  <si>
    <t>LTD per Form 7</t>
  </si>
  <si>
    <t>Adjustment - Account 427</t>
  </si>
  <si>
    <t>This adjustment normalizes the interest on Interest Expense from test year to recent amounts.</t>
  </si>
  <si>
    <t>Reference Schedule:  1.03</t>
  </si>
  <si>
    <t>Depreciation Expense Normalization</t>
  </si>
  <si>
    <t>Acct #</t>
  </si>
  <si>
    <t>Fully Depr Items</t>
  </si>
  <si>
    <t>Normalized Expense</t>
  </si>
  <si>
    <t>Test Year Expense</t>
  </si>
  <si>
    <t>Pro Forma Adj</t>
  </si>
  <si>
    <t>Distribution Plant</t>
  </si>
  <si>
    <t>Poles, towers &amp; fixtures</t>
  </si>
  <si>
    <t>Overhead conductors &amp; devices</t>
  </si>
  <si>
    <t>Underground conductor &amp; devices</t>
  </si>
  <si>
    <t>Line transformers</t>
  </si>
  <si>
    <t>Services</t>
  </si>
  <si>
    <t>Meters</t>
  </si>
  <si>
    <t>Subtotal</t>
  </si>
  <si>
    <t>General Plant</t>
  </si>
  <si>
    <t>Structures and improvements</t>
  </si>
  <si>
    <t>Office furniture and equipment</t>
  </si>
  <si>
    <t>Tools, shop and garage</t>
  </si>
  <si>
    <t>Laboratory</t>
  </si>
  <si>
    <t>Power operated</t>
  </si>
  <si>
    <t>Communications</t>
  </si>
  <si>
    <t>Miscellaneous</t>
  </si>
  <si>
    <t>Distribution &amp; General Total</t>
  </si>
  <si>
    <t>This adjustment normalizes depreciation expenses by replacing test year actual expenses with test year end balances (less any fully depreciated items) at approved depreciation rates.</t>
  </si>
  <si>
    <t>Total Adjustment to Expense</t>
  </si>
  <si>
    <t>Reference Schedule:  1.04</t>
  </si>
  <si>
    <t>Right of Way</t>
  </si>
  <si>
    <t>Cost</t>
  </si>
  <si>
    <t>Test Year Right of Way expense</t>
  </si>
  <si>
    <t>Reference Schedule:  1.05</t>
  </si>
  <si>
    <t xml:space="preserve">Pro Forma Adjustment </t>
  </si>
  <si>
    <t>Reference Schedule:  1.07</t>
  </si>
  <si>
    <t>Summary of Pro Forma Adjustments</t>
  </si>
  <si>
    <t>Reference Schedule</t>
  </si>
  <si>
    <t>Non-Operating Income</t>
  </si>
  <si>
    <t>Net Margin</t>
  </si>
  <si>
    <t>Donations, Promo Ads &amp; Dues</t>
  </si>
  <si>
    <t>401k Contributions</t>
  </si>
  <si>
    <t>Rate Case Costs</t>
  </si>
  <si>
    <t>Year End Customers</t>
  </si>
  <si>
    <t>Depreciation Normalization</t>
  </si>
  <si>
    <t>Directors Expenses</t>
  </si>
  <si>
    <t xml:space="preserve">Right of Way </t>
  </si>
  <si>
    <t>Health Care Costs</t>
  </si>
  <si>
    <t>Rate Case Expenses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</si>
  <si>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</si>
  <si>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</si>
  <si>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</si>
  <si>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</si>
  <si>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</si>
  <si>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This adjustment estimates the rate case costs amortized over a 3 year period, consistent with standard Commission practice.</t>
  </si>
  <si>
    <t>Reference Schedule:  1.13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</si>
  <si>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</si>
  <si>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</si>
  <si>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</si>
  <si>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</si>
  <si>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</si>
  <si>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</si>
  <si>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</si>
  <si>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</si>
  <si>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</si>
  <si>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</si>
  <si>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</si>
  <si>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</si>
  <si>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</si>
  <si>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</si>
  <si>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</si>
  <si>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</si>
  <si>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</si>
  <si>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</si>
  <si>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</si>
  <si>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</si>
  <si>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</si>
  <si>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</si>
  <si>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</si>
  <si>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</si>
  <si>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</si>
  <si>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</si>
  <si>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</si>
  <si>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</si>
  <si>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</si>
  <si>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</si>
  <si>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</si>
  <si>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</si>
  <si>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</si>
  <si>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</si>
  <si>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</si>
  <si>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</si>
  <si>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</si>
  <si>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</si>
  <si>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</si>
  <si>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FFB - RUS GUAR</t>
  </si>
  <si>
    <t>Long Term Debt - Other (Net)</t>
  </si>
  <si>
    <t>Total Long Term Debt</t>
  </si>
  <si>
    <t>Accum Operating Provisions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</si>
  <si>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</si>
  <si>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</si>
  <si>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</si>
  <si>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</si>
  <si>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</si>
  <si>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</si>
  <si>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</si>
  <si>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</si>
  <si>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</si>
  <si>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</si>
  <si>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Obligation under Capital Lease</t>
  </si>
  <si>
    <t>Total Other Noncurr Liability</t>
  </si>
  <si>
    <t>Summary of Adjustments to Test Year Statement of Operations</t>
  </si>
  <si>
    <t xml:space="preserve">Reference Schedule &gt;     </t>
  </si>
  <si>
    <t xml:space="preserve">Item  &gt;     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</si>
  <si>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</si>
  <si>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</si>
  <si>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</si>
  <si>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</si>
  <si>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</si>
  <si>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</si>
  <si>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</si>
  <si>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</si>
  <si>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</si>
  <si>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</si>
  <si>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</si>
  <si>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</si>
  <si>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</si>
  <si>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</si>
  <si>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</si>
  <si>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29a</t>
  </si>
  <si>
    <t>Income(Loss) from Equity Invstmts</t>
  </si>
  <si>
    <t>Total Non-Operating Margins</t>
  </si>
  <si>
    <t>Fuel Adjustment Clause</t>
  </si>
  <si>
    <t>Reference Schedule:  1.14</t>
  </si>
  <si>
    <t>Reference Schedule:  1.06</t>
  </si>
  <si>
    <t>Year-End Customers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</si>
  <si>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</si>
  <si>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</si>
  <si>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</si>
  <si>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</si>
  <si>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</si>
  <si>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</si>
  <si>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</si>
  <si>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</si>
  <si>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</si>
  <si>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</si>
  <si>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</si>
  <si>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</si>
  <si>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</si>
  <si>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</si>
  <si>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</si>
  <si>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</si>
  <si>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</si>
  <si>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</si>
  <si>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</si>
  <si>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</si>
  <si>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</si>
  <si>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</si>
  <si>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 xml:space="preserve">This adjustment removes G&amp;T capital credits </t>
  </si>
  <si>
    <t>consistent with Commission practice.</t>
  </si>
  <si>
    <t>Margins at Target OTIER</t>
  </si>
  <si>
    <t>Revenue Requirement at Target OTIER</t>
  </si>
  <si>
    <t>Revenue Deficiency at Target OTIER</t>
  </si>
  <si>
    <t>FLEMING-MASON ENERGY COOPERATIVE</t>
  </si>
  <si>
    <t>For the 12 Months Ended December 31, 2022</t>
  </si>
  <si>
    <t>Life Insurance</t>
  </si>
  <si>
    <t>(11)</t>
  </si>
  <si>
    <t>Residential &amp; Small Power (1)</t>
  </si>
  <si>
    <t>Residential &amp; Small Power ETS (11)</t>
  </si>
  <si>
    <t>Prepay (80)</t>
  </si>
  <si>
    <t>Net Metering (100)</t>
  </si>
  <si>
    <t>Inclining Block Rate (8)</t>
  </si>
  <si>
    <t>Small General Service (2)</t>
  </si>
  <si>
    <t>Legal - Earl Rogers</t>
  </si>
  <si>
    <t>Media Advertising</t>
  </si>
  <si>
    <t xml:space="preserve">Annual Meeting - </t>
  </si>
  <si>
    <t>Annual Meeting - Advertising, Printing, Misc</t>
  </si>
  <si>
    <t>KY Living</t>
  </si>
  <si>
    <t>Coop Sponsorships/Memberships</t>
  </si>
  <si>
    <t>Civic Dues</t>
  </si>
  <si>
    <t>NRECA dues</t>
  </si>
  <si>
    <t>KAEC dues</t>
  </si>
  <si>
    <t>Annual Meeting Scholarships</t>
  </si>
  <si>
    <t>Fleming-Mason Energy</t>
  </si>
  <si>
    <t>Employee #</t>
  </si>
  <si>
    <t>Acct</t>
  </si>
  <si>
    <t>All Employees 1% 401K Match Yr 2022 total</t>
  </si>
  <si>
    <t>926.20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</si>
  <si>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</si>
  <si>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</si>
  <si>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Fleming-Mason Energy Cooperative</t>
  </si>
  <si>
    <t>For the 12 Months Ended December 31</t>
  </si>
  <si>
    <t>Oustanding Principal 3/31/23</t>
  </si>
  <si>
    <t>F0010</t>
  </si>
  <si>
    <t>RUS/FFB</t>
  </si>
  <si>
    <t>F0015</t>
  </si>
  <si>
    <t>F0020</t>
  </si>
  <si>
    <t>F0025</t>
  </si>
  <si>
    <t>F0030</t>
  </si>
  <si>
    <t>H0035</t>
  </si>
  <si>
    <t>H0040</t>
  </si>
  <si>
    <t>H0045</t>
  </si>
  <si>
    <t>H0050</t>
  </si>
  <si>
    <t>H0055</t>
  </si>
  <si>
    <t>H0060</t>
  </si>
  <si>
    <t>H0065</t>
  </si>
  <si>
    <t>H0070</t>
  </si>
  <si>
    <t>H0075</t>
  </si>
  <si>
    <t>H0080</t>
  </si>
  <si>
    <t>H0085</t>
  </si>
  <si>
    <t>H0090</t>
  </si>
  <si>
    <t>H0095</t>
  </si>
  <si>
    <t>H0100</t>
  </si>
  <si>
    <t>H0105</t>
  </si>
  <si>
    <t>H0110</t>
  </si>
  <si>
    <t>H0115</t>
  </si>
  <si>
    <t>0004 0004</t>
  </si>
  <si>
    <t>0004 0005</t>
  </si>
  <si>
    <t>0004 0006</t>
  </si>
  <si>
    <t>KY0529017-001</t>
  </si>
  <si>
    <t>CFC</t>
  </si>
  <si>
    <t>KY0529018-001</t>
  </si>
  <si>
    <t>KY0529019-001</t>
  </si>
  <si>
    <t>KY0529019-002</t>
  </si>
  <si>
    <t>#1</t>
  </si>
  <si>
    <t>0004 0007</t>
  </si>
  <si>
    <t>Short Term Interest</t>
  </si>
  <si>
    <t>431.00</t>
  </si>
  <si>
    <t>431.01</t>
  </si>
  <si>
    <t>STD</t>
  </si>
  <si>
    <t>Adjustment - Account 431</t>
  </si>
  <si>
    <t>The adjustment also removes interest on short term borrowings repaid post-test-year.</t>
  </si>
  <si>
    <t>Test Yr End Bal</t>
  </si>
  <si>
    <t>**</t>
  </si>
  <si>
    <t>Misc Intangible Plant</t>
  </si>
  <si>
    <t>Installation on Cons Premises</t>
  </si>
  <si>
    <t>**rates are per last depreciation study in 2008</t>
  </si>
  <si>
    <t>Land &amp; Land Rights</t>
  </si>
  <si>
    <t>Transportation equipment- Blazer</t>
  </si>
  <si>
    <t>Pickups</t>
  </si>
  <si>
    <t>Buckets</t>
  </si>
  <si>
    <t>Trailers</t>
  </si>
  <si>
    <t>Stores equipment</t>
  </si>
  <si>
    <t>Shop &amp; Garage Equip- Tools</t>
  </si>
  <si>
    <t>Misc Equip- Fieldhouse</t>
  </si>
  <si>
    <t xml:space="preserve">Clearing  Accounts </t>
  </si>
  <si>
    <t>(lines 26,27,28,31)</t>
  </si>
  <si>
    <t>(line 35 - line 37)</t>
  </si>
  <si>
    <t>Clearing Accounts * 55% Expense</t>
  </si>
  <si>
    <t>(line 37 * 0.55)</t>
  </si>
  <si>
    <t>(line 41 + line 42)</t>
  </si>
  <si>
    <t>Account 593.10</t>
  </si>
  <si>
    <t xml:space="preserve">Pro Forma Cost using 2023 Budget $ </t>
  </si>
  <si>
    <t>This adjustment adds to expense for new contract with Asplundah</t>
  </si>
  <si>
    <t>Smoot</t>
  </si>
  <si>
    <t>Roe</t>
  </si>
  <si>
    <t>Hord</t>
  </si>
  <si>
    <t>Saunders</t>
  </si>
  <si>
    <t>Gooding</t>
  </si>
  <si>
    <t>Eldridge</t>
  </si>
  <si>
    <t>Rose</t>
  </si>
  <si>
    <t>NRECA PowerXChange</t>
  </si>
  <si>
    <t>CFC Financial Workshop 2022</t>
  </si>
  <si>
    <t>2022 KEC Annual Meeting + NRECA Training</t>
  </si>
  <si>
    <t>KEC Board Orientation</t>
  </si>
  <si>
    <t>NRECA Winter School- Nashville</t>
  </si>
  <si>
    <t>2023 Power Exchange Registration</t>
  </si>
  <si>
    <t xml:space="preserve">TOTAL   </t>
  </si>
  <si>
    <t>Christmas Gifts</t>
  </si>
  <si>
    <t>2022 NRECA PowerXChange- Hord</t>
  </si>
  <si>
    <t xml:space="preserve">2022 KEC Annual Meeting + NRECA </t>
  </si>
  <si>
    <t>This adjustment removes certain Director expenses consistent with recent Commission orders and standard Commission practices.</t>
  </si>
  <si>
    <t xml:space="preserve">Fleming-Mason Energy Cooperative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</si>
  <si>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</si>
  <si>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</si>
  <si>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</si>
  <si>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</si>
  <si>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</si>
  <si>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</si>
  <si>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</si>
  <si>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</si>
  <si>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</si>
  <si>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</si>
  <si>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</si>
  <si>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</si>
  <si>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</si>
  <si>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</si>
  <si>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</si>
  <si>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</si>
  <si>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</si>
  <si>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</si>
  <si>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</si>
  <si>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Per 2022 Form 7</t>
  </si>
  <si>
    <t>Addition to Expense</t>
  </si>
  <si>
    <t>* Pro Forma Year based upon 51 employees at 2080 hours, estimated same amount of OT hours and other hours as in Test Year</t>
  </si>
  <si>
    <t>This adjustment normalizes wages and salaries to account for changes due to wage increases, departures, or new hires for standard year of 2,080 hours.</t>
  </si>
  <si>
    <t>Reference Schedule:  1.10</t>
  </si>
  <si>
    <t>(A)</t>
  </si>
  <si>
    <t>(B)</t>
  </si>
  <si>
    <t>(C)</t>
  </si>
  <si>
    <t>(D)</t>
  </si>
  <si>
    <t>(E)</t>
  </si>
  <si>
    <t>Employee Premiums</t>
  </si>
  <si>
    <t>Employer Premiums</t>
  </si>
  <si>
    <t>Total Premiums</t>
  </si>
  <si>
    <t>9% increase</t>
  </si>
  <si>
    <t>ProForma Adj</t>
  </si>
  <si>
    <t>Vision Insurance</t>
  </si>
  <si>
    <t>Dental Insurance</t>
  </si>
  <si>
    <t>Actual Test Year Expense</t>
  </si>
  <si>
    <t>Pro Forma Test Year Expense</t>
  </si>
  <si>
    <t>This adjustment accounts for employee contributions to medical, dental and vision insurance premiums and 2023 increase in medical by 9%.</t>
  </si>
  <si>
    <t>F</t>
  </si>
  <si>
    <t>G</t>
  </si>
  <si>
    <t>H</t>
  </si>
  <si>
    <t>(E * 2)</t>
  </si>
  <si>
    <t>((G-F)/G)*B</t>
  </si>
  <si>
    <t>Total Premium</t>
  </si>
  <si>
    <t xml:space="preserve">Acct </t>
  </si>
  <si>
    <t>Ending 2022 Rate</t>
  </si>
  <si>
    <t>Ending 2019 Salary</t>
  </si>
  <si>
    <t>Lesser of $50k or Salary</t>
  </si>
  <si>
    <t>Coverage - 2x Salary</t>
  </si>
  <si>
    <t>Amount to Exclude</t>
  </si>
  <si>
    <t>BY ACCOUNT</t>
  </si>
  <si>
    <t>Add back Balance Sheet Accounts</t>
  </si>
  <si>
    <t>107.20-22</t>
  </si>
  <si>
    <t>Total Check</t>
  </si>
  <si>
    <t>This adjustment removes Life insurance premiums for coverage above the lesser of an employee's annual salary or $50,000 from the test period.</t>
  </si>
  <si>
    <t>Long Term Debt - RUS (Net)</t>
  </si>
  <si>
    <t>Long Term Debt - Other - RUS GUAR</t>
  </si>
  <si>
    <t>Long Term Debt - RUS - Econ. Devel (Net)</t>
  </si>
  <si>
    <t>Increase over Adjusted Test Year $</t>
  </si>
  <si>
    <t>Increase over Adjusted Test Year %</t>
  </si>
  <si>
    <t>Year-End Adj</t>
  </si>
  <si>
    <t>Revised Rebuttal</t>
  </si>
  <si>
    <t>(See Ref Sched 1.10, Line 13)</t>
  </si>
  <si>
    <t>Amount Capitalized</t>
  </si>
  <si>
    <t>Amount Other</t>
  </si>
  <si>
    <t>Amount Expensed</t>
  </si>
  <si>
    <t>(See Ref Sched 1.10, Line 14)</t>
  </si>
  <si>
    <t>(See Ref Sched 1.10, Line 15)</t>
  </si>
  <si>
    <t>Adjustment for Hourly Rate</t>
  </si>
  <si>
    <t>Average Cut Miles</t>
  </si>
  <si>
    <t>2023 Cut Miles</t>
  </si>
  <si>
    <t>Difference</t>
  </si>
  <si>
    <t>Adjustment for Mileage</t>
  </si>
  <si>
    <t>Total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</si>
</sst>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0.000%"/>
    <numFmt numFmtId="169" formatCode="_(&quot;$&quot;* #,##0.00000_);_(&quot;$&quot;* \(#,##0.00000\);_(&quot;$&quot;* &quot;-&quot;??_);_(@_)"/>
    <numFmt numFmtId="170" formatCode="_(* #,##0.00000_);_(* \(#,##0.00000\);_(* &quot;-&quot;??_);_(@_)"/>
    <numFmt numFmtId="171" formatCode="0.000"/>
    <numFmt numFmtId="172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i/>
      <sz val="11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10" fontId="3" fillId="0" borderId="0" xfId="3" applyNumberFormat="1" applyFont="1" applyFill="1" applyBorder="1"/>
    <xf numFmtId="43" fontId="3" fillId="0" borderId="0" xfId="1" applyFont="1" applyFill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166" fontId="3" fillId="0" borderId="0" xfId="0" applyNumberFormat="1" applyFont="1"/>
    <xf numFmtId="10" fontId="3" fillId="0" borderId="0" xfId="3" applyNumberFormat="1" applyFont="1" applyFill="1"/>
    <xf numFmtId="165" fontId="3" fillId="0" borderId="0" xfId="1" applyNumberFormat="1" applyFont="1" applyFill="1" applyBorder="1"/>
    <xf numFmtId="43" fontId="3" fillId="0" borderId="0" xfId="1" applyFont="1" applyFill="1" applyBorder="1"/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0" xfId="2" applyNumberFormat="1" applyFont="1"/>
    <xf numFmtId="0" fontId="0" fillId="0" borderId="0" xfId="0" applyAlignment="1">
      <alignment horizontal="center"/>
    </xf>
    <xf numFmtId="0" fontId="6" fillId="0" borderId="0" xfId="4" applyFont="1"/>
    <xf numFmtId="0" fontId="8" fillId="0" borderId="0" xfId="4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2" applyNumberFormat="1" applyFont="1"/>
    <xf numFmtId="165" fontId="9" fillId="0" borderId="0" xfId="1" applyNumberFormat="1" applyFont="1"/>
    <xf numFmtId="166" fontId="9" fillId="0" borderId="0" xfId="0" applyNumberFormat="1" applyFont="1"/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8" fillId="0" borderId="0" xfId="2" applyFont="1"/>
    <xf numFmtId="0" fontId="8" fillId="0" borderId="0" xfId="0" applyFont="1" applyAlignment="1">
      <alignment horizontal="left"/>
    </xf>
    <xf numFmtId="44" fontId="8" fillId="0" borderId="2" xfId="2" applyFont="1" applyBorder="1"/>
    <xf numFmtId="43" fontId="8" fillId="0" borderId="0" xfId="1" applyFont="1"/>
    <xf numFmtId="44" fontId="8" fillId="0" borderId="0" xfId="1" applyNumberFormat="1" applyFont="1" applyBorder="1"/>
    <xf numFmtId="0" fontId="8" fillId="0" borderId="4" xfId="0" applyFont="1" applyBorder="1"/>
    <xf numFmtId="44" fontId="8" fillId="0" borderId="4" xfId="1" applyNumberFormat="1" applyFont="1" applyBorder="1"/>
    <xf numFmtId="43" fontId="9" fillId="0" borderId="0" xfId="1" applyFont="1"/>
    <xf numFmtId="44" fontId="8" fillId="0" borderId="0" xfId="2" applyFont="1" applyFill="1"/>
    <xf numFmtId="0" fontId="6" fillId="0" borderId="0" xfId="4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/>
    <xf numFmtId="0" fontId="8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8" fillId="0" borderId="0" xfId="1" applyFont="1" applyBorder="1"/>
    <xf numFmtId="44" fontId="8" fillId="0" borderId="0" xfId="2" applyFont="1" applyBorder="1"/>
    <xf numFmtId="0" fontId="10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8" fillId="0" borderId="0" xfId="0" applyNumberFormat="1" applyFont="1"/>
    <xf numFmtId="167" fontId="9" fillId="0" borderId="0" xfId="0" quotePrefix="1" applyNumberFormat="1" applyFont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0" fontId="8" fillId="0" borderId="1" xfId="2" applyNumberFormat="1" applyFont="1" applyFill="1" applyBorder="1" applyAlignment="1">
      <alignment horizontal="center"/>
    </xf>
    <xf numFmtId="40" fontId="8" fillId="0" borderId="0" xfId="1" applyNumberFormat="1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40" fontId="8" fillId="0" borderId="0" xfId="1" applyNumberFormat="1" applyFont="1" applyFill="1" applyBorder="1"/>
    <xf numFmtId="165" fontId="8" fillId="0" borderId="0" xfId="1" applyNumberFormat="1" applyFont="1" applyBorder="1"/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6" fontId="8" fillId="0" borderId="0" xfId="2" applyNumberFormat="1" applyFont="1" applyFill="1"/>
    <xf numFmtId="44" fontId="8" fillId="0" borderId="0" xfId="0" applyNumberFormat="1" applyFont="1"/>
    <xf numFmtId="0" fontId="8" fillId="0" borderId="0" xfId="0" quotePrefix="1" applyFont="1"/>
    <xf numFmtId="40" fontId="8" fillId="0" borderId="0" xfId="1" applyNumberFormat="1" applyFont="1" applyFill="1" applyBorder="1" applyProtection="1">
      <protection locked="0"/>
    </xf>
    <xf numFmtId="44" fontId="8" fillId="0" borderId="0" xfId="2" applyFont="1" applyFill="1" applyBorder="1" applyProtection="1">
      <protection locked="0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8" fillId="0" borderId="2" xfId="0" applyFont="1" applyBorder="1" applyAlignment="1">
      <alignment horizontal="right"/>
    </xf>
    <xf numFmtId="166" fontId="8" fillId="0" borderId="2" xfId="2" applyNumberFormat="1" applyFont="1" applyBorder="1"/>
    <xf numFmtId="166" fontId="8" fillId="0" borderId="0" xfId="2" applyNumberFormat="1" applyFont="1" applyBorder="1"/>
    <xf numFmtId="41" fontId="8" fillId="0" borderId="0" xfId="0" applyNumberFormat="1" applyFont="1"/>
    <xf numFmtId="41" fontId="8" fillId="0" borderId="2" xfId="0" applyNumberFormat="1" applyFont="1" applyBorder="1"/>
    <xf numFmtId="0" fontId="6" fillId="0" borderId="0" xfId="0" applyFont="1" applyAlignment="1">
      <alignment horizontal="right"/>
    </xf>
    <xf numFmtId="166" fontId="6" fillId="0" borderId="0" xfId="2" applyNumberFormat="1" applyFont="1" applyBorder="1"/>
    <xf numFmtId="166" fontId="8" fillId="0" borderId="0" xfId="0" applyNumberFormat="1" applyFont="1"/>
    <xf numFmtId="166" fontId="8" fillId="0" borderId="5" xfId="0" applyNumberFormat="1" applyFont="1" applyBorder="1"/>
    <xf numFmtId="0" fontId="8" fillId="0" borderId="0" xfId="0" applyFont="1" applyAlignment="1">
      <alignment horizontal="right"/>
    </xf>
    <xf numFmtId="41" fontId="6" fillId="0" borderId="0" xfId="0" applyNumberFormat="1" applyFont="1"/>
    <xf numFmtId="0" fontId="8" fillId="0" borderId="1" xfId="0" applyFont="1" applyBorder="1" applyAlignment="1">
      <alignment horizontal="left"/>
    </xf>
    <xf numFmtId="166" fontId="8" fillId="0" borderId="0" xfId="2" quotePrefix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2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0" fontId="9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9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9" fillId="0" borderId="0" xfId="1" applyNumberFormat="1" applyFont="1" applyFill="1" applyBorder="1"/>
    <xf numFmtId="165" fontId="9" fillId="0" borderId="0" xfId="1" applyNumberFormat="1" applyFont="1" applyBorder="1"/>
    <xf numFmtId="40" fontId="9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6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3" fillId="0" borderId="0" xfId="0" applyFont="1"/>
    <xf numFmtId="0" fontId="17" fillId="0" borderId="0" xfId="0" applyFont="1"/>
    <xf numFmtId="165" fontId="3" fillId="0" borderId="0" xfId="1" applyNumberFormat="1" applyFont="1" applyProtection="1"/>
    <xf numFmtId="165" fontId="3" fillId="0" borderId="2" xfId="1" applyNumberFormat="1" applyFont="1" applyBorder="1" applyProtection="1"/>
    <xf numFmtId="165" fontId="3" fillId="0" borderId="4" xfId="1" applyNumberFormat="1" applyFont="1" applyBorder="1" applyProtection="1"/>
    <xf numFmtId="0" fontId="17" fillId="0" borderId="0" xfId="0" applyFont="1" applyAlignment="1">
      <alignment horizontal="left"/>
    </xf>
    <xf numFmtId="0" fontId="18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19" fillId="0" borderId="0" xfId="5" applyFont="1" applyAlignment="1">
      <alignment horizontal="center"/>
    </xf>
    <xf numFmtId="0" fontId="15" fillId="0" borderId="0" xfId="5" applyFont="1" applyAlignment="1">
      <alignment horizontal="centerContinuous"/>
    </xf>
    <xf numFmtId="0" fontId="19" fillId="0" borderId="0" xfId="5" applyFont="1" applyAlignment="1">
      <alignment horizontal="centerContinuous"/>
    </xf>
    <xf numFmtId="0" fontId="19" fillId="0" borderId="0" xfId="5" applyFont="1" applyAlignment="1">
      <alignment horizontal="right"/>
    </xf>
    <xf numFmtId="0" fontId="19" fillId="0" borderId="0" xfId="5" applyFont="1"/>
    <xf numFmtId="0" fontId="20" fillId="0" borderId="0" xfId="5" applyFont="1"/>
    <xf numFmtId="0" fontId="20" fillId="0" borderId="0" xfId="5" applyFont="1" applyAlignment="1">
      <alignment horizontal="center"/>
    </xf>
    <xf numFmtId="2" fontId="19" fillId="0" borderId="0" xfId="5" applyNumberFormat="1" applyFont="1" applyAlignment="1">
      <alignment horizontal="center"/>
    </xf>
    <xf numFmtId="0" fontId="21" fillId="0" borderId="0" xfId="5" applyFont="1" applyAlignment="1">
      <alignment horizontal="centerContinuous"/>
    </xf>
    <xf numFmtId="0" fontId="19" fillId="0" borderId="1" xfId="5" applyFont="1" applyBorder="1" applyAlignment="1">
      <alignment horizontal="center" wrapText="1"/>
    </xf>
    <xf numFmtId="0" fontId="19" fillId="0" borderId="1" xfId="5" applyFont="1" applyBorder="1" applyAlignment="1">
      <alignment horizontal="right" vertical="center"/>
    </xf>
    <xf numFmtId="0" fontId="20" fillId="0" borderId="1" xfId="5" applyFont="1" applyBorder="1" applyAlignment="1">
      <alignment horizontal="center" wrapText="1"/>
    </xf>
    <xf numFmtId="37" fontId="19" fillId="0" borderId="0" xfId="5" applyNumberFormat="1" applyFont="1"/>
    <xf numFmtId="0" fontId="21" fillId="0" borderId="0" xfId="5" applyFont="1"/>
    <xf numFmtId="165" fontId="19" fillId="0" borderId="0" xfId="1" applyNumberFormat="1" applyFont="1" applyFill="1"/>
    <xf numFmtId="37" fontId="19" fillId="0" borderId="1" xfId="5" applyNumberFormat="1" applyFont="1" applyBorder="1"/>
    <xf numFmtId="0" fontId="19" fillId="0" borderId="6" xfId="5" applyFont="1" applyBorder="1"/>
    <xf numFmtId="37" fontId="19" fillId="0" borderId="6" xfId="5" applyNumberFormat="1" applyFont="1" applyBorder="1"/>
    <xf numFmtId="37" fontId="19" fillId="0" borderId="0" xfId="5" applyNumberFormat="1" applyFont="1" applyAlignment="1">
      <alignment horizontal="right"/>
    </xf>
    <xf numFmtId="0" fontId="19" fillId="0" borderId="7" xfId="5" applyFont="1" applyBorder="1"/>
    <xf numFmtId="37" fontId="19" fillId="0" borderId="7" xfId="5" applyNumberFormat="1" applyFont="1" applyBorder="1"/>
    <xf numFmtId="37" fontId="8" fillId="0" borderId="0" xfId="0" applyNumberFormat="1" applyFont="1"/>
    <xf numFmtId="166" fontId="8" fillId="0" borderId="0" xfId="1" applyNumberFormat="1" applyFont="1" applyBorder="1" applyProtection="1">
      <protection locked="0"/>
    </xf>
    <xf numFmtId="44" fontId="9" fillId="0" borderId="0" xfId="0" applyNumberFormat="1" applyFont="1"/>
    <xf numFmtId="167" fontId="8" fillId="0" borderId="0" xfId="0" quotePrefix="1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71" fontId="8" fillId="0" borderId="0" xfId="1" applyNumberFormat="1" applyFont="1" applyAlignment="1">
      <alignment horizontal="center"/>
    </xf>
    <xf numFmtId="44" fontId="8" fillId="0" borderId="2" xfId="0" applyNumberFormat="1" applyFont="1" applyBorder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166" fontId="9" fillId="0" borderId="2" xfId="2" applyNumberFormat="1" applyFont="1" applyBorder="1" applyAlignment="1">
      <alignment horizontal="center"/>
    </xf>
    <xf numFmtId="166" fontId="9" fillId="0" borderId="2" xfId="2" applyNumberFormat="1" applyFont="1" applyBorder="1"/>
    <xf numFmtId="165" fontId="9" fillId="0" borderId="2" xfId="1" applyNumberFormat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0" xfId="1" applyFont="1" applyBorder="1"/>
    <xf numFmtId="44" fontId="9" fillId="0" borderId="0" xfId="0" applyNumberFormat="1" applyFont="1" applyAlignment="1">
      <alignment horizontal="center"/>
    </xf>
    <xf numFmtId="43" fontId="8" fillId="0" borderId="0" xfId="1" applyFont="1" applyFill="1"/>
    <xf numFmtId="43" fontId="8" fillId="0" borderId="2" xfId="1" applyFont="1" applyBorder="1"/>
    <xf numFmtId="43" fontId="8" fillId="0" borderId="0" xfId="0" applyNumberFormat="1" applyFont="1"/>
    <xf numFmtId="44" fontId="8" fillId="0" borderId="1" xfId="2" applyFont="1" applyFill="1" applyBorder="1" applyAlignment="1" applyProtection="1">
      <alignment horizontal="center"/>
      <protection locked="0"/>
    </xf>
    <xf numFmtId="40" fontId="8" fillId="0" borderId="1" xfId="1" applyNumberFormat="1" applyFont="1" applyFill="1" applyBorder="1" applyAlignment="1" applyProtection="1">
      <alignment horizontal="center"/>
      <protection locked="0"/>
    </xf>
    <xf numFmtId="44" fontId="12" fillId="0" borderId="1" xfId="2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locked="0"/>
    </xf>
    <xf numFmtId="44" fontId="8" fillId="0" borderId="0" xfId="2" applyFont="1" applyFill="1" applyBorder="1"/>
    <xf numFmtId="43" fontId="8" fillId="0" borderId="0" xfId="1" applyFont="1" applyFill="1" applyBorder="1"/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165" fontId="8" fillId="0" borderId="0" xfId="1" applyNumberFormat="1" applyFont="1" applyFill="1" applyBorder="1" applyProtection="1">
      <protection locked="0"/>
    </xf>
    <xf numFmtId="9" fontId="8" fillId="0" borderId="0" xfId="3" applyFont="1" applyFill="1" applyBorder="1"/>
    <xf numFmtId="44" fontId="6" fillId="0" borderId="0" xfId="2" applyFont="1" applyFill="1" applyBorder="1"/>
    <xf numFmtId="165" fontId="8" fillId="0" borderId="0" xfId="1" applyNumberFormat="1" applyFont="1" applyFill="1" applyBorder="1"/>
    <xf numFmtId="165" fontId="8" fillId="0" borderId="1" xfId="1" applyNumberFormat="1" applyFont="1" applyFill="1" applyBorder="1"/>
    <xf numFmtId="43" fontId="8" fillId="0" borderId="1" xfId="1" applyFont="1" applyFill="1" applyBorder="1"/>
    <xf numFmtId="44" fontId="8" fillId="0" borderId="1" xfId="2" applyFont="1" applyFill="1" applyBorder="1"/>
    <xf numFmtId="169" fontId="8" fillId="0" borderId="0" xfId="2" applyNumberFormat="1" applyFont="1" applyFill="1" applyBorder="1"/>
    <xf numFmtId="0" fontId="12" fillId="0" borderId="0" xfId="0" applyFont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166" fontId="9" fillId="0" borderId="0" xfId="2" applyNumberFormat="1" applyFont="1" applyBorder="1"/>
    <xf numFmtId="165" fontId="9" fillId="0" borderId="0" xfId="1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166" fontId="8" fillId="0" borderId="1" xfId="2" quotePrefix="1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44" fontId="8" fillId="0" borderId="0" xfId="3" applyNumberFormat="1" applyFont="1" applyBorder="1"/>
    <xf numFmtId="0" fontId="6" fillId="0" borderId="0" xfId="0" applyFont="1" applyAlignment="1">
      <alignment horizontal="left"/>
    </xf>
    <xf numFmtId="44" fontId="8" fillId="0" borderId="5" xfId="0" applyNumberFormat="1" applyFont="1" applyBorder="1"/>
    <xf numFmtId="43" fontId="8" fillId="0" borderId="1" xfId="0" applyNumberFormat="1" applyFont="1" applyBorder="1"/>
    <xf numFmtId="0" fontId="3" fillId="0" borderId="0" xfId="5" applyFont="1"/>
    <xf numFmtId="166" fontId="8" fillId="0" borderId="2" xfId="2" applyNumberFormat="1" applyFont="1" applyFill="1" applyBorder="1" applyAlignment="1" applyProtection="1">
      <protection locked="0"/>
    </xf>
    <xf numFmtId="0" fontId="2" fillId="0" borderId="0" xfId="4" applyFont="1" applyAlignment="1">
      <alignment horizontal="center"/>
    </xf>
    <xf numFmtId="0" fontId="2" fillId="0" borderId="0" xfId="0" applyFont="1" applyAlignment="1">
      <alignment horizontal="right"/>
    </xf>
    <xf numFmtId="10" fontId="3" fillId="0" borderId="0" xfId="3" applyNumberFormat="1" applyFont="1" applyFill="1" applyAlignment="1">
      <alignment horizontal="right"/>
    </xf>
    <xf numFmtId="0" fontId="4" fillId="0" borderId="0" xfId="0" applyFont="1"/>
    <xf numFmtId="165" fontId="3" fillId="0" borderId="0" xfId="0" applyNumberFormat="1" applyFont="1"/>
    <xf numFmtId="0" fontId="3" fillId="0" borderId="3" xfId="0" applyFont="1" applyBorder="1"/>
    <xf numFmtId="43" fontId="3" fillId="0" borderId="5" xfId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166" fontId="3" fillId="0" borderId="0" xfId="2" applyNumberFormat="1" applyFont="1" applyFill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165" fontId="3" fillId="0" borderId="0" xfId="1" applyNumberFormat="1" applyFont="1" applyFill="1" applyProtection="1"/>
    <xf numFmtId="165" fontId="3" fillId="0" borderId="0" xfId="1" applyNumberFormat="1" applyFont="1" applyBorder="1" applyProtection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right"/>
      <protection locked="0"/>
    </xf>
    <xf numFmtId="40" fontId="3" fillId="0" borderId="0" xfId="1" applyNumberFormat="1" applyFont="1" applyFill="1" applyBorder="1" applyProtection="1">
      <protection locked="0"/>
    </xf>
    <xf numFmtId="40" fontId="3" fillId="0" borderId="0" xfId="1" applyNumberFormat="1" applyFont="1" applyFill="1" applyBorder="1" applyAlignment="1">
      <alignment horizontal="center"/>
    </xf>
    <xf numFmtId="168" fontId="3" fillId="0" borderId="0" xfId="3" applyNumberFormat="1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40" fontId="3" fillId="0" borderId="0" xfId="0" applyNumberFormat="1" applyFont="1" applyProtection="1">
      <protection locked="0"/>
    </xf>
    <xf numFmtId="168" fontId="3" fillId="0" borderId="0" xfId="3" applyNumberFormat="1" applyFont="1" applyFill="1" applyAlignment="1" applyProtection="1">
      <alignment horizontal="center"/>
      <protection locked="0"/>
    </xf>
    <xf numFmtId="40" fontId="3" fillId="0" borderId="0" xfId="1" applyNumberFormat="1" applyFont="1" applyFill="1" applyBorder="1"/>
    <xf numFmtId="168" fontId="3" fillId="0" borderId="0" xfId="3" applyNumberFormat="1" applyFont="1" applyFill="1" applyBorder="1" applyAlignment="1">
      <alignment horizontal="center"/>
    </xf>
    <xf numFmtId="168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/>
    <xf numFmtId="40" fontId="3" fillId="0" borderId="1" xfId="1" applyNumberFormat="1" applyFont="1" applyFill="1" applyBorder="1" applyAlignment="1">
      <alignment horizontal="center"/>
    </xf>
    <xf numFmtId="168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0" fontId="3" fillId="0" borderId="0" xfId="0" quotePrefix="1" applyFont="1" applyAlignment="1">
      <alignment horizontal="center"/>
    </xf>
    <xf numFmtId="166" fontId="3" fillId="0" borderId="0" xfId="2" applyNumberFormat="1" applyFont="1" applyFill="1"/>
    <xf numFmtId="165" fontId="3" fillId="0" borderId="0" xfId="1" applyNumberFormat="1" applyFont="1" applyFill="1" applyAlignment="1">
      <alignment horizontal="center"/>
    </xf>
    <xf numFmtId="44" fontId="3" fillId="0" borderId="0" xfId="0" applyNumberFormat="1" applyFont="1"/>
    <xf numFmtId="0" fontId="3" fillId="0" borderId="0" xfId="0" quotePrefix="1" applyFont="1"/>
    <xf numFmtId="44" fontId="3" fillId="0" borderId="0" xfId="2" applyFont="1" applyFill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44" fontId="3" fillId="0" borderId="2" xfId="0" applyNumberFormat="1" applyFont="1" applyBorder="1"/>
    <xf numFmtId="0" fontId="3" fillId="0" borderId="0" xfId="0" applyFont="1" applyAlignment="1">
      <alignment vertical="top" wrapText="1"/>
    </xf>
    <xf numFmtId="10" fontId="3" fillId="0" borderId="0" xfId="0" applyNumberFormat="1" applyFont="1"/>
    <xf numFmtId="166" fontId="3" fillId="0" borderId="2" xfId="2" applyNumberFormat="1" applyFont="1" applyFill="1" applyBorder="1"/>
    <xf numFmtId="41" fontId="3" fillId="0" borderId="2" xfId="0" applyNumberFormat="1" applyFont="1" applyBorder="1"/>
    <xf numFmtId="166" fontId="2" fillId="0" borderId="0" xfId="2" applyNumberFormat="1" applyFont="1" applyFill="1" applyBorder="1"/>
    <xf numFmtId="166" fontId="8" fillId="0" borderId="0" xfId="2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69" fontId="3" fillId="0" borderId="0" xfId="2" applyNumberFormat="1" applyFont="1" applyFill="1" applyBorder="1"/>
    <xf numFmtId="170" fontId="3" fillId="0" borderId="0" xfId="1" applyNumberFormat="1" applyFont="1" applyFill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6" fontId="3" fillId="0" borderId="8" xfId="2" applyNumberFormat="1" applyFont="1" applyFill="1" applyBorder="1"/>
    <xf numFmtId="166" fontId="2" fillId="0" borderId="1" xfId="2" applyNumberFormat="1" applyFont="1" applyFill="1" applyBorder="1" applyAlignment="1">
      <alignment horizontal="right"/>
    </xf>
    <xf numFmtId="166" fontId="3" fillId="0" borderId="4" xfId="2" applyNumberFormat="1" applyFont="1" applyFill="1" applyBorder="1"/>
    <xf numFmtId="0" fontId="2" fillId="0" borderId="1" xfId="0" applyFont="1" applyBorder="1"/>
    <xf numFmtId="3" fontId="3" fillId="0" borderId="0" xfId="0" applyNumberFormat="1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166" fontId="9" fillId="0" borderId="2" xfId="2" applyNumberFormat="1" applyFont="1" applyBorder="1" applyAlignment="1">
      <alignment horizontal="left"/>
    </xf>
    <xf numFmtId="166" fontId="9" fillId="0" borderId="0" xfId="2" applyNumberFormat="1" applyFont="1" applyBorder="1" applyAlignment="1">
      <alignment horizontal="left"/>
    </xf>
    <xf numFmtId="0" fontId="9" fillId="0" borderId="0" xfId="0" applyFont="1" applyAlignment="1">
      <alignment horizontal="left" vertical="top"/>
    </xf>
    <xf numFmtId="166" fontId="3" fillId="2" borderId="0" xfId="2" applyNumberFormat="1" applyFont="1" applyFill="1"/>
    <xf numFmtId="165" fontId="3" fillId="2" borderId="0" xfId="1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2" borderId="0" xfId="0" applyFont="1" applyFill="1"/>
    <xf numFmtId="0" fontId="23" fillId="2" borderId="0" xfId="0" applyFont="1" applyFill="1" applyAlignment="1">
      <alignment horizontal="right"/>
    </xf>
    <xf numFmtId="166" fontId="3" fillId="2" borderId="0" xfId="2" applyNumberFormat="1" applyFont="1" applyFill="1" applyBorder="1"/>
    <xf numFmtId="44" fontId="8" fillId="2" borderId="0" xfId="0" applyNumberFormat="1" applyFont="1" applyFill="1"/>
    <xf numFmtId="0" fontId="8" fillId="2" borderId="0" xfId="0" applyFont="1" applyFill="1"/>
    <xf numFmtId="165" fontId="8" fillId="2" borderId="0" xfId="1" applyNumberFormat="1" applyFont="1" applyFill="1" applyBorder="1"/>
    <xf numFmtId="165" fontId="8" fillId="2" borderId="0" xfId="1" applyNumberFormat="1" applyFont="1" applyFill="1"/>
    <xf numFmtId="9" fontId="8" fillId="2" borderId="0" xfId="3" applyFont="1" applyFill="1" applyAlignment="1">
      <alignment horizontal="center"/>
    </xf>
    <xf numFmtId="44" fontId="6" fillId="2" borderId="5" xfId="0" applyNumberFormat="1" applyFont="1" applyFill="1" applyBorder="1"/>
    <xf numFmtId="44" fontId="6" fillId="0" borderId="0" xfId="0" quotePrefix="1" applyNumberFormat="1" applyFont="1" applyAlignment="1">
      <alignment horizontal="center"/>
    </xf>
    <xf numFmtId="166" fontId="8" fillId="0" borderId="2" xfId="0" quotePrefix="1" applyNumberFormat="1" applyFont="1" applyBorder="1" applyAlignment="1">
      <alignment horizontal="center"/>
    </xf>
    <xf numFmtId="166" fontId="8" fillId="0" borderId="0" xfId="0" quotePrefix="1" applyNumberFormat="1" applyFont="1" applyAlignment="1">
      <alignment horizontal="center"/>
    </xf>
    <xf numFmtId="0" fontId="8" fillId="2" borderId="0" xfId="0" applyFont="1" applyFill="1" applyAlignment="1">
      <alignment horizontal="left"/>
    </xf>
    <xf numFmtId="172" fontId="8" fillId="2" borderId="0" xfId="1" applyNumberFormat="1" applyFont="1" applyFill="1"/>
    <xf numFmtId="172" fontId="8" fillId="2" borderId="0" xfId="1" applyNumberFormat="1" applyFont="1" applyFill="1" applyBorder="1"/>
    <xf numFmtId="0" fontId="12" fillId="2" borderId="0" xfId="0" applyFont="1" applyFill="1"/>
    <xf numFmtId="0" fontId="8" fillId="2" borderId="2" xfId="0" applyFont="1" applyFill="1" applyBorder="1" applyAlignment="1">
      <alignment horizontal="center"/>
    </xf>
    <xf numFmtId="166" fontId="8" fillId="2" borderId="3" xfId="2" applyNumberFormat="1" applyFont="1" applyFill="1" applyBorder="1"/>
    <xf numFmtId="0" fontId="6" fillId="2" borderId="0" xfId="0" applyFont="1" applyFill="1" applyAlignment="1">
      <alignment horizontal="center"/>
    </xf>
    <xf numFmtId="166" fontId="8" fillId="2" borderId="5" xfId="2" applyNumberFormat="1" applyFont="1" applyFill="1" applyBorder="1"/>
    <xf numFmtId="0" fontId="6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48">
    <cellStyle name="Comma" xfId="1" builtinId="3"/>
    <cellStyle name="Comma 2" xfId="45" xr:uid="{91239291-7AD3-4D28-A323-83B7F3BF53A4}"/>
    <cellStyle name="Currency" xfId="2" builtinId="4"/>
    <cellStyle name="Currency 2" xfId="8" xr:uid="{A397464F-FDAB-400D-803D-529D8DDB3B00}"/>
    <cellStyle name="Currency 3" xfId="46" xr:uid="{6C181E57-67FA-4C58-B5FF-335583AE81A3}"/>
    <cellStyle name="Normal" xfId="0" builtinId="0"/>
    <cellStyle name="Normal 2" xfId="4" xr:uid="{00000000-0005-0000-0000-000003000000}"/>
    <cellStyle name="Normal 2 2" xfId="7" xr:uid="{D6A2DDDF-BD7A-4406-8EAA-9B5A01946F3D}"/>
    <cellStyle name="Normal 2 3" xfId="9" xr:uid="{D7D47BBC-F410-4F72-AECF-7D8F56711824}"/>
    <cellStyle name="Normal 3" xfId="5" xr:uid="{00000000-0005-0000-0000-000004000000}"/>
    <cellStyle name="Normal 3 10" xfId="24" xr:uid="{3BC30CC2-CC3B-4B73-80ED-7183091A8E8D}"/>
    <cellStyle name="Normal 3 11" xfId="10" xr:uid="{52543811-0B9B-4727-8A93-3E6345981083}"/>
    <cellStyle name="Normal 3 2" xfId="11" xr:uid="{7FDDD697-D64B-492D-9724-28394F42C7F0}"/>
    <cellStyle name="Normal 3 2 2" xfId="17" xr:uid="{007D1281-CAC2-4B53-8B9F-DC5C7C1AD052}"/>
    <cellStyle name="Normal 3 2 2 2" xfId="31" xr:uid="{ECCED194-E416-4B53-8607-1ADAB832EE64}"/>
    <cellStyle name="Normal 3 2 3" xfId="38" xr:uid="{90AC022A-4C8A-48A2-B815-3DE0F0CC5C29}"/>
    <cellStyle name="Normal 3 2 4" xfId="25" xr:uid="{91B77B7B-EB70-4F88-A5A9-211D019C6080}"/>
    <cellStyle name="Normal 3 3" xfId="12" xr:uid="{AACFE26E-06B9-414F-87D7-2EE800FA26C9}"/>
    <cellStyle name="Normal 3 3 2" xfId="18" xr:uid="{4D169638-3C1A-4D05-BDC2-DFB687EE0DC5}"/>
    <cellStyle name="Normal 3 3 2 2" xfId="32" xr:uid="{B1DA794B-878B-426D-B037-0DB3DDB6C472}"/>
    <cellStyle name="Normal 3 3 3" xfId="39" xr:uid="{F3E10A9D-1305-42E7-93AC-5BB074256C32}"/>
    <cellStyle name="Normal 3 3 4" xfId="26" xr:uid="{673FB768-B8E7-412E-9EA4-8EA2AEB8A7EE}"/>
    <cellStyle name="Normal 3 4" xfId="13" xr:uid="{0928AC04-72AD-4EF7-A90B-55EC4C2C65BF}"/>
    <cellStyle name="Normal 3 4 2" xfId="19" xr:uid="{EBAECA1C-CC44-4B82-AAAE-E8CFFF27301C}"/>
    <cellStyle name="Normal 3 4 2 2" xfId="33" xr:uid="{1567FA48-6E59-46D8-9325-F322F14E35E4}"/>
    <cellStyle name="Normal 3 4 3" xfId="40" xr:uid="{243D4F4B-02AE-4394-8F25-6FC477C5D70B}"/>
    <cellStyle name="Normal 3 4 4" xfId="27" xr:uid="{F7E209D8-6F59-4E05-9A51-E05D414DBFCD}"/>
    <cellStyle name="Normal 3 5" xfId="14" xr:uid="{A223FC95-E261-40A3-B833-3F135E91B6E9}"/>
    <cellStyle name="Normal 3 5 2" xfId="20" xr:uid="{B72732E3-2CC8-4D67-B525-360BB116611A}"/>
    <cellStyle name="Normal 3 5 2 2" xfId="34" xr:uid="{EDD6E13C-791A-4167-98E3-15F8F5DB82EB}"/>
    <cellStyle name="Normal 3 5 3" xfId="41" xr:uid="{C5BE327A-5BDB-45DF-B98F-B6F0CD7FEAD4}"/>
    <cellStyle name="Normal 3 5 4" xfId="28" xr:uid="{5B89C59D-4C63-4B84-936B-DAAD10B8FFA9}"/>
    <cellStyle name="Normal 3 6" xfId="21" xr:uid="{20B5FABB-3B48-4426-91BC-5C6AEB698466}"/>
    <cellStyle name="Normal 3 6 2" xfId="42" xr:uid="{C2487E80-7470-4DE1-A847-BFAFD8EF5CCF}"/>
    <cellStyle name="Normal 3 6 3" xfId="35" xr:uid="{4DD026FD-F9EE-4C1D-817E-F6C28EAD4CA5}"/>
    <cellStyle name="Normal 3 7" xfId="22" xr:uid="{0265CF45-D73F-447B-B96C-A4267B8F3C18}"/>
    <cellStyle name="Normal 3 7 2" xfId="43" xr:uid="{7146F887-2CCA-41E6-BF0D-05483AC527E9}"/>
    <cellStyle name="Normal 3 7 3" xfId="36" xr:uid="{AB4ED417-9F1A-450D-887E-B7D4A84B8848}"/>
    <cellStyle name="Normal 3 8" xfId="16" xr:uid="{397C60C0-E0F8-430A-A90D-FA9A043D51CC}"/>
    <cellStyle name="Normal 3 8 2" xfId="30" xr:uid="{7345B82D-0ECE-47D4-91AF-5415F6FDCDB2}"/>
    <cellStyle name="Normal 3 9" xfId="37" xr:uid="{6541A6D5-0FA5-437E-911A-9EC47DDD2525}"/>
    <cellStyle name="Normal 4" xfId="15" xr:uid="{1A7720AD-4225-415E-BAB5-E77ED4CF2D01}"/>
    <cellStyle name="Normal 4 2" xfId="29" xr:uid="{01246AD4-2D49-4AC0-B0D8-A27D6438B812}"/>
    <cellStyle name="Normal 5" xfId="23" xr:uid="{CAC32966-8438-4657-AB95-0803276BC53A}"/>
    <cellStyle name="Normal 6" xfId="44" xr:uid="{CE1D065C-9A6E-4550-B8CE-7407BCAEB52B}"/>
    <cellStyle name="Normal 7" xfId="6" xr:uid="{4F396A90-9173-4207-B656-515B1A20E5AF}"/>
    <cellStyle name="Percent" xfId="3" builtinId="5"/>
    <cellStyle name="Percent 2" xfId="47" xr:uid="{0545B364-9B68-4D2D-B771-6C3DC305C213}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H64"/>
  <sheetViews>
    <sheetView tabSelected="1" view="pageBreakPreview" zoomScaleNormal="100" zoomScaleSheetLayoutView="100" workbookViewId="0">
      <selection activeCell="I61" sqref="I61"/>
    </sheetView>
  </sheetViews>
  <sheetFormatPr defaultColWidth="9.109375" defaultRowHeight="13.2"/>
  <cols>
    <col min="1" max="1" width="9.109375" style="4"/>
    <col min="2" max="2" width="32.88671875" style="2" bestFit="1" customWidth="1"/>
    <col min="3" max="3" width="13.33203125" style="2" bestFit="1" customWidth="1"/>
    <col min="4" max="4" width="14.5546875" style="2" customWidth="1"/>
    <col min="5" max="5" width="13.44140625" style="2" bestFit="1" customWidth="1"/>
    <col min="6" max="6" width="15.109375" style="2" bestFit="1" customWidth="1"/>
    <col min="7" max="7" width="15.44140625" style="2" bestFit="1" customWidth="1"/>
    <col min="8" max="8" width="10.5546875" style="2" bestFit="1" customWidth="1"/>
    <col min="9" max="16384" width="9.109375" style="2"/>
  </cols>
  <sheetData>
    <row r="1" spans="1:8">
      <c r="A1" s="1" t="s">
        <v>283</v>
      </c>
      <c r="B1" s="1"/>
      <c r="C1" s="1"/>
      <c r="D1" s="1"/>
      <c r="E1" s="1"/>
      <c r="G1" s="284" t="s">
        <v>455</v>
      </c>
    </row>
    <row r="2" spans="1:8">
      <c r="A2" s="1" t="s">
        <v>0</v>
      </c>
      <c r="B2" s="1"/>
      <c r="C2" s="1"/>
      <c r="D2" s="1"/>
      <c r="E2" s="1"/>
    </row>
    <row r="3" spans="1:8">
      <c r="A3" s="1" t="s">
        <v>284</v>
      </c>
      <c r="B3" s="1"/>
      <c r="C3" s="1"/>
      <c r="E3" s="1"/>
    </row>
    <row r="4" spans="1:8">
      <c r="A4" s="3"/>
      <c r="E4" s="215"/>
      <c r="F4" s="216"/>
      <c r="G4" s="216"/>
    </row>
    <row r="5" spans="1:8">
      <c r="C5" s="3" t="s">
        <v>1</v>
      </c>
      <c r="D5" s="3" t="s">
        <v>2</v>
      </c>
      <c r="E5" s="3" t="s">
        <v>3</v>
      </c>
      <c r="F5" s="3" t="s">
        <v>4</v>
      </c>
      <c r="G5" s="3" t="s">
        <v>4</v>
      </c>
    </row>
    <row r="6" spans="1:8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9</v>
      </c>
      <c r="G6" s="3" t="s">
        <v>9</v>
      </c>
    </row>
    <row r="7" spans="1:8" s="1" customFormat="1">
      <c r="A7" s="5" t="s">
        <v>10</v>
      </c>
      <c r="B7" s="6">
        <v>1</v>
      </c>
      <c r="C7" s="6">
        <f>B7+1</f>
        <v>2</v>
      </c>
      <c r="D7" s="6">
        <f>C7+1</f>
        <v>3</v>
      </c>
      <c r="E7" s="6" t="s">
        <v>11</v>
      </c>
      <c r="F7" s="6" t="s">
        <v>12</v>
      </c>
      <c r="G7" s="6" t="s">
        <v>46</v>
      </c>
    </row>
    <row r="8" spans="1:8">
      <c r="A8" s="4">
        <v>1</v>
      </c>
      <c r="B8" s="217" t="s">
        <v>13</v>
      </c>
      <c r="C8" s="218"/>
    </row>
    <row r="9" spans="1:8">
      <c r="A9" s="4">
        <f>A8+1</f>
        <v>2</v>
      </c>
      <c r="B9" s="2" t="s">
        <v>14</v>
      </c>
      <c r="C9" s="7">
        <f>93828042</f>
        <v>93828042</v>
      </c>
      <c r="D9" s="7">
        <f>'Adj List'!D7+'Adj List'!D8+'Adj List'!D12</f>
        <v>-20606360.059999999</v>
      </c>
      <c r="E9" s="7">
        <f>C9+D9</f>
        <v>73221681.939999998</v>
      </c>
      <c r="F9" s="7">
        <f>E9+F59</f>
        <v>75173102.008791432</v>
      </c>
      <c r="G9" s="7">
        <f>E9+G59</f>
        <v>75165406.136237696</v>
      </c>
      <c r="H9" s="218"/>
    </row>
    <row r="10" spans="1:8">
      <c r="A10" s="4">
        <f t="shared" ref="A10:A60" si="0">A9+1</f>
        <v>3</v>
      </c>
      <c r="B10" s="2" t="s">
        <v>15</v>
      </c>
      <c r="C10" s="7">
        <v>1051255</v>
      </c>
      <c r="D10" s="7">
        <v>0</v>
      </c>
      <c r="E10" s="7">
        <f>C10+D10</f>
        <v>1051255</v>
      </c>
      <c r="F10" s="7">
        <f>E10</f>
        <v>1051255</v>
      </c>
      <c r="G10" s="7">
        <f>F10</f>
        <v>1051255</v>
      </c>
    </row>
    <row r="11" spans="1:8">
      <c r="A11" s="4">
        <f t="shared" si="0"/>
        <v>4</v>
      </c>
      <c r="B11" s="8" t="s">
        <v>16</v>
      </c>
      <c r="C11" s="9">
        <f>SUM(C9:C10)</f>
        <v>94879297</v>
      </c>
      <c r="D11" s="9">
        <f>SUM(D9:D10)</f>
        <v>-20606360.059999999</v>
      </c>
      <c r="E11" s="9">
        <f>SUM(E9:E10)</f>
        <v>74272936.939999998</v>
      </c>
      <c r="F11" s="9">
        <f>SUM(F9:F10)</f>
        <v>76224357.008791432</v>
      </c>
      <c r="G11" s="9">
        <f>SUM(G9:G10)</f>
        <v>76216661.136237696</v>
      </c>
      <c r="H11" s="10"/>
    </row>
    <row r="12" spans="1:8">
      <c r="A12" s="4">
        <f t="shared" si="0"/>
        <v>5</v>
      </c>
      <c r="C12" s="7"/>
      <c r="D12" s="7"/>
      <c r="E12" s="7"/>
      <c r="F12" s="7"/>
      <c r="G12" s="7"/>
    </row>
    <row r="13" spans="1:8">
      <c r="A13" s="4">
        <f t="shared" si="0"/>
        <v>6</v>
      </c>
      <c r="B13" s="217" t="s">
        <v>17</v>
      </c>
      <c r="C13" s="7"/>
      <c r="D13" s="7"/>
      <c r="E13" s="7"/>
      <c r="F13" s="7"/>
      <c r="G13" s="7"/>
    </row>
    <row r="14" spans="1:8">
      <c r="A14" s="4">
        <f t="shared" si="0"/>
        <v>7</v>
      </c>
      <c r="B14" s="2" t="s">
        <v>18</v>
      </c>
      <c r="C14" s="7">
        <v>80627507</v>
      </c>
      <c r="D14" s="7">
        <f>'Adj List'!E7+'Adj List'!E8+'Adj List'!E12</f>
        <v>-20568090.620000001</v>
      </c>
      <c r="E14" s="7">
        <f>C14+D14</f>
        <v>60059416.379999995</v>
      </c>
      <c r="F14" s="7">
        <f>E14</f>
        <v>60059416.379999995</v>
      </c>
      <c r="G14" s="7">
        <f>F14</f>
        <v>60059416.379999995</v>
      </c>
    </row>
    <row r="15" spans="1:8">
      <c r="A15" s="4">
        <f t="shared" si="0"/>
        <v>8</v>
      </c>
      <c r="B15" s="2" t="s">
        <v>19</v>
      </c>
      <c r="C15" s="7">
        <v>1828772</v>
      </c>
      <c r="D15" s="7">
        <v>0</v>
      </c>
      <c r="E15" s="7">
        <f t="shared" ref="E15:E20" si="1">C15+D15</f>
        <v>1828772</v>
      </c>
      <c r="F15" s="7">
        <f t="shared" ref="F15:G20" si="2">E15</f>
        <v>1828772</v>
      </c>
      <c r="G15" s="7">
        <f t="shared" si="2"/>
        <v>1828772</v>
      </c>
    </row>
    <row r="16" spans="1:8">
      <c r="A16" s="4">
        <f t="shared" si="0"/>
        <v>9</v>
      </c>
      <c r="B16" s="2" t="s">
        <v>20</v>
      </c>
      <c r="C16" s="7">
        <v>3768447</v>
      </c>
      <c r="D16" s="7">
        <f>'Adj List'!E11</f>
        <v>326888.64999999991</v>
      </c>
      <c r="E16" s="7">
        <f t="shared" si="1"/>
        <v>4095335.65</v>
      </c>
      <c r="F16" s="7">
        <f t="shared" si="2"/>
        <v>4095335.65</v>
      </c>
      <c r="G16" s="7">
        <f t="shared" si="2"/>
        <v>4095335.65</v>
      </c>
    </row>
    <row r="17" spans="1:7">
      <c r="A17" s="4">
        <f t="shared" si="0"/>
        <v>10</v>
      </c>
      <c r="B17" s="2" t="s">
        <v>21</v>
      </c>
      <c r="C17" s="7">
        <v>1414494</v>
      </c>
      <c r="D17" s="7">
        <v>0</v>
      </c>
      <c r="E17" s="7">
        <f t="shared" si="1"/>
        <v>1414494</v>
      </c>
      <c r="F17" s="7">
        <f t="shared" si="2"/>
        <v>1414494</v>
      </c>
      <c r="G17" s="7">
        <f t="shared" si="2"/>
        <v>1414494</v>
      </c>
    </row>
    <row r="18" spans="1:7">
      <c r="A18" s="4">
        <f t="shared" si="0"/>
        <v>11</v>
      </c>
      <c r="B18" s="2" t="s">
        <v>22</v>
      </c>
      <c r="C18" s="7">
        <v>116959</v>
      </c>
      <c r="D18" s="7">
        <v>0</v>
      </c>
      <c r="E18" s="7">
        <f t="shared" si="1"/>
        <v>116959</v>
      </c>
      <c r="F18" s="7">
        <f t="shared" si="2"/>
        <v>116959</v>
      </c>
      <c r="G18" s="7">
        <f t="shared" si="2"/>
        <v>116959</v>
      </c>
    </row>
    <row r="19" spans="1:7">
      <c r="A19" s="4">
        <f t="shared" si="0"/>
        <v>12</v>
      </c>
      <c r="B19" s="2" t="s">
        <v>23</v>
      </c>
      <c r="C19" s="7">
        <v>79733</v>
      </c>
      <c r="D19" s="7">
        <v>0</v>
      </c>
      <c r="E19" s="7">
        <f t="shared" si="1"/>
        <v>79733</v>
      </c>
      <c r="F19" s="7">
        <f t="shared" si="2"/>
        <v>79733</v>
      </c>
      <c r="G19" s="7">
        <f t="shared" si="2"/>
        <v>79733</v>
      </c>
    </row>
    <row r="20" spans="1:7">
      <c r="A20" s="4">
        <f t="shared" si="0"/>
        <v>13</v>
      </c>
      <c r="B20" s="2" t="s">
        <v>24</v>
      </c>
      <c r="C20" s="7">
        <v>1621964</v>
      </c>
      <c r="D20" s="7">
        <f>'Adj List'!E13+'Adj List'!E15+'Adj List'!E16+'Adj List'!E17+'Adj List'!E18+'Adj List'!E19+'Adj List'!E20+('1.08 DonAdsDues'!D30-'1.08 DonAdsDues'!D14)</f>
        <v>-119067.17629178028</v>
      </c>
      <c r="E20" s="7">
        <f t="shared" si="1"/>
        <v>1502896.8237082197</v>
      </c>
      <c r="F20" s="7">
        <f t="shared" si="2"/>
        <v>1502896.8237082197</v>
      </c>
      <c r="G20" s="7">
        <f t="shared" si="2"/>
        <v>1502896.8237082197</v>
      </c>
    </row>
    <row r="21" spans="1:7">
      <c r="A21" s="4">
        <f t="shared" si="0"/>
        <v>14</v>
      </c>
      <c r="B21" s="8" t="s">
        <v>25</v>
      </c>
      <c r="C21" s="9">
        <f>SUM(C14:C20)</f>
        <v>89457876</v>
      </c>
      <c r="D21" s="9">
        <f t="shared" ref="D21:F21" si="3">SUM(D14:D20)</f>
        <v>-20360269.146291781</v>
      </c>
      <c r="E21" s="9">
        <f>SUM(E14:E20)</f>
        <v>69097606.853708223</v>
      </c>
      <c r="F21" s="9">
        <f t="shared" si="3"/>
        <v>69097606.853708223</v>
      </c>
      <c r="G21" s="9">
        <f t="shared" ref="G21" si="4">SUM(G14:G20)</f>
        <v>69097606.853708223</v>
      </c>
    </row>
    <row r="22" spans="1:7">
      <c r="A22" s="4">
        <f t="shared" si="0"/>
        <v>15</v>
      </c>
      <c r="C22" s="7"/>
      <c r="D22" s="7"/>
      <c r="E22" s="7"/>
      <c r="F22" s="7"/>
      <c r="G22" s="7"/>
    </row>
    <row r="23" spans="1:7">
      <c r="A23" s="4">
        <f t="shared" si="0"/>
        <v>16</v>
      </c>
      <c r="B23" s="2" t="s">
        <v>26</v>
      </c>
      <c r="C23" s="7">
        <v>4143755</v>
      </c>
      <c r="D23" s="7">
        <f>'Adj List'!E10</f>
        <v>-47643.812299999947</v>
      </c>
      <c r="E23" s="7">
        <f>C23+D23</f>
        <v>4096111.1877000001</v>
      </c>
      <c r="F23" s="7">
        <f>E23</f>
        <v>4096111.1877000001</v>
      </c>
      <c r="G23" s="7">
        <f>F23</f>
        <v>4096111.1877000001</v>
      </c>
    </row>
    <row r="24" spans="1:7">
      <c r="A24" s="4">
        <f t="shared" si="0"/>
        <v>17</v>
      </c>
      <c r="B24" s="2" t="s">
        <v>27</v>
      </c>
      <c r="C24" s="7">
        <v>74473</v>
      </c>
      <c r="D24" s="7">
        <v>0</v>
      </c>
      <c r="E24" s="7">
        <f>C24+D24</f>
        <v>74473</v>
      </c>
      <c r="F24" s="7">
        <f t="shared" ref="F24:G27" si="5">E24</f>
        <v>74473</v>
      </c>
      <c r="G24" s="7">
        <f t="shared" si="5"/>
        <v>74473</v>
      </c>
    </row>
    <row r="25" spans="1:7">
      <c r="A25" s="4">
        <f t="shared" si="0"/>
        <v>18</v>
      </c>
      <c r="B25" s="2" t="s">
        <v>28</v>
      </c>
      <c r="C25" s="7">
        <v>1047376</v>
      </c>
      <c r="D25" s="7">
        <f>'Adj List'!E9</f>
        <v>510636.48369160038</v>
      </c>
      <c r="E25" s="7">
        <f>C25+D25</f>
        <v>1558012.4836916004</v>
      </c>
      <c r="F25" s="7">
        <f t="shared" si="5"/>
        <v>1558012.4836916004</v>
      </c>
      <c r="G25" s="7">
        <f t="shared" si="5"/>
        <v>1558012.4836916004</v>
      </c>
    </row>
    <row r="26" spans="1:7">
      <c r="A26" s="4">
        <f t="shared" si="0"/>
        <v>19</v>
      </c>
      <c r="B26" s="2" t="s">
        <v>29</v>
      </c>
      <c r="C26" s="7">
        <v>142023</v>
      </c>
      <c r="D26" s="7">
        <v>0</v>
      </c>
      <c r="E26" s="7">
        <f>C26+D26</f>
        <v>142023</v>
      </c>
      <c r="F26" s="7">
        <f t="shared" si="5"/>
        <v>142023</v>
      </c>
      <c r="G26" s="7">
        <f t="shared" si="5"/>
        <v>142023</v>
      </c>
    </row>
    <row r="27" spans="1:7">
      <c r="A27" s="4">
        <f t="shared" si="0"/>
        <v>20</v>
      </c>
      <c r="B27" s="2" t="s">
        <v>30</v>
      </c>
      <c r="C27" s="7">
        <v>14585.39</v>
      </c>
      <c r="D27" s="7">
        <f>'1.08 DonAdsDues'!D14</f>
        <v>-14585.39</v>
      </c>
      <c r="E27" s="7">
        <f>C27+D27</f>
        <v>0</v>
      </c>
      <c r="F27" s="7">
        <f t="shared" si="5"/>
        <v>0</v>
      </c>
      <c r="G27" s="7">
        <f t="shared" si="5"/>
        <v>0</v>
      </c>
    </row>
    <row r="28" spans="1:7">
      <c r="A28" s="4">
        <f t="shared" si="0"/>
        <v>21</v>
      </c>
      <c r="C28" s="7"/>
      <c r="D28" s="7"/>
      <c r="E28" s="7"/>
      <c r="F28" s="7"/>
      <c r="G28" s="7"/>
    </row>
    <row r="29" spans="1:7">
      <c r="A29" s="4">
        <f t="shared" si="0"/>
        <v>22</v>
      </c>
      <c r="B29" s="219" t="s">
        <v>31</v>
      </c>
      <c r="C29" s="12">
        <f t="shared" ref="C29:F29" si="6">SUM(C21:C27)</f>
        <v>94880088.390000001</v>
      </c>
      <c r="D29" s="12">
        <f t="shared" si="6"/>
        <v>-19911861.864900183</v>
      </c>
      <c r="E29" s="12">
        <f t="shared" si="6"/>
        <v>74968226.525099829</v>
      </c>
      <c r="F29" s="12">
        <f t="shared" si="6"/>
        <v>74968226.525099829</v>
      </c>
      <c r="G29" s="12">
        <f t="shared" ref="G29" si="7">SUM(G21:G27)</f>
        <v>74968226.525099829</v>
      </c>
    </row>
    <row r="30" spans="1:7">
      <c r="A30" s="4">
        <f t="shared" si="0"/>
        <v>23</v>
      </c>
      <c r="C30" s="7"/>
      <c r="D30" s="7"/>
      <c r="E30" s="7"/>
      <c r="F30" s="7"/>
      <c r="G30" s="7"/>
    </row>
    <row r="31" spans="1:7" ht="13.8" thickBot="1">
      <c r="A31" s="4">
        <f t="shared" si="0"/>
        <v>24</v>
      </c>
      <c r="B31" s="13" t="s">
        <v>32</v>
      </c>
      <c r="C31" s="14">
        <f t="shared" ref="C31:F31" si="8">C11-C29</f>
        <v>-791.39000000059605</v>
      </c>
      <c r="D31" s="14">
        <f t="shared" si="8"/>
        <v>-694498.19509981573</v>
      </c>
      <c r="E31" s="14">
        <f t="shared" si="8"/>
        <v>-695289.58509983122</v>
      </c>
      <c r="F31" s="14">
        <f t="shared" si="8"/>
        <v>1256130.4836916029</v>
      </c>
      <c r="G31" s="14">
        <f t="shared" ref="G31" si="9">G11-G29</f>
        <v>1248434.611137867</v>
      </c>
    </row>
    <row r="32" spans="1:7" ht="13.8" thickTop="1">
      <c r="A32" s="4">
        <f t="shared" si="0"/>
        <v>25</v>
      </c>
      <c r="C32" s="7"/>
      <c r="D32" s="7"/>
      <c r="E32" s="7"/>
      <c r="F32" s="7"/>
      <c r="G32" s="7"/>
    </row>
    <row r="33" spans="1:8">
      <c r="A33" s="4">
        <f t="shared" si="0"/>
        <v>26</v>
      </c>
      <c r="B33" s="2" t="s">
        <v>33</v>
      </c>
      <c r="C33" s="7">
        <v>53642</v>
      </c>
      <c r="D33" s="7">
        <v>0</v>
      </c>
      <c r="E33" s="7">
        <f>C33+D33</f>
        <v>53642</v>
      </c>
      <c r="F33" s="7">
        <f t="shared" ref="F33:G37" si="10">E33</f>
        <v>53642</v>
      </c>
      <c r="G33" s="7">
        <f t="shared" si="10"/>
        <v>53642</v>
      </c>
    </row>
    <row r="34" spans="1:8">
      <c r="A34" s="4" t="s">
        <v>34</v>
      </c>
      <c r="B34" s="2" t="s">
        <v>35</v>
      </c>
      <c r="C34" s="7">
        <v>0</v>
      </c>
      <c r="D34" s="7">
        <v>0</v>
      </c>
      <c r="E34" s="7">
        <f>C34+D34</f>
        <v>0</v>
      </c>
      <c r="F34" s="7">
        <f t="shared" si="10"/>
        <v>0</v>
      </c>
      <c r="G34" s="7">
        <f t="shared" si="10"/>
        <v>0</v>
      </c>
    </row>
    <row r="35" spans="1:8">
      <c r="A35" s="4">
        <f>A33+1</f>
        <v>27</v>
      </c>
      <c r="B35" s="2" t="s">
        <v>36</v>
      </c>
      <c r="C35" s="7">
        <v>32962</v>
      </c>
      <c r="D35" s="7">
        <f>'Adj List'!F20</f>
        <v>0</v>
      </c>
      <c r="E35" s="7">
        <f>C35+D35</f>
        <v>32962</v>
      </c>
      <c r="F35" s="7">
        <f t="shared" si="10"/>
        <v>32962</v>
      </c>
      <c r="G35" s="7">
        <f t="shared" si="10"/>
        <v>32962</v>
      </c>
    </row>
    <row r="36" spans="1:8">
      <c r="A36" s="4">
        <f t="shared" si="0"/>
        <v>28</v>
      </c>
      <c r="B36" s="2" t="s">
        <v>37</v>
      </c>
      <c r="C36" s="7">
        <v>2991660</v>
      </c>
      <c r="D36" s="7">
        <f>'Adj List'!F13</f>
        <v>-2991660</v>
      </c>
      <c r="E36" s="7">
        <f>C36+D36</f>
        <v>0</v>
      </c>
      <c r="F36" s="7">
        <f t="shared" si="10"/>
        <v>0</v>
      </c>
      <c r="G36" s="7">
        <f t="shared" si="10"/>
        <v>0</v>
      </c>
    </row>
    <row r="37" spans="1:8">
      <c r="A37" s="4">
        <f t="shared" si="0"/>
        <v>29</v>
      </c>
      <c r="B37" s="2" t="s">
        <v>38</v>
      </c>
      <c r="C37" s="7">
        <v>215278</v>
      </c>
      <c r="D37" s="7"/>
      <c r="E37" s="7">
        <f>C37+D37</f>
        <v>215278</v>
      </c>
      <c r="F37" s="7">
        <f t="shared" si="10"/>
        <v>215278</v>
      </c>
      <c r="G37" s="7">
        <f t="shared" si="10"/>
        <v>215278</v>
      </c>
    </row>
    <row r="38" spans="1:8">
      <c r="A38" s="4">
        <f t="shared" si="0"/>
        <v>30</v>
      </c>
      <c r="C38" s="7"/>
      <c r="D38" s="7"/>
      <c r="E38" s="7"/>
      <c r="F38" s="7"/>
      <c r="G38" s="7"/>
    </row>
    <row r="39" spans="1:8" ht="13.8" thickBot="1">
      <c r="A39" s="4">
        <f t="shared" si="0"/>
        <v>31</v>
      </c>
      <c r="B39" s="13" t="s">
        <v>39</v>
      </c>
      <c r="C39" s="14">
        <f t="shared" ref="C39:F39" si="11">C31+SUM(C33:C37)</f>
        <v>3292750.6099999994</v>
      </c>
      <c r="D39" s="14">
        <f t="shared" si="11"/>
        <v>-3686158.1950998157</v>
      </c>
      <c r="E39" s="14">
        <f t="shared" si="11"/>
        <v>-393407.58509983122</v>
      </c>
      <c r="F39" s="14">
        <f t="shared" si="11"/>
        <v>1558012.4836916029</v>
      </c>
      <c r="G39" s="14">
        <f t="shared" ref="G39" si="12">G31+SUM(G33:G37)</f>
        <v>1550316.611137867</v>
      </c>
    </row>
    <row r="40" spans="1:8" ht="13.8" thickTop="1">
      <c r="A40" s="4">
        <f t="shared" si="0"/>
        <v>32</v>
      </c>
      <c r="C40" s="7"/>
      <c r="D40" s="7"/>
      <c r="E40" s="7"/>
      <c r="F40" s="7"/>
      <c r="G40" s="7"/>
    </row>
    <row r="41" spans="1:8">
      <c r="A41" s="4">
        <f t="shared" si="0"/>
        <v>33</v>
      </c>
      <c r="B41" s="2" t="s">
        <v>40</v>
      </c>
      <c r="C41" s="7">
        <v>75876</v>
      </c>
      <c r="D41" s="7"/>
      <c r="E41" s="7">
        <f>C41+D41</f>
        <v>75876</v>
      </c>
      <c r="F41" s="7">
        <f>E41</f>
        <v>75876</v>
      </c>
      <c r="G41" s="7">
        <f>E41</f>
        <v>75876</v>
      </c>
    </row>
    <row r="42" spans="1:8">
      <c r="A42" s="4">
        <f t="shared" si="0"/>
        <v>34</v>
      </c>
      <c r="B42" s="2" t="s">
        <v>41</v>
      </c>
      <c r="C42" s="11">
        <f>(C31+C41+C25)/C25</f>
        <v>1.071688304868547</v>
      </c>
      <c r="D42" s="7"/>
      <c r="E42" s="11">
        <f>(E31+E41+E25)/E25</f>
        <v>0.60243349037090221</v>
      </c>
      <c r="F42" s="11">
        <f>(F31+F41+F25)/F25</f>
        <v>1.8549395448587855</v>
      </c>
      <c r="G42" s="220">
        <f>(G31+G41+G25)/G25</f>
        <v>1.8500000000000041</v>
      </c>
      <c r="H42" s="11"/>
    </row>
    <row r="43" spans="1:8">
      <c r="A43" s="4">
        <f t="shared" si="0"/>
        <v>35</v>
      </c>
      <c r="B43" s="2" t="s">
        <v>42</v>
      </c>
      <c r="C43" s="11">
        <f>(C39+C25)/C25</f>
        <v>4.1438094915293071</v>
      </c>
      <c r="D43" s="7"/>
      <c r="E43" s="11">
        <f>(E39+E25)/E25</f>
        <v>0.74749394551211823</v>
      </c>
      <c r="F43" s="220">
        <f>(F39+F25)/F25</f>
        <v>2.0000000000000013</v>
      </c>
      <c r="G43" s="18">
        <f>(G39+G25)/G25</f>
        <v>1.9950604551412201</v>
      </c>
      <c r="H43" s="11"/>
    </row>
    <row r="44" spans="1:8">
      <c r="A44" s="4">
        <f t="shared" si="0"/>
        <v>36</v>
      </c>
      <c r="B44" s="2" t="s">
        <v>43</v>
      </c>
      <c r="C44" s="11">
        <f>(C25+C39-C36)/C25</f>
        <v>1.2874713665388546</v>
      </c>
      <c r="D44" s="7"/>
      <c r="E44" s="11">
        <f>(E25+E39-E36)/E25</f>
        <v>0.74749394551211823</v>
      </c>
      <c r="F44" s="11">
        <f>(F25+F39-F36)/F25</f>
        <v>2.0000000000000013</v>
      </c>
      <c r="G44" s="11">
        <f>(G25+G39-G36)/G25</f>
        <v>1.9950604551412201</v>
      </c>
      <c r="H44" s="11"/>
    </row>
    <row r="45" spans="1:8">
      <c r="A45" s="4">
        <f t="shared" si="0"/>
        <v>37</v>
      </c>
    </row>
    <row r="46" spans="1:8">
      <c r="A46" s="4">
        <f t="shared" si="0"/>
        <v>38</v>
      </c>
      <c r="B46" s="2" t="s">
        <v>44</v>
      </c>
      <c r="C46" s="11">
        <v>2</v>
      </c>
      <c r="D46" s="7"/>
      <c r="E46" s="11">
        <f>C46</f>
        <v>2</v>
      </c>
      <c r="F46" s="11">
        <v>2</v>
      </c>
      <c r="G46" s="11">
        <v>2</v>
      </c>
    </row>
    <row r="47" spans="1:8">
      <c r="A47" s="4">
        <f t="shared" si="0"/>
        <v>39</v>
      </c>
      <c r="B47" s="2" t="s">
        <v>45</v>
      </c>
      <c r="C47" s="7">
        <f>C46*C25-C25</f>
        <v>1047376</v>
      </c>
      <c r="D47" s="7"/>
      <c r="E47" s="7">
        <f>E46*E25-E25</f>
        <v>1558012.4836916004</v>
      </c>
      <c r="F47" s="7">
        <f>F46*F25-F25</f>
        <v>1558012.4836916004</v>
      </c>
      <c r="G47" s="7">
        <f>G46*G25-G25</f>
        <v>1558012.4836916004</v>
      </c>
    </row>
    <row r="48" spans="1:8">
      <c r="A48" s="4">
        <f t="shared" si="0"/>
        <v>40</v>
      </c>
      <c r="B48" s="2" t="s">
        <v>50</v>
      </c>
      <c r="C48" s="7">
        <f>C29+C47</f>
        <v>95927464.390000001</v>
      </c>
      <c r="D48" s="7"/>
      <c r="E48" s="7">
        <f>E29+E47</f>
        <v>76526239.008791432</v>
      </c>
      <c r="F48" s="7">
        <f>F29+F47</f>
        <v>76526239.008791432</v>
      </c>
      <c r="G48" s="7">
        <f>G29+G47</f>
        <v>76526239.008791432</v>
      </c>
    </row>
    <row r="49" spans="1:7">
      <c r="A49" s="4">
        <f t="shared" si="0"/>
        <v>41</v>
      </c>
      <c r="B49" s="2" t="s">
        <v>51</v>
      </c>
      <c r="C49" s="7">
        <f>C47-C39</f>
        <v>-2245374.6099999994</v>
      </c>
      <c r="D49" s="7"/>
      <c r="E49" s="17">
        <f>E47-E39</f>
        <v>1951420.0687914316</v>
      </c>
      <c r="F49" s="7">
        <f>F47-F39</f>
        <v>-2.5611370801925659E-9</v>
      </c>
      <c r="G49" s="7">
        <f>G47-G39</f>
        <v>7695.8725537334103</v>
      </c>
    </row>
    <row r="50" spans="1:7">
      <c r="A50" s="4">
        <f t="shared" si="0"/>
        <v>42</v>
      </c>
      <c r="B50" s="2" t="s">
        <v>53</v>
      </c>
      <c r="C50" s="16"/>
      <c r="D50" s="221"/>
      <c r="E50" s="18">
        <f>ROUND(E44-C46,2)</f>
        <v>-1.25</v>
      </c>
      <c r="F50" s="18">
        <f>ROUND(F44-C46,2)</f>
        <v>0</v>
      </c>
      <c r="G50" s="18">
        <f>ROUND(G44-C46,2)</f>
        <v>0</v>
      </c>
    </row>
    <row r="51" spans="1:7">
      <c r="A51" s="4">
        <f t="shared" si="0"/>
        <v>43</v>
      </c>
    </row>
    <row r="52" spans="1:7">
      <c r="A52" s="4">
        <f t="shared" si="0"/>
        <v>44</v>
      </c>
      <c r="B52" s="2" t="s">
        <v>47</v>
      </c>
      <c r="C52" s="2">
        <v>1.85</v>
      </c>
      <c r="E52" s="2">
        <f>C52</f>
        <v>1.85</v>
      </c>
      <c r="F52" s="2">
        <f>E52</f>
        <v>1.85</v>
      </c>
      <c r="G52" s="2">
        <f>F52</f>
        <v>1.85</v>
      </c>
    </row>
    <row r="53" spans="1:7">
      <c r="A53" s="4">
        <f t="shared" si="0"/>
        <v>45</v>
      </c>
      <c r="B53" s="2" t="s">
        <v>280</v>
      </c>
      <c r="C53" s="218">
        <f>C52*C25-C25-C41+SUM(C33:C37)</f>
        <v>4107935.6</v>
      </c>
      <c r="D53" s="218"/>
      <c r="E53" s="218">
        <f>E52*E25-E25-E41+SUM(E33:E37)</f>
        <v>1550316.6111378607</v>
      </c>
      <c r="F53" s="218">
        <f>F52*F25-F25-F41+SUM(F33:F37)</f>
        <v>1550316.6111378607</v>
      </c>
      <c r="G53" s="218">
        <f>G52*G25-G25-G41+SUM(G33:G37)</f>
        <v>1550316.6111378607</v>
      </c>
    </row>
    <row r="54" spans="1:7">
      <c r="A54" s="4">
        <f t="shared" si="0"/>
        <v>46</v>
      </c>
      <c r="B54" s="2" t="s">
        <v>281</v>
      </c>
      <c r="C54" s="218">
        <f>C29+C53</f>
        <v>98988023.989999995</v>
      </c>
      <c r="E54" s="218">
        <f t="shared" ref="E54:G54" si="13">E29+E53</f>
        <v>76518543.136237696</v>
      </c>
      <c r="F54" s="218">
        <f t="shared" si="13"/>
        <v>76518543.136237696</v>
      </c>
      <c r="G54" s="218">
        <f t="shared" si="13"/>
        <v>76518543.136237696</v>
      </c>
    </row>
    <row r="55" spans="1:7">
      <c r="A55" s="4">
        <f t="shared" si="0"/>
        <v>47</v>
      </c>
      <c r="B55" s="2" t="s">
        <v>282</v>
      </c>
      <c r="C55" s="218">
        <f>C53-C39</f>
        <v>815184.99000000069</v>
      </c>
      <c r="D55" s="218"/>
      <c r="E55" s="218">
        <f>E53-E39</f>
        <v>1943724.1962376919</v>
      </c>
      <c r="F55" s="218">
        <f>F53-F39</f>
        <v>-7695.8725537422579</v>
      </c>
      <c r="G55" s="7">
        <f>G53-G39</f>
        <v>-6.28642737865448E-9</v>
      </c>
    </row>
    <row r="56" spans="1:7">
      <c r="A56" s="4">
        <f t="shared" si="0"/>
        <v>48</v>
      </c>
      <c r="B56" s="2" t="s">
        <v>52</v>
      </c>
      <c r="E56" s="11">
        <f>E42-E52</f>
        <v>-1.247566509629098</v>
      </c>
      <c r="F56" s="11">
        <f t="shared" ref="F56:G56" si="14">F42-F52</f>
        <v>4.9395448587854496E-3</v>
      </c>
      <c r="G56" s="18">
        <f t="shared" si="14"/>
        <v>3.9968028886505635E-15</v>
      </c>
    </row>
    <row r="57" spans="1:7">
      <c r="A57" s="4">
        <f t="shared" si="0"/>
        <v>49</v>
      </c>
    </row>
    <row r="58" spans="1:7">
      <c r="A58" s="4">
        <f t="shared" si="0"/>
        <v>50</v>
      </c>
      <c r="F58" s="215" t="s">
        <v>48</v>
      </c>
      <c r="G58" s="215" t="s">
        <v>49</v>
      </c>
    </row>
    <row r="59" spans="1:7">
      <c r="A59" s="4">
        <f t="shared" si="0"/>
        <v>51</v>
      </c>
      <c r="B59" s="2" t="s">
        <v>452</v>
      </c>
      <c r="F59" s="223">
        <f>E49</f>
        <v>1951420.0687914316</v>
      </c>
      <c r="G59" s="224">
        <f>E55</f>
        <v>1943724.1962376919</v>
      </c>
    </row>
    <row r="60" spans="1:7">
      <c r="A60" s="4">
        <f t="shared" si="0"/>
        <v>52</v>
      </c>
      <c r="B60" s="2" t="s">
        <v>453</v>
      </c>
      <c r="F60" s="216">
        <f>F59/E9</f>
        <v>2.6650850090967355E-2</v>
      </c>
      <c r="G60" s="216">
        <f>G59/E9</f>
        <v>2.6545746351885727E-2</v>
      </c>
    </row>
    <row r="64" spans="1:7">
      <c r="G64" s="15"/>
    </row>
  </sheetData>
  <pageMargins left="0.7" right="0.7" top="0.75" bottom="0.75" header="0.3" footer="0.3"/>
  <pageSetup scale="79" orientation="portrait" r:id="rId1"/>
  <headerFooter>
    <oddFooter>&amp;RExhibit  JW-2
Page &amp;P of &amp;N</oddFooter>
  </headerFooter>
  <ignoredErrors>
    <ignoredError sqref="E7:G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M62"/>
  <sheetViews>
    <sheetView view="pageBreakPreview" topLeftCell="A30" zoomScaleNormal="100" zoomScaleSheetLayoutView="100" workbookViewId="0">
      <selection activeCell="L37" sqref="L37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3.33203125" style="2" customWidth="1"/>
    <col min="4" max="4" width="10.88671875" style="2" customWidth="1"/>
    <col min="5" max="5" width="4.109375" style="2" customWidth="1"/>
    <col min="6" max="6" width="16.6640625" style="2" customWidth="1"/>
    <col min="7" max="7" width="15.33203125" style="2" customWidth="1"/>
    <col min="8" max="11" width="12.5546875" style="2" customWidth="1"/>
    <col min="12" max="12" width="14.88671875" style="2" customWidth="1"/>
    <col min="13" max="16384" width="9.109375" style="2"/>
  </cols>
  <sheetData>
    <row r="1" spans="1:13">
      <c r="L1" s="20" t="s">
        <v>254</v>
      </c>
    </row>
    <row r="2" spans="1:13">
      <c r="L2" s="283" t="s">
        <v>455</v>
      </c>
    </row>
    <row r="3" spans="1:13">
      <c r="L3" s="20"/>
    </row>
    <row r="4" spans="1:13">
      <c r="A4" s="305" t="str">
        <f>RevReq!A1</f>
        <v>FLEMING-MASON ENERGY COOPERATIVE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3">
      <c r="A5" s="305" t="str">
        <f>RevReq!A3</f>
        <v>For the 12 Months Ended December 31, 2022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64"/>
    </row>
    <row r="6" spans="1:1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>
      <c r="A7" s="306" t="s">
        <v>255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9" spans="1:13" ht="39.6">
      <c r="A9" s="4" t="s">
        <v>5</v>
      </c>
      <c r="C9" s="4" t="s">
        <v>103</v>
      </c>
      <c r="D9" s="4" t="s">
        <v>104</v>
      </c>
      <c r="E9" s="4"/>
      <c r="F9" s="22" t="s">
        <v>287</v>
      </c>
      <c r="G9" s="22" t="s">
        <v>288</v>
      </c>
      <c r="H9" s="22" t="s">
        <v>289</v>
      </c>
      <c r="I9" s="22" t="s">
        <v>290</v>
      </c>
      <c r="J9" s="22" t="s">
        <v>291</v>
      </c>
      <c r="K9" s="22" t="s">
        <v>292</v>
      </c>
      <c r="L9" s="4" t="s">
        <v>55</v>
      </c>
    </row>
    <row r="10" spans="1:13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 t="s">
        <v>11</v>
      </c>
      <c r="H10" s="65" t="s">
        <v>12</v>
      </c>
      <c r="I10" s="65" t="s">
        <v>46</v>
      </c>
      <c r="J10" s="65" t="s">
        <v>66</v>
      </c>
      <c r="K10" s="65" t="s">
        <v>67</v>
      </c>
      <c r="L10" s="65" t="s">
        <v>286</v>
      </c>
    </row>
    <row r="11" spans="1:13">
      <c r="A11" s="4"/>
    </row>
    <row r="12" spans="1:13">
      <c r="A12" s="4"/>
    </row>
    <row r="13" spans="1:13">
      <c r="A13" s="4">
        <v>1</v>
      </c>
      <c r="C13" s="4">
        <v>2022</v>
      </c>
      <c r="D13" s="4" t="s">
        <v>71</v>
      </c>
      <c r="E13" s="250"/>
      <c r="F13" s="7">
        <v>23869</v>
      </c>
      <c r="G13" s="7">
        <v>51</v>
      </c>
      <c r="H13" s="7">
        <v>524</v>
      </c>
      <c r="I13" s="7">
        <v>54</v>
      </c>
      <c r="J13" s="7">
        <v>304</v>
      </c>
      <c r="K13" s="7">
        <v>237</v>
      </c>
      <c r="L13" s="218"/>
    </row>
    <row r="14" spans="1:13">
      <c r="A14" s="4">
        <v>2</v>
      </c>
      <c r="C14" s="4">
        <v>2022</v>
      </c>
      <c r="D14" s="4" t="s">
        <v>72</v>
      </c>
      <c r="E14" s="250"/>
      <c r="F14" s="7">
        <v>23869</v>
      </c>
      <c r="G14" s="7">
        <v>50</v>
      </c>
      <c r="H14" s="7">
        <v>523</v>
      </c>
      <c r="I14" s="7">
        <v>54</v>
      </c>
      <c r="J14" s="7">
        <v>310</v>
      </c>
      <c r="K14" s="7">
        <v>235</v>
      </c>
    </row>
    <row r="15" spans="1:13">
      <c r="A15" s="4">
        <v>3</v>
      </c>
      <c r="C15" s="4">
        <v>2022</v>
      </c>
      <c r="D15" s="4" t="s">
        <v>73</v>
      </c>
      <c r="E15" s="250"/>
      <c r="F15" s="7">
        <v>23979</v>
      </c>
      <c r="G15" s="7">
        <v>52</v>
      </c>
      <c r="H15" s="7">
        <v>536</v>
      </c>
      <c r="I15" s="7">
        <v>56</v>
      </c>
      <c r="J15" s="7">
        <v>316</v>
      </c>
      <c r="K15" s="7">
        <v>238</v>
      </c>
    </row>
    <row r="16" spans="1:13">
      <c r="A16" s="4">
        <v>4</v>
      </c>
      <c r="C16" s="4">
        <v>2022</v>
      </c>
      <c r="D16" s="4" t="s">
        <v>74</v>
      </c>
      <c r="E16" s="250"/>
      <c r="F16" s="7">
        <v>23914</v>
      </c>
      <c r="G16" s="7">
        <v>51</v>
      </c>
      <c r="H16" s="7">
        <v>524</v>
      </c>
      <c r="I16" s="7">
        <v>58</v>
      </c>
      <c r="J16" s="7">
        <v>316</v>
      </c>
      <c r="K16" s="7">
        <v>242</v>
      </c>
    </row>
    <row r="17" spans="1:12">
      <c r="A17" s="4">
        <v>5</v>
      </c>
      <c r="C17" s="4">
        <v>2022</v>
      </c>
      <c r="D17" s="4" t="s">
        <v>75</v>
      </c>
      <c r="E17" s="250"/>
      <c r="F17" s="7">
        <v>24028</v>
      </c>
      <c r="G17" s="7">
        <v>51</v>
      </c>
      <c r="H17" s="7">
        <v>537</v>
      </c>
      <c r="I17" s="7">
        <v>60</v>
      </c>
      <c r="J17" s="7">
        <v>314</v>
      </c>
      <c r="K17" s="7">
        <v>240</v>
      </c>
    </row>
    <row r="18" spans="1:12">
      <c r="A18" s="4">
        <v>6</v>
      </c>
      <c r="C18" s="4">
        <v>2022</v>
      </c>
      <c r="D18" s="4" t="s">
        <v>76</v>
      </c>
      <c r="E18" s="250"/>
      <c r="F18" s="7">
        <v>23920</v>
      </c>
      <c r="G18" s="7">
        <v>51</v>
      </c>
      <c r="H18" s="7">
        <v>511</v>
      </c>
      <c r="I18" s="7">
        <v>60</v>
      </c>
      <c r="J18" s="7">
        <v>311</v>
      </c>
      <c r="K18" s="7">
        <v>242</v>
      </c>
    </row>
    <row r="19" spans="1:12">
      <c r="A19" s="4">
        <v>7</v>
      </c>
      <c r="C19" s="4">
        <v>2022</v>
      </c>
      <c r="D19" s="4" t="s">
        <v>77</v>
      </c>
      <c r="E19" s="250"/>
      <c r="F19" s="7">
        <v>24068</v>
      </c>
      <c r="G19" s="7">
        <v>53</v>
      </c>
      <c r="H19" s="7">
        <v>517</v>
      </c>
      <c r="I19" s="7">
        <v>63</v>
      </c>
      <c r="J19" s="7">
        <v>313</v>
      </c>
      <c r="K19" s="7">
        <v>242</v>
      </c>
    </row>
    <row r="20" spans="1:12">
      <c r="A20" s="4">
        <v>8</v>
      </c>
      <c r="C20" s="4">
        <v>2022</v>
      </c>
      <c r="D20" s="4" t="s">
        <v>78</v>
      </c>
      <c r="E20" s="250"/>
      <c r="F20" s="7">
        <v>24150</v>
      </c>
      <c r="G20" s="7">
        <v>51</v>
      </c>
      <c r="H20" s="7">
        <v>519</v>
      </c>
      <c r="I20" s="7">
        <v>64</v>
      </c>
      <c r="J20" s="7">
        <v>312</v>
      </c>
      <c r="K20" s="7">
        <v>243</v>
      </c>
    </row>
    <row r="21" spans="1:12">
      <c r="A21" s="4">
        <v>9</v>
      </c>
      <c r="C21" s="4">
        <v>2022</v>
      </c>
      <c r="D21" s="4" t="s">
        <v>79</v>
      </c>
      <c r="E21" s="250"/>
      <c r="F21" s="7">
        <v>24089</v>
      </c>
      <c r="G21" s="7">
        <v>52</v>
      </c>
      <c r="H21" s="7">
        <v>514</v>
      </c>
      <c r="I21" s="7">
        <v>65</v>
      </c>
      <c r="J21" s="7">
        <v>311</v>
      </c>
      <c r="K21" s="7">
        <v>244</v>
      </c>
    </row>
    <row r="22" spans="1:12">
      <c r="A22" s="4">
        <v>10</v>
      </c>
      <c r="C22" s="4">
        <v>2022</v>
      </c>
      <c r="D22" s="4" t="s">
        <v>80</v>
      </c>
      <c r="E22" s="250"/>
      <c r="F22" s="7">
        <v>24122</v>
      </c>
      <c r="G22" s="7">
        <v>51</v>
      </c>
      <c r="H22" s="7">
        <v>513</v>
      </c>
      <c r="I22" s="7">
        <v>66</v>
      </c>
      <c r="J22" s="7">
        <v>312</v>
      </c>
      <c r="K22" s="7">
        <v>246</v>
      </c>
    </row>
    <row r="23" spans="1:12">
      <c r="A23" s="4">
        <v>11</v>
      </c>
      <c r="C23" s="4">
        <v>2022</v>
      </c>
      <c r="D23" s="4" t="s">
        <v>81</v>
      </c>
      <c r="E23" s="250"/>
      <c r="F23" s="7">
        <v>24213</v>
      </c>
      <c r="G23" s="7">
        <v>50</v>
      </c>
      <c r="H23" s="7">
        <v>528</v>
      </c>
      <c r="I23" s="7">
        <v>67</v>
      </c>
      <c r="J23" s="7">
        <v>314</v>
      </c>
      <c r="K23" s="7">
        <v>249</v>
      </c>
    </row>
    <row r="24" spans="1:12">
      <c r="A24" s="4">
        <v>12</v>
      </c>
      <c r="C24" s="4">
        <v>2022</v>
      </c>
      <c r="D24" s="4" t="s">
        <v>82</v>
      </c>
      <c r="E24" s="250"/>
      <c r="F24" s="7">
        <v>24278</v>
      </c>
      <c r="G24" s="7">
        <v>50</v>
      </c>
      <c r="H24" s="7">
        <v>530</v>
      </c>
      <c r="I24" s="7">
        <v>66</v>
      </c>
      <c r="J24" s="7">
        <v>313</v>
      </c>
      <c r="K24" s="7">
        <v>247</v>
      </c>
    </row>
    <row r="25" spans="1:12">
      <c r="A25" s="4">
        <v>13</v>
      </c>
      <c r="C25" s="66" t="s">
        <v>256</v>
      </c>
      <c r="D25" s="8"/>
      <c r="E25" s="69"/>
      <c r="F25" s="9">
        <f t="shared" ref="F25:K25" si="0">ROUND(AVERAGE(F13:F24),0)</f>
        <v>24042</v>
      </c>
      <c r="G25" s="9">
        <f t="shared" si="0"/>
        <v>51</v>
      </c>
      <c r="H25" s="9">
        <f t="shared" si="0"/>
        <v>523</v>
      </c>
      <c r="I25" s="9">
        <f t="shared" si="0"/>
        <v>61</v>
      </c>
      <c r="J25" s="9">
        <f t="shared" si="0"/>
        <v>312</v>
      </c>
      <c r="K25" s="9">
        <f t="shared" si="0"/>
        <v>242</v>
      </c>
    </row>
    <row r="26" spans="1:12">
      <c r="A26" s="4">
        <v>14</v>
      </c>
    </row>
    <row r="27" spans="1:12">
      <c r="A27" s="4">
        <v>15</v>
      </c>
      <c r="C27" s="264" t="s">
        <v>257</v>
      </c>
      <c r="E27" s="69"/>
      <c r="F27" s="17">
        <f>F24-F25</f>
        <v>236</v>
      </c>
      <c r="G27" s="17">
        <f t="shared" ref="G27:H27" si="1">G24-G25</f>
        <v>-1</v>
      </c>
      <c r="H27" s="17">
        <f t="shared" si="1"/>
        <v>7</v>
      </c>
      <c r="I27" s="17">
        <f t="shared" ref="I27" si="2">I24-I25</f>
        <v>5</v>
      </c>
      <c r="J27" s="17">
        <f t="shared" ref="J27:K27" si="3">J24-J25</f>
        <v>1</v>
      </c>
      <c r="K27" s="17">
        <f t="shared" si="3"/>
        <v>5</v>
      </c>
    </row>
    <row r="28" spans="1:12">
      <c r="A28" s="4">
        <v>16</v>
      </c>
      <c r="D28" s="4"/>
      <c r="E28" s="69"/>
      <c r="F28" s="69"/>
      <c r="G28" s="69"/>
    </row>
    <row r="29" spans="1:12">
      <c r="A29" s="4">
        <v>17</v>
      </c>
      <c r="C29" s="2" t="s">
        <v>258</v>
      </c>
      <c r="D29" s="4"/>
      <c r="E29" s="69"/>
      <c r="F29" s="17">
        <v>308135777</v>
      </c>
      <c r="G29" s="17">
        <v>909510</v>
      </c>
      <c r="H29" s="17">
        <v>7907545</v>
      </c>
      <c r="I29" s="17">
        <v>796690</v>
      </c>
      <c r="J29" s="17">
        <v>920624</v>
      </c>
      <c r="K29" s="17">
        <v>18017225</v>
      </c>
    </row>
    <row r="30" spans="1:12">
      <c r="A30" s="4">
        <v>18</v>
      </c>
      <c r="C30" s="2" t="s">
        <v>259</v>
      </c>
      <c r="D30" s="4"/>
      <c r="E30" s="69"/>
      <c r="F30" s="17">
        <f>F29/F25</f>
        <v>12816.561725314034</v>
      </c>
      <c r="G30" s="17">
        <f t="shared" ref="G30:H30" si="4">G29/G25</f>
        <v>17833.529411764706</v>
      </c>
      <c r="H30" s="17">
        <f t="shared" si="4"/>
        <v>15119.588910133843</v>
      </c>
      <c r="I30" s="17">
        <f t="shared" ref="I30" si="5">I29/I25</f>
        <v>13060.491803278688</v>
      </c>
      <c r="J30" s="17">
        <f t="shared" ref="J30:K30" si="6">J29/J25</f>
        <v>2950.7179487179487</v>
      </c>
      <c r="K30" s="17">
        <f t="shared" si="6"/>
        <v>74451.342975206615</v>
      </c>
    </row>
    <row r="31" spans="1:12">
      <c r="A31" s="4">
        <v>19</v>
      </c>
      <c r="C31" s="2" t="s">
        <v>260</v>
      </c>
      <c r="D31" s="4"/>
      <c r="E31" s="69"/>
      <c r="F31" s="17">
        <f>F30*F27</f>
        <v>3024708.567174112</v>
      </c>
      <c r="G31" s="17">
        <f t="shared" ref="G31:H31" si="7">G30*G27</f>
        <v>-17833.529411764706</v>
      </c>
      <c r="H31" s="17">
        <f t="shared" si="7"/>
        <v>105837.12237093691</v>
      </c>
      <c r="I31" s="17">
        <f t="shared" ref="I31" si="8">I30*I27</f>
        <v>65302.459016393441</v>
      </c>
      <c r="J31" s="17">
        <f t="shared" ref="J31:K31" si="9">J30*J27</f>
        <v>2950.7179487179487</v>
      </c>
      <c r="K31" s="17">
        <f t="shared" si="9"/>
        <v>372256.71487603307</v>
      </c>
      <c r="L31" s="218">
        <f>SUM(F31:K31)</f>
        <v>3553222.0519744284</v>
      </c>
    </row>
    <row r="32" spans="1:12">
      <c r="A32" s="4">
        <v>20</v>
      </c>
      <c r="D32" s="4"/>
      <c r="E32" s="69"/>
      <c r="F32" s="69"/>
      <c r="G32" s="69"/>
    </row>
    <row r="33" spans="1:12">
      <c r="A33" s="4"/>
      <c r="C33" s="2" t="s">
        <v>261</v>
      </c>
      <c r="D33" s="4"/>
      <c r="E33" s="69"/>
      <c r="F33" s="69"/>
      <c r="G33" s="69"/>
    </row>
    <row r="34" spans="1:12">
      <c r="A34" s="4">
        <v>21</v>
      </c>
      <c r="C34" s="1" t="s">
        <v>262</v>
      </c>
      <c r="D34" s="4"/>
      <c r="E34" s="69"/>
      <c r="F34" s="69"/>
      <c r="G34" s="69"/>
    </row>
    <row r="35" spans="1:12">
      <c r="A35" s="4">
        <v>22</v>
      </c>
      <c r="C35" s="2" t="s">
        <v>263</v>
      </c>
      <c r="D35" s="4"/>
      <c r="E35" s="69"/>
      <c r="F35" s="285">
        <v>30159639.654100001</v>
      </c>
      <c r="G35" s="285">
        <v>75292.505190000011</v>
      </c>
      <c r="H35" s="279">
        <v>787795.81850000005</v>
      </c>
      <c r="I35" s="279">
        <v>77777.087</v>
      </c>
      <c r="J35" s="279">
        <v>132682.60482000001</v>
      </c>
      <c r="K35" s="279">
        <v>1839787.0995</v>
      </c>
    </row>
    <row r="36" spans="1:12">
      <c r="A36" s="4">
        <v>23</v>
      </c>
      <c r="C36" s="2" t="s">
        <v>264</v>
      </c>
      <c r="D36" s="4"/>
      <c r="E36" s="69"/>
      <c r="F36" s="265">
        <f>F35/F29</f>
        <v>9.7877760082692375E-2</v>
      </c>
      <c r="G36" s="265">
        <f t="shared" ref="G36:H36" si="10">G35/G29</f>
        <v>8.2783592472870024E-2</v>
      </c>
      <c r="H36" s="265">
        <f t="shared" si="10"/>
        <v>9.9625840700242621E-2</v>
      </c>
      <c r="I36" s="265">
        <f t="shared" ref="I36" si="11">I35/I29</f>
        <v>9.7625283359901588E-2</v>
      </c>
      <c r="J36" s="265">
        <f t="shared" ref="J36:K36" si="12">J35/J29</f>
        <v>0.14412246999860964</v>
      </c>
      <c r="K36" s="265">
        <f t="shared" si="12"/>
        <v>0.10211267825650176</v>
      </c>
    </row>
    <row r="37" spans="1:12">
      <c r="A37" s="4">
        <v>24</v>
      </c>
      <c r="C37" s="2" t="s">
        <v>265</v>
      </c>
      <c r="D37" s="4"/>
      <c r="E37" s="69"/>
      <c r="F37" s="69">
        <f>F36*F31</f>
        <v>296051.69945793191</v>
      </c>
      <c r="G37" s="69">
        <f t="shared" ref="G37:H37" si="13">G36*G31</f>
        <v>-1476.3236311764708</v>
      </c>
      <c r="H37" s="69">
        <f t="shared" si="13"/>
        <v>10544.112293499045</v>
      </c>
      <c r="I37" s="69">
        <f t="shared" ref="I37" si="14">I36*I31</f>
        <v>6375.1710655737697</v>
      </c>
      <c r="J37" s="69">
        <f t="shared" ref="J37:K37" si="15">J36*J31</f>
        <v>425.26475903846153</v>
      </c>
      <c r="K37" s="69">
        <f t="shared" si="15"/>
        <v>38012.130154958679</v>
      </c>
      <c r="L37" s="218">
        <f>SUM(F37:K37)</f>
        <v>349932.05409982539</v>
      </c>
    </row>
    <row r="38" spans="1:12">
      <c r="A38" s="4">
        <v>25</v>
      </c>
      <c r="D38" s="4"/>
      <c r="E38" s="69"/>
      <c r="F38" s="69"/>
      <c r="G38" s="69"/>
      <c r="H38" s="69"/>
      <c r="I38" s="69"/>
      <c r="J38" s="69"/>
      <c r="K38" s="69"/>
    </row>
    <row r="39" spans="1:12">
      <c r="A39" s="4">
        <v>26</v>
      </c>
      <c r="C39" s="1" t="s">
        <v>266</v>
      </c>
      <c r="D39" s="4"/>
      <c r="E39" s="69"/>
      <c r="F39" s="69"/>
      <c r="G39" s="69"/>
      <c r="H39" s="69"/>
      <c r="I39" s="69"/>
      <c r="J39" s="69"/>
      <c r="K39" s="69"/>
    </row>
    <row r="40" spans="1:12">
      <c r="A40" s="4">
        <v>27</v>
      </c>
      <c r="C40" s="2" t="s">
        <v>267</v>
      </c>
      <c r="D40" s="4"/>
      <c r="E40" s="69"/>
      <c r="F40" s="266">
        <f>G56/G57</f>
        <v>5.8334485077380996E-2</v>
      </c>
      <c r="G40" s="266">
        <f>F40</f>
        <v>5.8334485077380996E-2</v>
      </c>
      <c r="H40" s="266">
        <f t="shared" ref="H40:K40" si="16">G40</f>
        <v>5.8334485077380996E-2</v>
      </c>
      <c r="I40" s="266">
        <f t="shared" si="16"/>
        <v>5.8334485077380996E-2</v>
      </c>
      <c r="J40" s="266">
        <f t="shared" si="16"/>
        <v>5.8334485077380996E-2</v>
      </c>
      <c r="K40" s="266">
        <f t="shared" si="16"/>
        <v>5.8334485077380996E-2</v>
      </c>
    </row>
    <row r="41" spans="1:12">
      <c r="A41" s="4">
        <v>28</v>
      </c>
      <c r="C41" s="2" t="s">
        <v>268</v>
      </c>
      <c r="D41" s="4"/>
      <c r="E41" s="69"/>
      <c r="F41" s="69">
        <f>F40*F31</f>
        <v>176444.81677524469</v>
      </c>
      <c r="G41" s="69">
        <f>G40*G31</f>
        <v>-1040.3097553476234</v>
      </c>
      <c r="H41" s="69">
        <f t="shared" ref="H41:K41" si="17">H40*H31</f>
        <v>6173.9540355803656</v>
      </c>
      <c r="I41" s="69">
        <f t="shared" si="17"/>
        <v>3809.3853210080874</v>
      </c>
      <c r="J41" s="69">
        <f t="shared" si="17"/>
        <v>172.12861214704745</v>
      </c>
      <c r="K41" s="69">
        <f t="shared" si="17"/>
        <v>21715.403778890824</v>
      </c>
      <c r="L41" s="218">
        <f>SUM(F41:K41)</f>
        <v>207275.37876752339</v>
      </c>
    </row>
    <row r="42" spans="1:12" ht="13.8" thickBot="1">
      <c r="A42" s="4">
        <v>29</v>
      </c>
      <c r="C42" s="267"/>
      <c r="D42" s="268"/>
      <c r="E42" s="269"/>
      <c r="F42" s="269"/>
      <c r="G42" s="269"/>
      <c r="H42" s="269"/>
      <c r="I42" s="269"/>
      <c r="J42" s="269"/>
      <c r="K42" s="269"/>
      <c r="L42" s="267"/>
    </row>
    <row r="43" spans="1:12" ht="13.8" thickTop="1">
      <c r="A43" s="4">
        <v>30</v>
      </c>
      <c r="D43" s="4"/>
      <c r="E43" s="69"/>
    </row>
    <row r="44" spans="1:12">
      <c r="A44" s="4">
        <v>31</v>
      </c>
      <c r="E44" s="69"/>
      <c r="F44" s="270" t="s">
        <v>269</v>
      </c>
      <c r="G44" s="270" t="s">
        <v>106</v>
      </c>
    </row>
    <row r="45" spans="1:12">
      <c r="A45" s="4">
        <v>32</v>
      </c>
      <c r="C45" s="2" t="s">
        <v>108</v>
      </c>
      <c r="E45" s="69"/>
      <c r="F45" s="69">
        <v>0</v>
      </c>
      <c r="G45" s="69">
        <v>0</v>
      </c>
    </row>
    <row r="46" spans="1:12">
      <c r="A46" s="4">
        <v>33</v>
      </c>
      <c r="E46" s="69"/>
      <c r="F46" s="69"/>
    </row>
    <row r="47" spans="1:12">
      <c r="A47" s="4">
        <v>34</v>
      </c>
      <c r="C47" s="2" t="s">
        <v>109</v>
      </c>
      <c r="E47" s="250"/>
      <c r="F47" s="250">
        <f>L37</f>
        <v>349932.05409982539</v>
      </c>
      <c r="G47" s="250">
        <f>L41</f>
        <v>207275.37876752339</v>
      </c>
    </row>
    <row r="48" spans="1:12">
      <c r="A48" s="4">
        <v>35</v>
      </c>
    </row>
    <row r="49" spans="1:12" ht="13.8" thickBot="1">
      <c r="A49" s="4">
        <v>36</v>
      </c>
      <c r="C49" s="13" t="s">
        <v>8</v>
      </c>
      <c r="D49" s="13"/>
      <c r="E49" s="70"/>
      <c r="F49" s="271">
        <f>ROUND(F47-F45,2)</f>
        <v>349932.05</v>
      </c>
      <c r="G49" s="271">
        <f>ROUND(G47-G45,2)</f>
        <v>207275.38</v>
      </c>
    </row>
    <row r="50" spans="1:12" ht="13.8" thickTop="1">
      <c r="A50" s="4">
        <v>37</v>
      </c>
    </row>
    <row r="51" spans="1:12">
      <c r="A51" s="4">
        <v>38</v>
      </c>
    </row>
    <row r="52" spans="1:12">
      <c r="A52" s="4">
        <v>39</v>
      </c>
      <c r="C52" s="29" t="s">
        <v>270</v>
      </c>
      <c r="G52" s="272" t="s">
        <v>271</v>
      </c>
    </row>
    <row r="53" spans="1:12">
      <c r="A53" s="4">
        <v>40</v>
      </c>
      <c r="C53" s="2" t="s">
        <v>272</v>
      </c>
      <c r="D53" s="4"/>
      <c r="E53" s="69"/>
      <c r="G53" s="69">
        <v>80627507</v>
      </c>
    </row>
    <row r="54" spans="1:12">
      <c r="A54" s="4">
        <v>41</v>
      </c>
      <c r="C54" s="2" t="s">
        <v>273</v>
      </c>
      <c r="D54" s="4"/>
      <c r="E54" s="69"/>
      <c r="G54" s="69">
        <f>-'1.01 FAC'!H25</f>
        <v>-11162273</v>
      </c>
    </row>
    <row r="55" spans="1:12">
      <c r="A55" s="4">
        <v>42</v>
      </c>
      <c r="C55" s="2" t="s">
        <v>274</v>
      </c>
      <c r="D55" s="4"/>
      <c r="E55" s="69"/>
      <c r="G55" s="69">
        <f>-'1.02 ES'!H25</f>
        <v>-9613093</v>
      </c>
    </row>
    <row r="56" spans="1:12">
      <c r="A56" s="4">
        <v>44</v>
      </c>
      <c r="C56" s="2" t="s">
        <v>275</v>
      </c>
      <c r="D56" s="4"/>
      <c r="E56" s="69"/>
      <c r="G56" s="69">
        <f>SUM(G53:G55)</f>
        <v>59852141</v>
      </c>
    </row>
    <row r="57" spans="1:12">
      <c r="A57" s="4">
        <v>45</v>
      </c>
      <c r="C57" s="2" t="s">
        <v>276</v>
      </c>
      <c r="D57" s="4"/>
      <c r="E57" s="69"/>
      <c r="G57" s="17">
        <v>1026016445</v>
      </c>
    </row>
    <row r="59" spans="1:12" ht="27.6" customHeight="1">
      <c r="C59" s="307" t="s">
        <v>277</v>
      </c>
      <c r="D59" s="307"/>
      <c r="E59" s="307"/>
      <c r="F59" s="307"/>
      <c r="G59" s="307"/>
      <c r="H59" s="307"/>
      <c r="I59" s="307"/>
      <c r="J59" s="307"/>
      <c r="K59" s="307"/>
      <c r="L59" s="307"/>
    </row>
    <row r="61" spans="1:12">
      <c r="G61" s="273"/>
    </row>
    <row r="62" spans="1:12">
      <c r="G62" s="218"/>
    </row>
  </sheetData>
  <mergeCells count="4">
    <mergeCell ref="C59:L59"/>
    <mergeCell ref="A4:L4"/>
    <mergeCell ref="A5:L5"/>
    <mergeCell ref="A7:L7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C10:G10 H10:K10 L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view="pageBreakPreview" zoomScale="60" zoomScaleNormal="100" workbookViewId="0">
      <selection activeCell="B64" sqref="B64"/>
    </sheetView>
  </sheetViews>
  <sheetFormatPr defaultColWidth="8.88671875" defaultRowHeight="13.2"/>
  <cols>
    <col min="1" max="1" width="5.44140625" style="30" customWidth="1"/>
    <col min="2" max="2" width="23.44140625" style="30" customWidth="1"/>
    <col min="3" max="3" width="7.6640625" style="30" customWidth="1"/>
    <col min="4" max="4" width="19.6640625" style="30" customWidth="1"/>
    <col min="5" max="10" width="18.109375" style="30" customWidth="1"/>
    <col min="11" max="11" width="10.5546875" style="30" bestFit="1" customWidth="1"/>
    <col min="12" max="16384" width="8.88671875" style="30"/>
  </cols>
  <sheetData>
    <row r="1" spans="1:11">
      <c r="D1" s="19" t="s">
        <v>155</v>
      </c>
    </row>
    <row r="2" spans="1:11">
      <c r="J2" s="19"/>
    </row>
    <row r="3" spans="1:11">
      <c r="J3" s="19"/>
    </row>
    <row r="4" spans="1:11">
      <c r="A4" s="308" t="str">
        <f>RevReq!A1</f>
        <v>FLEMING-MASON ENERGY COOPERATIVE</v>
      </c>
      <c r="B4" s="308"/>
      <c r="C4" s="308"/>
      <c r="D4" s="308"/>
      <c r="E4" s="27"/>
      <c r="F4" s="27"/>
      <c r="G4" s="27"/>
      <c r="H4" s="27"/>
      <c r="I4" s="27"/>
      <c r="J4" s="27"/>
    </row>
    <row r="5" spans="1:11">
      <c r="A5" s="308" t="str">
        <f>RevReq!A3</f>
        <v>For the 12 Months Ended December 31, 2022</v>
      </c>
      <c r="B5" s="308"/>
      <c r="C5" s="308"/>
      <c r="D5" s="308"/>
      <c r="E5" s="27"/>
      <c r="F5" s="27"/>
      <c r="G5" s="27"/>
      <c r="H5" s="27"/>
      <c r="I5" s="27"/>
      <c r="J5" s="27"/>
      <c r="K5" s="27"/>
    </row>
    <row r="6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306" t="s">
        <v>37</v>
      </c>
      <c r="B7" s="306"/>
      <c r="C7" s="306"/>
      <c r="D7" s="306"/>
      <c r="E7" s="29"/>
      <c r="F7" s="29"/>
      <c r="G7" s="29"/>
      <c r="H7" s="29"/>
      <c r="I7" s="29"/>
      <c r="J7" s="29"/>
    </row>
    <row r="9" spans="1:11" ht="13.8">
      <c r="A9" s="43"/>
      <c r="B9" s="32"/>
      <c r="C9" s="32"/>
      <c r="D9" s="62"/>
      <c r="E9" s="75"/>
      <c r="F9" s="75"/>
      <c r="G9" s="75"/>
      <c r="H9" s="75"/>
      <c r="I9" s="75"/>
      <c r="J9" s="75"/>
    </row>
    <row r="10" spans="1:11">
      <c r="A10" s="107" t="s">
        <v>10</v>
      </c>
      <c r="B10" s="82" t="s">
        <v>85</v>
      </c>
      <c r="C10" s="82" t="s">
        <v>95</v>
      </c>
      <c r="D10" s="109" t="s">
        <v>93</v>
      </c>
      <c r="E10" s="76"/>
      <c r="F10" s="76"/>
      <c r="G10" s="76"/>
      <c r="H10" s="76"/>
      <c r="I10" s="76"/>
      <c r="J10" s="76"/>
    </row>
    <row r="11" spans="1:11">
      <c r="A11" s="43">
        <v>1</v>
      </c>
      <c r="B11" s="30" t="s">
        <v>37</v>
      </c>
      <c r="C11" s="32"/>
      <c r="D11" s="108">
        <f>RevReq!C36</f>
        <v>2991660</v>
      </c>
      <c r="E11" s="74"/>
      <c r="F11" s="74"/>
      <c r="G11" s="74"/>
      <c r="H11" s="74"/>
      <c r="I11" s="74"/>
      <c r="J11" s="74"/>
      <c r="K11" s="74"/>
    </row>
    <row r="12" spans="1:11">
      <c r="A12" s="43">
        <f>+A11+1</f>
        <v>2</v>
      </c>
      <c r="C12" s="32"/>
      <c r="D12" s="108"/>
      <c r="E12" s="74"/>
      <c r="F12" s="74"/>
      <c r="G12" s="74"/>
      <c r="H12" s="74"/>
      <c r="I12" s="74"/>
      <c r="J12" s="74"/>
      <c r="K12" s="74"/>
    </row>
    <row r="13" spans="1:11">
      <c r="A13" s="43">
        <f t="shared" ref="A13:A15" si="0">+A12+1</f>
        <v>3</v>
      </c>
      <c r="B13" s="30" t="s">
        <v>83</v>
      </c>
      <c r="D13" s="108">
        <v>0</v>
      </c>
      <c r="E13" s="74"/>
      <c r="F13" s="74"/>
      <c r="G13" s="74"/>
      <c r="H13" s="74"/>
      <c r="I13" s="74"/>
      <c r="J13" s="74"/>
    </row>
    <row r="14" spans="1:11">
      <c r="A14" s="43">
        <f t="shared" si="0"/>
        <v>4</v>
      </c>
      <c r="D14" s="162"/>
      <c r="E14" s="74"/>
      <c r="F14" s="74"/>
      <c r="G14" s="74"/>
      <c r="H14" s="74"/>
      <c r="I14" s="74"/>
      <c r="J14" s="74"/>
    </row>
    <row r="15" spans="1:11">
      <c r="A15" s="43">
        <f t="shared" si="0"/>
        <v>5</v>
      </c>
      <c r="B15" s="30" t="s">
        <v>154</v>
      </c>
      <c r="D15" s="213">
        <f>D13-D11</f>
        <v>-2991660</v>
      </c>
      <c r="E15" s="78"/>
      <c r="F15" s="78"/>
      <c r="G15" s="78"/>
      <c r="H15" s="74"/>
      <c r="I15" s="74"/>
      <c r="J15" s="74"/>
      <c r="K15" s="74"/>
    </row>
    <row r="16" spans="1:11">
      <c r="B16" s="78"/>
      <c r="C16" s="78"/>
      <c r="D16" s="78"/>
      <c r="E16" s="78"/>
      <c r="F16" s="78"/>
      <c r="G16" s="78"/>
      <c r="H16" s="74"/>
      <c r="I16" s="74"/>
      <c r="J16" s="74"/>
    </row>
    <row r="17" spans="1:10">
      <c r="B17" s="78"/>
      <c r="C17" s="78"/>
      <c r="D17" s="78"/>
      <c r="E17" s="78"/>
      <c r="F17" s="78"/>
      <c r="G17" s="78"/>
      <c r="H17" s="74"/>
      <c r="I17" s="74"/>
      <c r="J17" s="74"/>
    </row>
    <row r="18" spans="1:10">
      <c r="A18" s="30" t="s">
        <v>278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>
      <c r="A19" s="30" t="s">
        <v>279</v>
      </c>
      <c r="B19" s="80"/>
      <c r="C19" s="80"/>
      <c r="D19" s="80"/>
      <c r="E19" s="80"/>
      <c r="F19" s="80"/>
    </row>
    <row r="20" spans="1:10">
      <c r="B20" s="80"/>
      <c r="C20" s="80"/>
      <c r="D20" s="80"/>
      <c r="E20" s="80"/>
      <c r="F20" s="80"/>
    </row>
    <row r="21" spans="1:10">
      <c r="A21" s="55"/>
      <c r="B21" s="81"/>
      <c r="C21" s="81"/>
      <c r="D21" s="81"/>
      <c r="E21" s="81"/>
      <c r="F21" s="81"/>
    </row>
    <row r="22" spans="1:10">
      <c r="B22" s="81"/>
      <c r="C22" s="81"/>
      <c r="D22" s="81"/>
      <c r="E22" s="81"/>
      <c r="F22" s="81"/>
    </row>
    <row r="23" spans="1:10">
      <c r="B23" s="81"/>
      <c r="C23" s="81"/>
      <c r="D23" s="81"/>
      <c r="E23" s="81"/>
      <c r="F23" s="81"/>
    </row>
    <row r="24" spans="1:10">
      <c r="B24" s="81"/>
      <c r="C24" s="81"/>
      <c r="D24" s="81"/>
      <c r="E24" s="81"/>
      <c r="F24" s="45"/>
    </row>
    <row r="25" spans="1:10">
      <c r="B25" s="81"/>
      <c r="C25" s="81"/>
      <c r="D25" s="81"/>
      <c r="E25" s="81"/>
      <c r="F25" s="81"/>
    </row>
    <row r="26" spans="1:10">
      <c r="B26" s="81"/>
      <c r="C26" s="81"/>
      <c r="D26" s="81"/>
      <c r="E26" s="81"/>
      <c r="F26" s="81"/>
    </row>
    <row r="27" spans="1:10">
      <c r="B27" s="81"/>
      <c r="C27" s="81"/>
      <c r="D27" s="81"/>
      <c r="E27" s="81"/>
      <c r="F27" s="81"/>
    </row>
    <row r="28" spans="1:10">
      <c r="B28" s="81"/>
      <c r="C28" s="81"/>
      <c r="D28" s="81"/>
      <c r="E28" s="81"/>
      <c r="F28" s="81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1 D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view="pageBreakPreview" topLeftCell="A6" zoomScaleNormal="100" zoomScaleSheetLayoutView="100" workbookViewId="0">
      <selection activeCell="B64" sqref="B64"/>
    </sheetView>
  </sheetViews>
  <sheetFormatPr defaultColWidth="8.88671875" defaultRowHeight="13.2"/>
  <cols>
    <col min="1" max="1" width="7.88671875" style="30" customWidth="1"/>
    <col min="2" max="2" width="37" style="30" bestFit="1" customWidth="1"/>
    <col min="3" max="3" width="14.6640625" style="30" customWidth="1"/>
    <col min="4" max="4" width="16.5546875" style="61" customWidth="1"/>
    <col min="5" max="16384" width="8.88671875" style="30"/>
  </cols>
  <sheetData>
    <row r="1" spans="1:15" ht="15" customHeight="1">
      <c r="A1" s="32"/>
      <c r="D1" s="19" t="s">
        <v>87</v>
      </c>
      <c r="E1" s="61" t="s">
        <v>57</v>
      </c>
      <c r="G1" s="19"/>
      <c r="L1" s="32"/>
      <c r="N1" s="19"/>
    </row>
    <row r="2" spans="1:15" ht="20.25" customHeight="1">
      <c r="F2" s="19"/>
      <c r="G2" s="19"/>
    </row>
    <row r="3" spans="1:15">
      <c r="F3" s="19"/>
      <c r="G3" s="19"/>
    </row>
    <row r="4" spans="1:15">
      <c r="A4" s="308" t="str">
        <f>RevReq!A1</f>
        <v>FLEMING-MASON ENERGY COOPERATIVE</v>
      </c>
      <c r="B4" s="308"/>
      <c r="C4" s="308"/>
      <c r="D4" s="308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308" t="str">
        <f>RevReq!A3</f>
        <v>For the 12 Months Ended December 31, 2022</v>
      </c>
      <c r="B5" s="308"/>
      <c r="C5" s="308"/>
      <c r="D5" s="308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5" s="28" customFormat="1" ht="15" customHeight="1">
      <c r="A7" s="306" t="s">
        <v>88</v>
      </c>
      <c r="B7" s="306"/>
      <c r="C7" s="306"/>
      <c r="D7" s="306"/>
      <c r="E7" s="29"/>
      <c r="F7" s="29"/>
      <c r="G7" s="29"/>
      <c r="H7" s="29"/>
      <c r="I7" s="29"/>
      <c r="J7" s="29"/>
      <c r="K7" s="29"/>
      <c r="L7" s="29"/>
      <c r="M7" s="29"/>
      <c r="N7" s="29"/>
    </row>
    <row r="10" spans="1:15">
      <c r="B10" s="77"/>
      <c r="C10" s="77"/>
      <c r="D10" s="164" t="s">
        <v>96</v>
      </c>
      <c r="E10" s="75"/>
      <c r="F10" s="75"/>
      <c r="G10" s="75"/>
      <c r="H10" s="75"/>
      <c r="I10" s="75"/>
      <c r="J10" s="75"/>
      <c r="K10" s="75"/>
      <c r="L10" s="75"/>
    </row>
    <row r="11" spans="1:15" s="56" customFormat="1">
      <c r="A11" s="32" t="s">
        <v>5</v>
      </c>
      <c r="B11" s="32" t="s">
        <v>85</v>
      </c>
      <c r="C11" s="32" t="s">
        <v>95</v>
      </c>
      <c r="D11" s="165" t="s">
        <v>93</v>
      </c>
      <c r="E11" s="75"/>
      <c r="F11" s="75"/>
      <c r="G11" s="75"/>
      <c r="H11" s="75"/>
      <c r="I11" s="75"/>
      <c r="J11" s="75"/>
      <c r="K11" s="75"/>
      <c r="L11" s="75"/>
    </row>
    <row r="12" spans="1:15" s="56" customFormat="1">
      <c r="A12" s="82" t="s">
        <v>10</v>
      </c>
      <c r="B12" s="60" t="s">
        <v>63</v>
      </c>
      <c r="C12" s="60" t="s">
        <v>64</v>
      </c>
      <c r="D12" s="63" t="s">
        <v>65</v>
      </c>
      <c r="E12" s="75"/>
      <c r="F12" s="75"/>
      <c r="G12" s="75"/>
      <c r="H12" s="75"/>
      <c r="I12" s="75"/>
      <c r="J12" s="75"/>
      <c r="K12" s="75"/>
      <c r="L12" s="75"/>
    </row>
    <row r="14" spans="1:15">
      <c r="A14" s="32">
        <v>1</v>
      </c>
      <c r="B14" s="30" t="s">
        <v>98</v>
      </c>
      <c r="C14" s="166">
        <v>426.1</v>
      </c>
      <c r="D14" s="42">
        <v>-14585.39</v>
      </c>
    </row>
    <row r="15" spans="1:15">
      <c r="A15" s="32">
        <f>A14+1</f>
        <v>2</v>
      </c>
      <c r="B15" s="30" t="s">
        <v>294</v>
      </c>
      <c r="C15" s="166">
        <v>930.5</v>
      </c>
      <c r="D15" s="42">
        <v>-2879.8</v>
      </c>
    </row>
    <row r="16" spans="1:15" hidden="1">
      <c r="A16" s="32">
        <f t="shared" ref="A16:A29" si="0">A15+1</f>
        <v>3</v>
      </c>
      <c r="B16" s="30" t="str">
        <f>B15</f>
        <v>Media Advertising</v>
      </c>
      <c r="C16" s="166"/>
      <c r="D16" s="42"/>
    </row>
    <row r="17" spans="1:4" hidden="1">
      <c r="A17" s="32">
        <f t="shared" si="0"/>
        <v>4</v>
      </c>
      <c r="B17" s="30" t="str">
        <f t="shared" ref="B17:B18" si="1">B16</f>
        <v>Media Advertising</v>
      </c>
      <c r="C17" s="166"/>
      <c r="D17" s="42"/>
    </row>
    <row r="18" spans="1:4" hidden="1">
      <c r="A18" s="32">
        <f t="shared" si="0"/>
        <v>5</v>
      </c>
      <c r="B18" s="30" t="str">
        <f t="shared" si="1"/>
        <v>Media Advertising</v>
      </c>
      <c r="C18" s="166"/>
      <c r="D18" s="42"/>
    </row>
    <row r="19" spans="1:4" hidden="1">
      <c r="A19" s="32">
        <f t="shared" si="0"/>
        <v>6</v>
      </c>
      <c r="B19" s="30" t="s">
        <v>295</v>
      </c>
      <c r="C19" s="166"/>
      <c r="D19" s="42"/>
    </row>
    <row r="20" spans="1:4">
      <c r="A20" s="32">
        <f t="shared" si="0"/>
        <v>7</v>
      </c>
      <c r="B20" s="30" t="s">
        <v>99</v>
      </c>
      <c r="C20" s="166">
        <v>930.2</v>
      </c>
      <c r="D20" s="42">
        <v>-31239.01</v>
      </c>
    </row>
    <row r="21" spans="1:4">
      <c r="A21" s="32">
        <f t="shared" si="0"/>
        <v>8</v>
      </c>
      <c r="B21" s="30" t="s">
        <v>296</v>
      </c>
      <c r="C21" s="166">
        <v>930.2</v>
      </c>
      <c r="D21" s="42">
        <v>-6963.13</v>
      </c>
    </row>
    <row r="22" spans="1:4">
      <c r="A22" s="32">
        <f t="shared" si="0"/>
        <v>9</v>
      </c>
      <c r="B22" s="30" t="s">
        <v>297</v>
      </c>
      <c r="C22" s="166">
        <v>930.5</v>
      </c>
      <c r="D22" s="42">
        <f>-28206.06+-9522.34</f>
        <v>-37728.400000000001</v>
      </c>
    </row>
    <row r="23" spans="1:4">
      <c r="A23" s="32">
        <f t="shared" si="0"/>
        <v>10</v>
      </c>
      <c r="B23" s="30" t="s">
        <v>298</v>
      </c>
      <c r="C23" s="166">
        <v>930.5</v>
      </c>
      <c r="D23" s="42">
        <f>-475+-150+-2755.23</f>
        <v>-3380.23</v>
      </c>
    </row>
    <row r="24" spans="1:4">
      <c r="A24" s="32">
        <f t="shared" si="0"/>
        <v>11</v>
      </c>
      <c r="B24" s="30" t="s">
        <v>299</v>
      </c>
      <c r="C24" s="166">
        <v>930.5</v>
      </c>
      <c r="D24" s="42">
        <v>-250</v>
      </c>
    </row>
    <row r="25" spans="1:4">
      <c r="A25" s="32">
        <f t="shared" si="0"/>
        <v>12</v>
      </c>
      <c r="B25" s="30" t="s">
        <v>300</v>
      </c>
      <c r="C25" s="166">
        <v>165.2</v>
      </c>
      <c r="D25" s="42">
        <v>-33648</v>
      </c>
    </row>
    <row r="26" spans="1:4">
      <c r="A26" s="32">
        <f t="shared" si="0"/>
        <v>13</v>
      </c>
      <c r="B26" s="30" t="s">
        <v>301</v>
      </c>
      <c r="C26" s="166">
        <v>588.20000000000005</v>
      </c>
      <c r="D26" s="42">
        <f>-320.23+-300</f>
        <v>-620.23</v>
      </c>
    </row>
    <row r="27" spans="1:4">
      <c r="A27" s="32">
        <f t="shared" si="0"/>
        <v>14</v>
      </c>
      <c r="B27" s="30" t="str">
        <f>B26</f>
        <v>KAEC dues</v>
      </c>
      <c r="C27" s="166">
        <v>165.2</v>
      </c>
      <c r="D27" s="42">
        <f>-61724.41+12031</f>
        <v>-49693.41</v>
      </c>
    </row>
    <row r="28" spans="1:4">
      <c r="A28" s="32">
        <f t="shared" si="0"/>
        <v>15</v>
      </c>
      <c r="B28" s="30" t="s">
        <v>302</v>
      </c>
      <c r="C28" s="166">
        <v>930.2</v>
      </c>
      <c r="D28" s="42">
        <v>-10000</v>
      </c>
    </row>
    <row r="29" spans="1:4">
      <c r="A29" s="32">
        <f t="shared" si="0"/>
        <v>16</v>
      </c>
      <c r="B29" s="30" t="s">
        <v>97</v>
      </c>
      <c r="C29" s="166">
        <v>930.5</v>
      </c>
      <c r="D29" s="42">
        <v>-513.35</v>
      </c>
    </row>
    <row r="30" spans="1:4">
      <c r="A30" s="32">
        <f t="shared" ref="A30" si="2">A29+1</f>
        <v>17</v>
      </c>
      <c r="B30" s="54" t="s">
        <v>55</v>
      </c>
      <c r="C30" s="54"/>
      <c r="D30" s="167">
        <f>SUM(D14:D29)</f>
        <v>-191500.95</v>
      </c>
    </row>
    <row r="33" spans="2:10" ht="46.2" customHeight="1">
      <c r="B33" s="309" t="s">
        <v>100</v>
      </c>
      <c r="C33" s="309"/>
      <c r="D33" s="309"/>
      <c r="E33" s="81"/>
      <c r="F33" s="81"/>
      <c r="G33" s="81"/>
      <c r="H33" s="81"/>
      <c r="I33" s="81"/>
      <c r="J33" s="81"/>
    </row>
  </sheetData>
  <sortState xmlns:xlrd2="http://schemas.microsoft.com/office/spreadsheetml/2017/richdata2" ref="A14:R28">
    <sortCondition ref="B14:B28"/>
  </sortState>
  <mergeCells count="4"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2:D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4"/>
  <sheetViews>
    <sheetView view="pageBreakPreview" zoomScale="75" zoomScaleNormal="100" zoomScaleSheetLayoutView="75" workbookViewId="0">
      <selection activeCell="B64" sqref="B64"/>
    </sheetView>
  </sheetViews>
  <sheetFormatPr defaultColWidth="9.109375" defaultRowHeight="13.2"/>
  <cols>
    <col min="1" max="1" width="5.33203125" style="30" customWidth="1"/>
    <col min="2" max="2" width="39.5546875" style="30" bestFit="1" customWidth="1"/>
    <col min="3" max="3" width="12.6640625" style="30" bestFit="1" customWidth="1"/>
    <col min="4" max="5" width="9.6640625" style="30" bestFit="1" customWidth="1"/>
    <col min="6" max="6" width="12" style="30" bestFit="1" customWidth="1"/>
    <col min="7" max="7" width="9.6640625" style="30" bestFit="1" customWidth="1"/>
    <col min="8" max="8" width="12.109375" style="30" customWidth="1"/>
    <col min="9" max="9" width="9.5546875" style="30" bestFit="1" customWidth="1"/>
    <col min="10" max="10" width="11.6640625" style="30" bestFit="1" customWidth="1"/>
    <col min="11" max="11" width="13.109375" style="30" customWidth="1"/>
    <col min="12" max="12" width="13.109375" style="30" bestFit="1" customWidth="1"/>
    <col min="13" max="16384" width="9.109375" style="30"/>
  </cols>
  <sheetData>
    <row r="1" spans="1:14">
      <c r="K1" s="19" t="s">
        <v>84</v>
      </c>
    </row>
    <row r="2" spans="1:14">
      <c r="K2" s="19"/>
    </row>
    <row r="3" spans="1:14">
      <c r="K3" s="19"/>
    </row>
    <row r="4" spans="1:14">
      <c r="A4" s="308" t="s">
        <v>310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14">
      <c r="A5" s="308" t="s">
        <v>284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27"/>
    </row>
    <row r="6" spans="1:1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>
      <c r="A7" s="306" t="s">
        <v>165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</row>
    <row r="9" spans="1:14">
      <c r="A9" s="72" t="s">
        <v>10</v>
      </c>
      <c r="B9" s="82" t="s">
        <v>85</v>
      </c>
      <c r="C9" s="82" t="s">
        <v>374</v>
      </c>
      <c r="D9" s="82" t="s">
        <v>375</v>
      </c>
      <c r="E9" s="82" t="s">
        <v>376</v>
      </c>
      <c r="F9" s="82" t="s">
        <v>377</v>
      </c>
      <c r="G9" s="82" t="s">
        <v>378</v>
      </c>
      <c r="H9" s="82" t="s">
        <v>379</v>
      </c>
      <c r="I9" s="82" t="s">
        <v>380</v>
      </c>
      <c r="J9" s="82"/>
      <c r="K9" s="82" t="s">
        <v>55</v>
      </c>
    </row>
    <row r="10" spans="1:14">
      <c r="A10" s="43">
        <v>1</v>
      </c>
      <c r="B10" s="30" t="s">
        <v>381</v>
      </c>
      <c r="C10" s="45"/>
      <c r="D10" s="45">
        <v>0</v>
      </c>
      <c r="E10" s="45">
        <f>2594.71+335.57</f>
        <v>2930.28</v>
      </c>
      <c r="F10" s="45">
        <v>0</v>
      </c>
      <c r="G10" s="45">
        <v>0</v>
      </c>
      <c r="H10" s="45">
        <f>2171.14+335.57</f>
        <v>2506.71</v>
      </c>
      <c r="I10" s="45">
        <v>0</v>
      </c>
      <c r="J10" s="45"/>
      <c r="K10" s="45">
        <f>SUM(C10:J10)</f>
        <v>5436.99</v>
      </c>
      <c r="M10" s="42"/>
      <c r="N10" s="42"/>
    </row>
    <row r="11" spans="1:14">
      <c r="A11" s="43">
        <v>2</v>
      </c>
      <c r="B11" s="30" t="s">
        <v>382</v>
      </c>
      <c r="C11" s="45"/>
      <c r="D11" s="45">
        <v>1410.5</v>
      </c>
      <c r="E11" s="45">
        <v>1438.7</v>
      </c>
      <c r="F11" s="45">
        <v>500</v>
      </c>
      <c r="G11" s="45">
        <v>0</v>
      </c>
      <c r="H11" s="45"/>
      <c r="I11" s="45">
        <v>500</v>
      </c>
      <c r="J11" s="45"/>
      <c r="K11" s="45">
        <f>SUM(C11:J11)</f>
        <v>3849.2</v>
      </c>
      <c r="M11" s="42"/>
      <c r="N11" s="42"/>
    </row>
    <row r="12" spans="1:14">
      <c r="A12" s="43">
        <v>3</v>
      </c>
      <c r="B12" s="30" t="s">
        <v>383</v>
      </c>
      <c r="C12" s="45">
        <v>1341.07</v>
      </c>
      <c r="D12" s="45">
        <v>1175.45</v>
      </c>
      <c r="E12" s="45">
        <v>1403.33</v>
      </c>
      <c r="F12" s="180">
        <v>3066.17</v>
      </c>
      <c r="G12" s="180">
        <v>3091.25</v>
      </c>
      <c r="H12" s="45">
        <v>1383.57</v>
      </c>
      <c r="I12" s="45">
        <v>1197.32</v>
      </c>
      <c r="J12" s="45">
        <v>0</v>
      </c>
      <c r="K12" s="45">
        <f>SUM(C12:J12)</f>
        <v>12658.16</v>
      </c>
      <c r="M12" s="42"/>
      <c r="N12" s="42"/>
    </row>
    <row r="13" spans="1:14">
      <c r="A13" s="43">
        <v>4</v>
      </c>
      <c r="B13" s="30" t="s">
        <v>384</v>
      </c>
      <c r="C13" s="180">
        <v>515.63</v>
      </c>
      <c r="D13" s="45">
        <v>0</v>
      </c>
      <c r="E13" s="45">
        <v>0</v>
      </c>
      <c r="F13" s="45"/>
      <c r="G13" s="45">
        <v>0</v>
      </c>
      <c r="H13" s="45">
        <v>0</v>
      </c>
      <c r="I13" s="45">
        <v>0</v>
      </c>
      <c r="J13" s="45">
        <v>0</v>
      </c>
      <c r="K13" s="45">
        <f>SUM(C13:J13)</f>
        <v>515.63</v>
      </c>
      <c r="M13" s="42"/>
      <c r="N13" s="42"/>
    </row>
    <row r="14" spans="1:14">
      <c r="A14" s="43">
        <v>5</v>
      </c>
      <c r="B14" s="30" t="s">
        <v>385</v>
      </c>
      <c r="E14" s="30">
        <f>1890+516.32-258.16</f>
        <v>2148.1600000000003</v>
      </c>
      <c r="K14" s="45">
        <f t="shared" ref="K14:K15" si="0">SUM(C14:J14)</f>
        <v>2148.1600000000003</v>
      </c>
      <c r="M14" s="42"/>
      <c r="N14" s="42"/>
    </row>
    <row r="15" spans="1:14">
      <c r="A15" s="43">
        <v>6</v>
      </c>
      <c r="B15" s="30" t="s">
        <v>386</v>
      </c>
      <c r="D15" s="45">
        <v>725</v>
      </c>
      <c r="E15" s="45">
        <v>725</v>
      </c>
      <c r="H15" s="45">
        <v>1025</v>
      </c>
      <c r="K15" s="45">
        <f t="shared" si="0"/>
        <v>2475</v>
      </c>
      <c r="M15" s="42"/>
      <c r="N15" s="42"/>
    </row>
    <row r="16" spans="1:14">
      <c r="C16" s="45">
        <v>0</v>
      </c>
      <c r="D16" s="45">
        <v>0</v>
      </c>
      <c r="E16" s="45">
        <v>0</v>
      </c>
      <c r="F16" s="45"/>
      <c r="G16" s="45">
        <v>0</v>
      </c>
      <c r="H16" s="45">
        <v>0</v>
      </c>
      <c r="I16" s="45">
        <v>0</v>
      </c>
      <c r="J16" s="45">
        <v>0</v>
      </c>
      <c r="K16" s="45">
        <f t="shared" ref="K16:K18" si="1">SUM(C16:J16)</f>
        <v>0</v>
      </c>
      <c r="M16" s="42"/>
      <c r="N16" s="42"/>
    </row>
    <row r="17" spans="1:15">
      <c r="C17" s="45">
        <v>0</v>
      </c>
      <c r="D17" s="45">
        <v>0</v>
      </c>
      <c r="E17" s="45">
        <v>0</v>
      </c>
      <c r="F17" s="45"/>
      <c r="G17" s="45">
        <v>0</v>
      </c>
      <c r="H17" s="45">
        <v>0</v>
      </c>
      <c r="I17" s="45">
        <v>0</v>
      </c>
      <c r="J17" s="45">
        <v>0</v>
      </c>
      <c r="K17" s="45">
        <f t="shared" si="1"/>
        <v>0</v>
      </c>
      <c r="M17" s="42"/>
      <c r="N17" s="42"/>
    </row>
    <row r="18" spans="1:15">
      <c r="A18" s="43">
        <v>7</v>
      </c>
      <c r="B18" s="54" t="s">
        <v>387</v>
      </c>
      <c r="C18" s="181">
        <f t="shared" ref="C18:J18" si="2">SUM(C10:C17)</f>
        <v>1856.6999999999998</v>
      </c>
      <c r="D18" s="181">
        <f t="shared" si="2"/>
        <v>3310.95</v>
      </c>
      <c r="E18" s="181">
        <f t="shared" si="2"/>
        <v>8645.4700000000012</v>
      </c>
      <c r="F18" s="181">
        <f t="shared" si="2"/>
        <v>3566.17</v>
      </c>
      <c r="G18" s="181">
        <f t="shared" si="2"/>
        <v>3091.25</v>
      </c>
      <c r="H18" s="181">
        <f t="shared" si="2"/>
        <v>4915.28</v>
      </c>
      <c r="I18" s="181">
        <f t="shared" si="2"/>
        <v>1697.32</v>
      </c>
      <c r="J18" s="181">
        <f t="shared" si="2"/>
        <v>0</v>
      </c>
      <c r="K18" s="181">
        <f t="shared" si="1"/>
        <v>27083.14</v>
      </c>
      <c r="M18" s="42"/>
      <c r="N18" s="42"/>
    </row>
    <row r="19" spans="1:15">
      <c r="A19" s="43">
        <v>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M19" s="42"/>
      <c r="N19" s="42"/>
    </row>
    <row r="20" spans="1:15">
      <c r="A20" s="43">
        <v>9</v>
      </c>
      <c r="B20" s="53" t="s">
        <v>92</v>
      </c>
      <c r="C20" s="41" t="s">
        <v>93</v>
      </c>
      <c r="D20" s="45"/>
      <c r="E20" s="45"/>
      <c r="F20" s="45"/>
      <c r="G20" s="45"/>
      <c r="H20" s="45"/>
      <c r="I20" s="45"/>
      <c r="J20" s="45"/>
      <c r="K20" s="45"/>
      <c r="M20" s="42"/>
      <c r="N20" s="42"/>
    </row>
    <row r="21" spans="1:15">
      <c r="A21" s="43">
        <v>10</v>
      </c>
      <c r="B21" s="30" t="s">
        <v>388</v>
      </c>
      <c r="C21" s="45">
        <v>-1282.5999999999999</v>
      </c>
      <c r="D21" s="45"/>
      <c r="E21" s="45"/>
      <c r="F21" s="45"/>
      <c r="G21" s="45"/>
      <c r="I21" s="30" t="s">
        <v>108</v>
      </c>
      <c r="K21" s="42">
        <f>K18</f>
        <v>27083.14</v>
      </c>
      <c r="L21" s="42"/>
      <c r="M21" s="42"/>
      <c r="N21" s="42"/>
    </row>
    <row r="22" spans="1:15">
      <c r="A22" s="43">
        <v>11</v>
      </c>
      <c r="B22" s="30" t="s">
        <v>389</v>
      </c>
      <c r="C22" s="182">
        <f>-E10</f>
        <v>-2930.28</v>
      </c>
      <c r="D22" s="45"/>
      <c r="E22" s="45"/>
      <c r="K22" s="42"/>
      <c r="L22" s="42"/>
      <c r="M22" s="42"/>
      <c r="N22" s="42"/>
    </row>
    <row r="23" spans="1:15">
      <c r="A23" s="43">
        <v>12</v>
      </c>
      <c r="B23" s="30" t="s">
        <v>382</v>
      </c>
      <c r="C23" s="30">
        <v>0</v>
      </c>
      <c r="D23" s="45"/>
      <c r="E23" s="45"/>
      <c r="I23" s="30" t="s">
        <v>83</v>
      </c>
      <c r="K23" s="46">
        <f>K18+C26</f>
        <v>13894.52</v>
      </c>
      <c r="L23" s="42"/>
      <c r="M23" s="42"/>
      <c r="N23" s="42"/>
    </row>
    <row r="24" spans="1:15">
      <c r="A24" s="43">
        <v>13</v>
      </c>
      <c r="B24" s="30" t="s">
        <v>390</v>
      </c>
      <c r="C24" s="45">
        <f>-C12+-D12+-E12+-H12+-I12</f>
        <v>-6500.74</v>
      </c>
      <c r="D24" s="45"/>
      <c r="E24" s="45"/>
      <c r="K24" s="46"/>
    </row>
    <row r="25" spans="1:15" ht="13.8" thickBot="1">
      <c r="A25" s="43">
        <v>14</v>
      </c>
      <c r="B25" s="30" t="s">
        <v>386</v>
      </c>
      <c r="C25" s="45">
        <f>-K15</f>
        <v>-2475</v>
      </c>
      <c r="D25" s="45"/>
      <c r="E25" s="45"/>
      <c r="I25" s="47" t="s">
        <v>8</v>
      </c>
      <c r="J25" s="47"/>
      <c r="K25" s="48">
        <f>K23-K21</f>
        <v>-13188.619999999999</v>
      </c>
    </row>
    <row r="26" spans="1:15" ht="13.8" thickTop="1">
      <c r="A26" s="43">
        <v>15</v>
      </c>
      <c r="B26" s="54" t="s">
        <v>94</v>
      </c>
      <c r="C26" s="44">
        <f>SUM(C21:C25)</f>
        <v>-13188.619999999999</v>
      </c>
      <c r="D26" s="45"/>
      <c r="E26" s="45"/>
      <c r="F26" s="45"/>
      <c r="G26" s="45"/>
      <c r="H26" s="45"/>
      <c r="I26" s="45"/>
      <c r="J26" s="45"/>
      <c r="K26" s="45"/>
    </row>
    <row r="28" spans="1:15">
      <c r="B28" s="309" t="s">
        <v>391</v>
      </c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</row>
    <row r="29" spans="1:15">
      <c r="D29" s="45"/>
      <c r="E29" s="45"/>
      <c r="F29" s="45"/>
      <c r="G29" s="45"/>
      <c r="H29" s="45"/>
      <c r="I29" s="45"/>
      <c r="J29" s="45"/>
      <c r="K29" s="45"/>
    </row>
    <row r="30" spans="1:15">
      <c r="D30" s="45"/>
      <c r="E30" s="45"/>
      <c r="F30" s="45"/>
      <c r="G30" s="45"/>
      <c r="H30" s="45"/>
      <c r="I30" s="45"/>
      <c r="J30" s="45"/>
      <c r="K30" s="45"/>
    </row>
    <row r="31" spans="1:15">
      <c r="C31" s="45"/>
      <c r="D31" s="45"/>
      <c r="E31" s="45"/>
      <c r="F31" s="45"/>
      <c r="G31" s="45"/>
      <c r="H31" s="45"/>
      <c r="I31" s="45"/>
      <c r="J31" s="45"/>
      <c r="K31" s="45"/>
    </row>
    <row r="32" spans="1:15">
      <c r="C32" s="45"/>
      <c r="D32" s="45"/>
      <c r="E32" s="45"/>
      <c r="F32" s="45"/>
      <c r="G32" s="45"/>
      <c r="H32" s="45"/>
      <c r="I32" s="45"/>
      <c r="J32" s="45"/>
      <c r="K32" s="45"/>
    </row>
    <row r="33" spans="3:11">
      <c r="C33" s="45"/>
      <c r="D33" s="45"/>
      <c r="E33" s="45"/>
      <c r="F33" s="45"/>
      <c r="G33" s="45"/>
      <c r="H33" s="45"/>
      <c r="I33" s="45"/>
      <c r="J33" s="45"/>
      <c r="K33" s="45"/>
    </row>
    <row r="34" spans="3:11">
      <c r="C34" s="45"/>
      <c r="D34" s="45"/>
      <c r="E34" s="45"/>
      <c r="F34" s="45"/>
      <c r="G34" s="45"/>
      <c r="H34" s="45"/>
      <c r="I34" s="45"/>
      <c r="J34" s="45"/>
      <c r="K34" s="45"/>
    </row>
  </sheetData>
  <mergeCells count="4">
    <mergeCell ref="A4:K4"/>
    <mergeCell ref="A5:K5"/>
    <mergeCell ref="A7:K7"/>
    <mergeCell ref="B28:O28"/>
  </mergeCells>
  <printOptions horizontalCentered="1"/>
  <pageMargins left="0.7" right="0.7" top="0.75" bottom="0.75" header="0.3" footer="0.3"/>
  <pageSetup scale="84" orientation="landscape" r:id="rId1"/>
  <headerFooter>
    <oddFooter>&amp;RExhibit 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8"/>
  <sheetViews>
    <sheetView view="pageBreakPreview" zoomScale="75" zoomScaleNormal="100" zoomScaleSheetLayoutView="75" workbookViewId="0">
      <selection activeCell="B64" sqref="B64"/>
    </sheetView>
  </sheetViews>
  <sheetFormatPr defaultColWidth="8.88671875" defaultRowHeight="13.2"/>
  <cols>
    <col min="1" max="1" width="12.109375" style="30" customWidth="1"/>
    <col min="2" max="3" width="13.88671875" style="30" customWidth="1"/>
    <col min="4" max="4" width="14.6640625" style="30" bestFit="1" customWidth="1"/>
    <col min="5" max="5" width="15.33203125" style="30" bestFit="1" customWidth="1"/>
    <col min="6" max="6" width="3" style="30" customWidth="1"/>
    <col min="7" max="8" width="13.88671875" style="30" customWidth="1"/>
    <col min="9" max="9" width="15.33203125" style="30" bestFit="1" customWidth="1"/>
    <col min="10" max="10" width="25.109375" style="30" bestFit="1" customWidth="1"/>
    <col min="11" max="12" width="18.109375" style="30" customWidth="1"/>
    <col min="13" max="13" width="10.5546875" style="30" bestFit="1" customWidth="1"/>
    <col min="14" max="16384" width="8.88671875" style="30"/>
  </cols>
  <sheetData>
    <row r="1" spans="1:16">
      <c r="H1" s="19"/>
      <c r="J1" s="19" t="s">
        <v>416</v>
      </c>
    </row>
    <row r="2" spans="1:16" ht="20.25" customHeight="1">
      <c r="H2" s="19"/>
      <c r="I2" s="19"/>
    </row>
    <row r="3" spans="1:16">
      <c r="H3" s="19"/>
      <c r="I3" s="19"/>
    </row>
    <row r="4" spans="1:16" ht="15" customHeight="1">
      <c r="A4" s="308" t="s">
        <v>392</v>
      </c>
      <c r="B4" s="308"/>
      <c r="C4" s="308"/>
      <c r="D4" s="308"/>
      <c r="E4" s="308"/>
      <c r="F4" s="308"/>
      <c r="G4" s="308"/>
      <c r="H4" s="308"/>
      <c r="I4" s="308"/>
      <c r="J4" s="308"/>
      <c r="K4" s="27"/>
      <c r="L4" s="27"/>
      <c r="M4" s="27"/>
      <c r="N4" s="27"/>
      <c r="O4" s="27"/>
      <c r="P4" s="27"/>
    </row>
    <row r="5" spans="1:16" ht="15" customHeight="1">
      <c r="A5" s="308" t="s">
        <v>311</v>
      </c>
      <c r="B5" s="308"/>
      <c r="C5" s="308"/>
      <c r="D5" s="308"/>
      <c r="E5" s="308"/>
      <c r="F5" s="308"/>
      <c r="G5" s="308"/>
      <c r="H5" s="308"/>
      <c r="I5" s="308"/>
      <c r="J5" s="308"/>
    </row>
    <row r="7" spans="1:16" s="28" customFormat="1" ht="15" customHeight="1">
      <c r="A7" s="306" t="s">
        <v>54</v>
      </c>
      <c r="B7" s="306"/>
      <c r="C7" s="306"/>
      <c r="D7" s="306"/>
      <c r="E7" s="306"/>
      <c r="F7" s="306"/>
      <c r="G7" s="306"/>
      <c r="H7" s="306"/>
      <c r="I7" s="306"/>
      <c r="J7" s="306"/>
    </row>
    <row r="8" spans="1:16">
      <c r="A8" s="56"/>
      <c r="B8" s="56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6">
      <c r="A9" s="32" t="s">
        <v>393</v>
      </c>
      <c r="B9" s="310" t="s">
        <v>394</v>
      </c>
      <c r="C9" s="311"/>
      <c r="D9" s="311"/>
      <c r="E9" s="311"/>
      <c r="F9" s="85"/>
      <c r="G9" s="310" t="s">
        <v>395</v>
      </c>
      <c r="H9" s="311"/>
      <c r="I9" s="312"/>
      <c r="J9" s="77" t="s">
        <v>8</v>
      </c>
      <c r="K9" s="76"/>
      <c r="L9" s="76"/>
    </row>
    <row r="10" spans="1:16">
      <c r="A10" s="82" t="s">
        <v>396</v>
      </c>
      <c r="B10" s="82" t="s">
        <v>397</v>
      </c>
      <c r="C10" s="183" t="s">
        <v>398</v>
      </c>
      <c r="D10" s="184" t="s">
        <v>399</v>
      </c>
      <c r="E10" s="73" t="s">
        <v>400</v>
      </c>
      <c r="F10" s="184" t="s">
        <v>401</v>
      </c>
      <c r="G10" s="184" t="s">
        <v>402</v>
      </c>
      <c r="H10" s="184" t="s">
        <v>403</v>
      </c>
      <c r="I10" s="184" t="s">
        <v>404</v>
      </c>
      <c r="J10" s="184" t="s">
        <v>405</v>
      </c>
      <c r="K10" s="74"/>
      <c r="L10" s="74"/>
      <c r="M10" s="74"/>
    </row>
    <row r="11" spans="1:16">
      <c r="C11" s="87"/>
      <c r="D11" s="86"/>
      <c r="E11" s="79"/>
      <c r="F11" s="86"/>
      <c r="G11" s="86"/>
      <c r="H11" s="86"/>
      <c r="I11" s="86"/>
      <c r="J11" s="86"/>
      <c r="K11" s="74"/>
      <c r="L11" s="74"/>
    </row>
    <row r="12" spans="1:16">
      <c r="A12" s="32">
        <v>1</v>
      </c>
      <c r="C12" s="185" t="s">
        <v>406</v>
      </c>
      <c r="D12" s="186" t="s">
        <v>407</v>
      </c>
      <c r="E12" s="187" t="s">
        <v>408</v>
      </c>
      <c r="F12" s="86"/>
      <c r="G12" s="186" t="s">
        <v>406</v>
      </c>
      <c r="H12" s="186" t="s">
        <v>407</v>
      </c>
      <c r="I12" s="186" t="s">
        <v>408</v>
      </c>
      <c r="J12" s="86"/>
      <c r="K12" s="74"/>
      <c r="L12" s="74"/>
    </row>
    <row r="13" spans="1:16">
      <c r="A13" s="32">
        <v>2</v>
      </c>
      <c r="B13" s="30" t="s">
        <v>409</v>
      </c>
      <c r="C13" s="188">
        <v>102101</v>
      </c>
      <c r="D13" s="87">
        <f>+E13/C13</f>
        <v>37.336840089715089</v>
      </c>
      <c r="E13" s="189">
        <v>3812128.71</v>
      </c>
      <c r="F13" s="190"/>
      <c r="G13" s="190">
        <v>106080</v>
      </c>
      <c r="H13" s="189">
        <v>36.464649000000001</v>
      </c>
      <c r="I13" s="189">
        <f>+G13*H13</f>
        <v>3868169.9659200003</v>
      </c>
      <c r="J13" s="87">
        <f>+I13-E13</f>
        <v>56041.255920000374</v>
      </c>
      <c r="K13" s="191"/>
      <c r="L13" s="74"/>
    </row>
    <row r="14" spans="1:16">
      <c r="A14" s="32">
        <v>3</v>
      </c>
      <c r="C14" s="188"/>
      <c r="D14" s="87"/>
      <c r="E14" s="189"/>
      <c r="F14" s="190"/>
      <c r="G14" s="190"/>
      <c r="H14" s="189"/>
      <c r="I14" s="190"/>
      <c r="J14" s="87"/>
      <c r="K14" s="191"/>
      <c r="L14" s="74"/>
    </row>
    <row r="15" spans="1:16">
      <c r="A15" s="32">
        <v>4</v>
      </c>
      <c r="C15" s="188"/>
      <c r="D15" s="87"/>
      <c r="E15" s="189"/>
      <c r="F15" s="190"/>
      <c r="G15" s="190"/>
      <c r="H15" s="189"/>
      <c r="I15" s="190"/>
      <c r="J15" s="87"/>
      <c r="K15" s="191"/>
      <c r="L15" s="74"/>
    </row>
    <row r="16" spans="1:16">
      <c r="A16" s="32">
        <v>5</v>
      </c>
      <c r="B16" s="30" t="s">
        <v>410</v>
      </c>
      <c r="C16" s="188">
        <v>7063</v>
      </c>
      <c r="D16" s="87">
        <f t="shared" ref="D16" si="0">+E16/C16</f>
        <v>55.731606965878527</v>
      </c>
      <c r="E16" s="189">
        <v>393632.34</v>
      </c>
      <c r="F16" s="190"/>
      <c r="G16" s="190">
        <v>7853</v>
      </c>
      <c r="H16" s="189">
        <v>51.305230000000002</v>
      </c>
      <c r="I16" s="189">
        <f>+G16*H16</f>
        <v>402899.97119000001</v>
      </c>
      <c r="J16" s="87">
        <f>+I16-E16</f>
        <v>9267.6311899999855</v>
      </c>
      <c r="K16" s="191"/>
      <c r="L16" s="74"/>
    </row>
    <row r="17" spans="1:13">
      <c r="A17" s="32">
        <v>6</v>
      </c>
      <c r="C17" s="188"/>
      <c r="D17" s="87"/>
      <c r="E17" s="189"/>
      <c r="F17" s="190"/>
      <c r="G17" s="190"/>
      <c r="H17" s="189"/>
      <c r="I17" s="190"/>
      <c r="J17" s="87"/>
      <c r="K17" s="191"/>
      <c r="L17" s="74"/>
      <c r="M17" s="74"/>
    </row>
    <row r="18" spans="1:13">
      <c r="A18" s="32">
        <v>7</v>
      </c>
      <c r="C18" s="188"/>
      <c r="D18" s="87"/>
      <c r="E18" s="189"/>
      <c r="F18" s="190"/>
      <c r="G18" s="190"/>
      <c r="H18" s="189"/>
      <c r="I18" s="190"/>
      <c r="J18" s="87"/>
      <c r="K18" s="191"/>
      <c r="L18" s="74"/>
    </row>
    <row r="19" spans="1:13">
      <c r="A19" s="32">
        <v>8</v>
      </c>
      <c r="B19" s="30" t="s">
        <v>411</v>
      </c>
      <c r="C19" s="188"/>
      <c r="D19" s="87"/>
      <c r="E19" s="189"/>
      <c r="F19" s="190"/>
      <c r="G19" s="190"/>
      <c r="H19" s="189"/>
      <c r="I19" s="189"/>
      <c r="J19" s="87">
        <f>+I19-E19</f>
        <v>0</v>
      </c>
      <c r="K19" s="191"/>
      <c r="L19" s="74"/>
    </row>
    <row r="20" spans="1:13">
      <c r="A20" s="32">
        <v>9</v>
      </c>
      <c r="B20" s="106"/>
      <c r="C20" s="188"/>
      <c r="D20" s="192"/>
      <c r="E20" s="189"/>
      <c r="F20" s="190"/>
      <c r="G20" s="190"/>
      <c r="H20" s="190"/>
      <c r="I20" s="190"/>
      <c r="J20" s="189"/>
      <c r="K20" s="190"/>
      <c r="L20" s="79"/>
    </row>
    <row r="21" spans="1:13">
      <c r="A21" s="32">
        <v>10</v>
      </c>
      <c r="B21" s="106" t="s">
        <v>55</v>
      </c>
      <c r="C21" s="188">
        <f>SUM(C13:C20)</f>
        <v>109164</v>
      </c>
      <c r="D21" s="192"/>
      <c r="E21" s="189">
        <f>SUM(E13:E20)</f>
        <v>4205761.05</v>
      </c>
      <c r="F21" s="190"/>
      <c r="G21" s="190">
        <f>SUM(G13:G20)</f>
        <v>113933</v>
      </c>
      <c r="H21" s="190"/>
      <c r="I21" s="189">
        <f>SUM(I13:I20)</f>
        <v>4271069.9371100003</v>
      </c>
      <c r="J21" s="189">
        <f>+I21-E21</f>
        <v>65308.887110000476</v>
      </c>
      <c r="K21" s="45"/>
    </row>
    <row r="22" spans="1:13">
      <c r="A22" s="32">
        <v>11</v>
      </c>
      <c r="C22" s="188"/>
      <c r="D22" s="192"/>
      <c r="E22" s="190"/>
      <c r="F22" s="190"/>
      <c r="G22" s="190"/>
      <c r="H22" s="190"/>
      <c r="I22" s="190"/>
      <c r="J22" s="190"/>
      <c r="K22" s="45"/>
    </row>
    <row r="23" spans="1:13">
      <c r="A23" s="32">
        <v>12</v>
      </c>
      <c r="B23" s="55"/>
      <c r="C23" s="188"/>
      <c r="D23" s="192"/>
      <c r="E23" s="190"/>
      <c r="F23" s="190"/>
      <c r="G23" s="190"/>
      <c r="H23" s="190"/>
      <c r="I23" s="190"/>
      <c r="J23" s="190"/>
      <c r="K23" s="45"/>
    </row>
    <row r="24" spans="1:13">
      <c r="A24" s="32">
        <v>13</v>
      </c>
      <c r="B24" s="30" t="s">
        <v>89</v>
      </c>
      <c r="C24" s="188"/>
      <c r="D24" s="193">
        <v>2691307</v>
      </c>
      <c r="E24" s="194">
        <f>+D24/D27</f>
        <v>0.63589597824543442</v>
      </c>
      <c r="F24" s="190"/>
      <c r="G24" s="190"/>
      <c r="H24" s="190"/>
      <c r="I24" s="190"/>
      <c r="J24" s="195">
        <f>+J21*E24</f>
        <v>41529.658656934393</v>
      </c>
      <c r="K24" s="45"/>
    </row>
    <row r="25" spans="1:13">
      <c r="A25" s="32">
        <v>14</v>
      </c>
      <c r="B25" s="30" t="s">
        <v>90</v>
      </c>
      <c r="C25" s="190"/>
      <c r="D25" s="196">
        <v>1306698</v>
      </c>
      <c r="E25" s="194">
        <f>+D25/D27</f>
        <v>0.30874367100496253</v>
      </c>
      <c r="F25" s="190"/>
      <c r="G25" s="190"/>
      <c r="H25" s="190"/>
      <c r="I25" s="190"/>
      <c r="J25" s="190">
        <f>+J21*E25</f>
        <v>20163.705555590226</v>
      </c>
      <c r="K25" s="45"/>
    </row>
    <row r="26" spans="1:13">
      <c r="A26" s="32">
        <v>15</v>
      </c>
      <c r="B26" s="30" t="s">
        <v>91</v>
      </c>
      <c r="C26" s="196"/>
      <c r="D26" s="197">
        <v>234302</v>
      </c>
      <c r="E26" s="194">
        <f>+D26/D27</f>
        <v>5.5360350749602993E-2</v>
      </c>
      <c r="F26" s="196"/>
      <c r="G26" s="196"/>
      <c r="H26" s="190"/>
      <c r="J26" s="198">
        <f>+J21*E26</f>
        <v>3615.522897475852</v>
      </c>
    </row>
    <row r="27" spans="1:13">
      <c r="A27" s="32">
        <v>16</v>
      </c>
      <c r="B27" s="30" t="s">
        <v>412</v>
      </c>
      <c r="C27" s="196"/>
      <c r="D27" s="196">
        <f>SUM(D24:D26)</f>
        <v>4232307</v>
      </c>
      <c r="E27" s="196"/>
      <c r="F27" s="196"/>
      <c r="G27" s="196"/>
      <c r="H27" s="196"/>
      <c r="I27" s="196"/>
      <c r="J27" s="189">
        <f>SUM(J24:J26)</f>
        <v>65308.887110000469</v>
      </c>
    </row>
    <row r="28" spans="1:13">
      <c r="A28" s="32">
        <v>17</v>
      </c>
      <c r="C28" s="196"/>
      <c r="D28" s="196"/>
      <c r="E28" s="196"/>
      <c r="F28" s="196"/>
      <c r="G28" s="196"/>
      <c r="H28" s="196"/>
    </row>
    <row r="29" spans="1:13">
      <c r="A29" s="32">
        <v>18</v>
      </c>
      <c r="C29" s="196"/>
      <c r="D29" s="196"/>
      <c r="E29" s="196"/>
      <c r="F29" s="196"/>
      <c r="G29" s="196"/>
      <c r="H29" s="196"/>
      <c r="I29" s="196"/>
      <c r="J29" s="196"/>
    </row>
    <row r="30" spans="1:13">
      <c r="A30" s="32">
        <v>19</v>
      </c>
      <c r="B30" s="55" t="s">
        <v>413</v>
      </c>
      <c r="C30" s="196"/>
      <c r="D30" s="196"/>
      <c r="E30" s="196"/>
      <c r="F30" s="196"/>
      <c r="G30" s="196"/>
      <c r="H30" s="196"/>
      <c r="I30" s="196"/>
      <c r="J30" s="196"/>
    </row>
    <row r="31" spans="1:13">
      <c r="A31" s="32">
        <v>20</v>
      </c>
      <c r="B31" s="32">
        <v>580</v>
      </c>
      <c r="C31" s="194">
        <v>0.31</v>
      </c>
      <c r="D31" s="189">
        <f>ROUND(+J$24*C31,2)</f>
        <v>12874.19</v>
      </c>
      <c r="F31" s="196"/>
      <c r="G31" s="196"/>
      <c r="H31" s="196"/>
      <c r="I31" s="196"/>
      <c r="J31" s="196"/>
    </row>
    <row r="32" spans="1:13">
      <c r="A32" s="32">
        <v>21</v>
      </c>
      <c r="B32" s="32">
        <v>590</v>
      </c>
      <c r="C32" s="194">
        <v>0.32</v>
      </c>
      <c r="D32" s="189">
        <f t="shared" ref="D32:D35" si="1">ROUND(+J$24*C32,2)</f>
        <v>13289.49</v>
      </c>
    </row>
    <row r="33" spans="1:10">
      <c r="A33" s="32">
        <v>22</v>
      </c>
      <c r="B33" s="32">
        <v>901</v>
      </c>
      <c r="C33" s="194">
        <v>0.17</v>
      </c>
      <c r="D33" s="189">
        <f t="shared" si="1"/>
        <v>7060.04</v>
      </c>
    </row>
    <row r="34" spans="1:10">
      <c r="A34" s="32">
        <v>23</v>
      </c>
      <c r="B34" s="32">
        <v>910</v>
      </c>
      <c r="C34" s="194">
        <v>0.02</v>
      </c>
      <c r="D34" s="189">
        <f t="shared" si="1"/>
        <v>830.59</v>
      </c>
      <c r="F34" s="121"/>
      <c r="G34" s="121"/>
      <c r="H34" s="121"/>
      <c r="I34" s="121"/>
      <c r="J34" s="121"/>
    </row>
    <row r="35" spans="1:10">
      <c r="A35" s="32">
        <v>24</v>
      </c>
      <c r="B35" s="32">
        <v>920</v>
      </c>
      <c r="C35" s="194">
        <v>0.18</v>
      </c>
      <c r="D35" s="199">
        <f t="shared" si="1"/>
        <v>7475.34</v>
      </c>
      <c r="F35" s="200"/>
      <c r="G35" s="200"/>
      <c r="H35" s="200"/>
      <c r="I35" s="200"/>
      <c r="J35" s="200"/>
    </row>
    <row r="36" spans="1:10">
      <c r="A36" s="32">
        <v>25</v>
      </c>
      <c r="B36" s="30" t="s">
        <v>55</v>
      </c>
      <c r="C36" s="196"/>
      <c r="D36" s="195">
        <f>SUM(D31:D35)</f>
        <v>41529.649999999994</v>
      </c>
      <c r="F36" s="121"/>
      <c r="G36" s="121"/>
      <c r="H36" s="121"/>
      <c r="I36" s="121"/>
      <c r="J36" s="121"/>
    </row>
    <row r="37" spans="1:10">
      <c r="A37" s="32"/>
    </row>
    <row r="38" spans="1:10">
      <c r="A38" s="32"/>
      <c r="B38" s="30" t="s">
        <v>414</v>
      </c>
      <c r="C38" s="196"/>
      <c r="F38" s="200"/>
      <c r="G38" s="200"/>
      <c r="H38" s="200"/>
      <c r="I38" s="200"/>
      <c r="J38" s="200"/>
    </row>
    <row r="39" spans="1:10">
      <c r="A39" s="32"/>
      <c r="C39" s="196"/>
      <c r="F39" s="121"/>
      <c r="G39" s="121"/>
      <c r="H39" s="121"/>
      <c r="I39" s="121"/>
      <c r="J39" s="121"/>
    </row>
    <row r="40" spans="1:10">
      <c r="A40" s="30" t="s">
        <v>415</v>
      </c>
      <c r="C40" s="196"/>
    </row>
    <row r="41" spans="1:10">
      <c r="A41" s="32"/>
    </row>
    <row r="42" spans="1:10">
      <c r="A42" s="32"/>
      <c r="F42" s="56"/>
      <c r="G42" s="56"/>
      <c r="J42" s="56"/>
    </row>
    <row r="43" spans="1:10">
      <c r="A43" s="32"/>
      <c r="F43" s="121"/>
      <c r="G43" s="121"/>
      <c r="H43" s="121"/>
      <c r="I43" s="121"/>
      <c r="J43" s="121"/>
    </row>
    <row r="44" spans="1:10">
      <c r="A44" s="32"/>
      <c r="F44" s="121"/>
      <c r="G44" s="121"/>
      <c r="H44" s="121"/>
      <c r="I44" s="121"/>
      <c r="J44" s="121"/>
    </row>
    <row r="45" spans="1:10">
      <c r="A45" s="32"/>
      <c r="F45" s="121"/>
      <c r="G45" s="121"/>
      <c r="H45" s="121"/>
      <c r="I45" s="121"/>
      <c r="J45" s="121"/>
    </row>
    <row r="46" spans="1:10">
      <c r="A46" s="32"/>
      <c r="F46" s="121"/>
      <c r="G46" s="121"/>
      <c r="H46" s="121"/>
      <c r="I46" s="121"/>
      <c r="J46" s="121"/>
    </row>
    <row r="47" spans="1:10">
      <c r="A47" s="201"/>
      <c r="F47" s="121"/>
      <c r="G47" s="121"/>
      <c r="H47" s="121"/>
      <c r="I47" s="121"/>
      <c r="J47" s="121"/>
    </row>
    <row r="48" spans="1:10">
      <c r="A48" s="32"/>
    </row>
    <row r="49" spans="1:7">
      <c r="A49" s="32"/>
    </row>
    <row r="50" spans="1:7">
      <c r="A50" s="201"/>
      <c r="C50" s="55"/>
      <c r="G50" s="56"/>
    </row>
    <row r="51" spans="1:7">
      <c r="A51" s="32"/>
      <c r="G51" s="121"/>
    </row>
    <row r="52" spans="1:7">
      <c r="A52" s="32"/>
      <c r="G52" s="121"/>
    </row>
    <row r="53" spans="1:7">
      <c r="A53" s="201"/>
      <c r="G53" s="121"/>
    </row>
    <row r="54" spans="1:7">
      <c r="A54" s="32"/>
      <c r="G54" s="121"/>
    </row>
    <row r="55" spans="1:7">
      <c r="A55" s="32"/>
      <c r="G55" s="121"/>
    </row>
    <row r="56" spans="1:7">
      <c r="A56" s="201"/>
      <c r="G56" s="196"/>
    </row>
    <row r="57" spans="1:7">
      <c r="A57" s="32"/>
    </row>
    <row r="58" spans="1:7">
      <c r="A58" s="32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86" orientation="landscape" r:id="rId1"/>
  <headerFooter>
    <oddFooter>&amp;RExhibit  JW-2
Page &amp;P of &amp;N</oddFooter>
  </headerFooter>
  <ignoredErrors>
    <ignoredError sqref="D13 C21 J16:J19 J13 D16" unlockedFormula="1"/>
    <ignoredError sqref="D20:H20 E19:G19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6"/>
  <sheetViews>
    <sheetView view="pageBreakPreview" zoomScale="110" zoomScaleNormal="75" zoomScaleSheetLayoutView="110" workbookViewId="0">
      <selection activeCell="B64" sqref="B64"/>
    </sheetView>
  </sheetViews>
  <sheetFormatPr defaultColWidth="9.109375" defaultRowHeight="13.8"/>
  <cols>
    <col min="1" max="1" width="8.109375" style="171" customWidth="1"/>
    <col min="2" max="2" width="20.33203125" style="34" customWidth="1"/>
    <col min="3" max="3" width="13.44140625" style="34" customWidth="1"/>
    <col min="4" max="4" width="20.6640625" style="34" customWidth="1"/>
    <col min="5" max="5" width="11.44140625" style="33" customWidth="1"/>
    <col min="6" max="6" width="2.33203125" style="34" customWidth="1"/>
    <col min="7" max="16384" width="9.109375" style="34"/>
  </cols>
  <sheetData>
    <row r="1" spans="1:7" s="30" customFormat="1" ht="15" customHeight="1">
      <c r="A1" s="43"/>
      <c r="E1" s="19" t="s">
        <v>68</v>
      </c>
    </row>
    <row r="2" spans="1:7" s="30" customFormat="1" ht="20.25" customHeight="1">
      <c r="A2" s="43"/>
      <c r="E2" s="32"/>
    </row>
    <row r="3" spans="1:7" s="30" customFormat="1" ht="13.2">
      <c r="A3" s="43"/>
      <c r="E3" s="32"/>
    </row>
    <row r="4" spans="1:7" s="30" customFormat="1" ht="13.2">
      <c r="A4" s="308" t="s">
        <v>303</v>
      </c>
      <c r="B4" s="308"/>
      <c r="C4" s="308"/>
      <c r="D4" s="308"/>
      <c r="E4" s="32"/>
    </row>
    <row r="5" spans="1:7" s="30" customFormat="1" ht="13.2">
      <c r="A5" s="308" t="s">
        <v>284</v>
      </c>
      <c r="B5" s="308"/>
      <c r="C5" s="308"/>
      <c r="D5" s="308"/>
      <c r="E5" s="51"/>
      <c r="F5" s="27"/>
    </row>
    <row r="6" spans="1:7" s="30" customFormat="1" ht="13.2">
      <c r="A6" s="43"/>
      <c r="E6" s="32"/>
    </row>
    <row r="7" spans="1:7" s="28" customFormat="1" ht="15" customHeight="1">
      <c r="A7" s="306" t="s">
        <v>69</v>
      </c>
      <c r="B7" s="306"/>
      <c r="C7" s="306"/>
      <c r="D7" s="306"/>
      <c r="E7" s="32"/>
      <c r="F7" s="30"/>
    </row>
    <row r="8" spans="1:7" s="30" customFormat="1" ht="13.2">
      <c r="A8" s="43"/>
      <c r="E8" s="32"/>
    </row>
    <row r="9" spans="1:7">
      <c r="D9" s="168"/>
      <c r="E9" s="32"/>
      <c r="F9" s="30"/>
    </row>
    <row r="10" spans="1:7">
      <c r="A10" s="169" t="s">
        <v>10</v>
      </c>
      <c r="B10" s="40" t="s">
        <v>304</v>
      </c>
      <c r="C10" s="40"/>
      <c r="D10" s="170" t="s">
        <v>93</v>
      </c>
      <c r="E10" s="170" t="s">
        <v>305</v>
      </c>
      <c r="F10" s="30"/>
      <c r="G10" s="39"/>
    </row>
    <row r="11" spans="1:7" ht="43.2">
      <c r="A11" s="278">
        <v>1</v>
      </c>
      <c r="B11" s="274" t="s">
        <v>306</v>
      </c>
      <c r="C11" s="33"/>
      <c r="D11" s="35">
        <v>35780.239999999998</v>
      </c>
      <c r="E11" s="172" t="s">
        <v>307</v>
      </c>
      <c r="F11" s="30"/>
    </row>
    <row r="12" spans="1:7" ht="14.4">
      <c r="A12" s="278"/>
      <c r="B12" s="275"/>
      <c r="C12" s="33"/>
      <c r="D12" s="36"/>
      <c r="E12" s="173"/>
      <c r="F12" s="30"/>
    </row>
    <row r="13" spans="1:7" ht="14.4">
      <c r="A13" s="278"/>
      <c r="B13" s="275"/>
      <c r="C13" s="33"/>
      <c r="D13" s="36"/>
      <c r="E13" s="173"/>
      <c r="F13" s="30"/>
    </row>
    <row r="14" spans="1:7">
      <c r="A14" s="278">
        <v>2</v>
      </c>
      <c r="B14" s="276" t="s">
        <v>55</v>
      </c>
      <c r="C14" s="174"/>
      <c r="D14" s="175">
        <f>SUM(D11:D13)</f>
        <v>35780.239999999998</v>
      </c>
      <c r="E14" s="176"/>
      <c r="F14" s="30"/>
    </row>
    <row r="15" spans="1:7">
      <c r="A15" s="278"/>
      <c r="B15" s="277"/>
      <c r="C15" s="202"/>
      <c r="D15" s="203"/>
      <c r="E15" s="204"/>
      <c r="F15" s="30"/>
    </row>
    <row r="16" spans="1:7">
      <c r="A16" s="278">
        <v>3</v>
      </c>
      <c r="B16" s="277" t="s">
        <v>83</v>
      </c>
      <c r="C16" s="202"/>
      <c r="D16" s="203">
        <v>0</v>
      </c>
      <c r="E16" s="204"/>
      <c r="F16" s="30"/>
    </row>
    <row r="17" spans="1:6">
      <c r="A17" s="278"/>
      <c r="B17" s="277"/>
      <c r="C17" s="202"/>
      <c r="D17" s="203"/>
      <c r="E17" s="204"/>
      <c r="F17" s="30"/>
    </row>
    <row r="18" spans="1:6">
      <c r="A18" s="278">
        <v>4</v>
      </c>
      <c r="B18" s="171" t="s">
        <v>8</v>
      </c>
      <c r="D18" s="37">
        <f>D16-D14</f>
        <v>-35780.239999999998</v>
      </c>
      <c r="E18" s="32"/>
      <c r="F18" s="30"/>
    </row>
    <row r="19" spans="1:6">
      <c r="E19" s="32"/>
      <c r="F19" s="30"/>
    </row>
    <row r="20" spans="1:6" ht="45" customHeight="1">
      <c r="A20" s="309" t="s">
        <v>308</v>
      </c>
      <c r="B20" s="309"/>
      <c r="C20" s="309"/>
      <c r="D20" s="309"/>
      <c r="E20" s="32"/>
      <c r="F20" s="30"/>
    </row>
    <row r="21" spans="1:6" ht="45.6" customHeight="1">
      <c r="A21" s="309" t="s">
        <v>309</v>
      </c>
      <c r="B21" s="309"/>
      <c r="C21" s="309"/>
      <c r="D21" s="309"/>
      <c r="E21" s="32"/>
      <c r="F21" s="30"/>
    </row>
    <row r="22" spans="1:6">
      <c r="A22" s="38"/>
      <c r="B22" s="38"/>
      <c r="C22" s="38"/>
      <c r="D22" s="38"/>
      <c r="E22" s="32"/>
      <c r="F22" s="30"/>
    </row>
    <row r="23" spans="1:6">
      <c r="B23" s="178"/>
      <c r="C23" s="178"/>
      <c r="D23" s="178"/>
      <c r="E23" s="177"/>
    </row>
    <row r="24" spans="1:6">
      <c r="B24" s="163"/>
      <c r="C24" s="163"/>
      <c r="D24" s="163"/>
      <c r="E24" s="179"/>
    </row>
    <row r="26" spans="1:6">
      <c r="B26" s="163"/>
      <c r="C26" s="163"/>
      <c r="D26" s="163"/>
      <c r="E26" s="179"/>
    </row>
  </sheetData>
  <mergeCells count="5">
    <mergeCell ref="A4:D4"/>
    <mergeCell ref="A5:D5"/>
    <mergeCell ref="A7:D7"/>
    <mergeCell ref="A20:D20"/>
    <mergeCell ref="A21:D21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  <ignoredErrors>
    <ignoredError sqref="E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79998168889431442"/>
    <pageSetUpPr fitToPage="1"/>
  </sheetPr>
  <dimension ref="A1:M32"/>
  <sheetViews>
    <sheetView view="pageBreakPreview" zoomScale="75" zoomScaleNormal="100" zoomScaleSheetLayoutView="75" workbookViewId="0">
      <selection activeCell="J23" sqref="J23"/>
    </sheetView>
  </sheetViews>
  <sheetFormatPr defaultColWidth="8.88671875" defaultRowHeight="13.2"/>
  <cols>
    <col min="1" max="1" width="3.33203125" style="30" customWidth="1"/>
    <col min="2" max="2" width="18.6640625" style="30" customWidth="1"/>
    <col min="3" max="3" width="17.88671875" style="30" bestFit="1" customWidth="1"/>
    <col min="4" max="4" width="24" style="30" bestFit="1" customWidth="1"/>
    <col min="5" max="5" width="14.88671875" style="30" bestFit="1" customWidth="1"/>
    <col min="6" max="6" width="11.44140625" style="30" bestFit="1" customWidth="1"/>
    <col min="7" max="7" width="13.6640625" style="30" bestFit="1" customWidth="1"/>
    <col min="8" max="12" width="18.109375" style="30" customWidth="1"/>
    <col min="13" max="13" width="10.5546875" style="30" bestFit="1" customWidth="1"/>
    <col min="14" max="16384" width="8.88671875" style="30"/>
  </cols>
  <sheetData>
    <row r="1" spans="1:13">
      <c r="G1" s="19" t="s">
        <v>62</v>
      </c>
    </row>
    <row r="2" spans="1:13">
      <c r="G2" s="284" t="s">
        <v>455</v>
      </c>
      <c r="K2" s="19"/>
    </row>
    <row r="3" spans="1:13">
      <c r="K3" s="19"/>
    </row>
    <row r="4" spans="1:13">
      <c r="A4" s="308" t="s">
        <v>310</v>
      </c>
      <c r="B4" s="308"/>
      <c r="C4" s="308"/>
      <c r="D4" s="308"/>
      <c r="E4" s="308"/>
      <c r="F4" s="308"/>
      <c r="G4" s="308"/>
      <c r="H4" s="27"/>
      <c r="I4" s="27"/>
      <c r="J4" s="27"/>
      <c r="K4" s="27"/>
    </row>
    <row r="5" spans="1:13">
      <c r="A5" s="308" t="s">
        <v>284</v>
      </c>
      <c r="B5" s="308"/>
      <c r="C5" s="308"/>
      <c r="D5" s="308"/>
      <c r="E5" s="308"/>
      <c r="F5" s="308"/>
      <c r="G5" s="308"/>
      <c r="H5" s="27"/>
      <c r="I5" s="27"/>
      <c r="J5" s="27"/>
      <c r="K5" s="27"/>
      <c r="L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>
      <c r="A7" s="306" t="s">
        <v>167</v>
      </c>
      <c r="B7" s="306"/>
      <c r="C7" s="306"/>
      <c r="D7" s="306"/>
      <c r="E7" s="306"/>
      <c r="F7" s="306"/>
      <c r="G7" s="306"/>
      <c r="H7" s="29"/>
      <c r="I7" s="29"/>
      <c r="J7" s="29"/>
      <c r="K7" s="29"/>
    </row>
    <row r="8" spans="1:13">
      <c r="A8" s="31"/>
      <c r="B8" s="31"/>
      <c r="C8" s="31"/>
      <c r="D8" s="31"/>
      <c r="E8" s="29"/>
      <c r="F8" s="29"/>
      <c r="G8" s="29"/>
      <c r="H8" s="29"/>
      <c r="I8" s="29"/>
      <c r="J8" s="29"/>
      <c r="K8" s="29"/>
    </row>
    <row r="9" spans="1:13">
      <c r="C9" s="32" t="s">
        <v>417</v>
      </c>
      <c r="D9" s="32" t="s">
        <v>418</v>
      </c>
      <c r="E9" s="32" t="s">
        <v>419</v>
      </c>
      <c r="F9" s="32" t="s">
        <v>420</v>
      </c>
      <c r="G9" s="32" t="s">
        <v>421</v>
      </c>
    </row>
    <row r="10" spans="1:13">
      <c r="D10" s="32"/>
      <c r="E10" s="313" t="s">
        <v>86</v>
      </c>
      <c r="F10" s="314"/>
      <c r="G10" s="32"/>
      <c r="I10" s="75"/>
      <c r="J10" s="75"/>
      <c r="K10" s="75"/>
      <c r="L10" s="75"/>
    </row>
    <row r="11" spans="1:13">
      <c r="A11" s="103" t="s">
        <v>10</v>
      </c>
      <c r="B11" s="72" t="s">
        <v>85</v>
      </c>
      <c r="C11" s="82" t="s">
        <v>422</v>
      </c>
      <c r="D11" s="205" t="s">
        <v>423</v>
      </c>
      <c r="E11" s="205" t="s">
        <v>424</v>
      </c>
      <c r="F11" s="206" t="s">
        <v>425</v>
      </c>
      <c r="G11" s="206" t="s">
        <v>426</v>
      </c>
      <c r="I11" s="76"/>
      <c r="J11" s="76"/>
      <c r="K11" s="76"/>
      <c r="L11" s="76"/>
    </row>
    <row r="12" spans="1:13">
      <c r="A12" s="43">
        <v>1</v>
      </c>
      <c r="B12" s="30" t="s">
        <v>427</v>
      </c>
      <c r="C12" s="207">
        <f>3730.08*0.5</f>
        <v>1865.04</v>
      </c>
      <c r="D12" s="207">
        <f>3730.08*0.5</f>
        <v>1865.04</v>
      </c>
      <c r="E12" s="208">
        <f t="shared" ref="E12:E13" si="0">+D12+C12</f>
        <v>3730.08</v>
      </c>
      <c r="G12" s="84"/>
      <c r="I12" s="74"/>
      <c r="J12" s="74"/>
      <c r="K12" s="74"/>
      <c r="L12" s="74"/>
      <c r="M12" s="74"/>
    </row>
    <row r="13" spans="1:13">
      <c r="A13" s="43">
        <f>A12+1</f>
        <v>2</v>
      </c>
      <c r="B13" s="30" t="s">
        <v>428</v>
      </c>
      <c r="C13" s="207">
        <f>24432.49*0.5</f>
        <v>12216.245000000001</v>
      </c>
      <c r="D13" s="207">
        <f>24432.49*0.5</f>
        <v>12216.245000000001</v>
      </c>
      <c r="E13" s="208">
        <f t="shared" si="0"/>
        <v>24432.49</v>
      </c>
      <c r="G13" s="84"/>
      <c r="I13" s="74"/>
      <c r="J13" s="74"/>
      <c r="K13" s="74"/>
      <c r="L13" s="74"/>
      <c r="M13" s="74"/>
    </row>
    <row r="14" spans="1:13">
      <c r="A14" s="43">
        <f>A13+1</f>
        <v>3</v>
      </c>
      <c r="B14" s="43" t="s">
        <v>86</v>
      </c>
      <c r="C14" s="42">
        <f>534188.11*0.2</f>
        <v>106837.622</v>
      </c>
      <c r="D14" s="207">
        <f>(433314.47+100873.64)*0.8</f>
        <v>427350.48800000001</v>
      </c>
      <c r="E14" s="208">
        <f>+D14+C14</f>
        <v>534188.11</v>
      </c>
      <c r="F14" s="57">
        <f>D14*0.09</f>
        <v>38461.543919999996</v>
      </c>
      <c r="G14" s="286">
        <f>F14</f>
        <v>38461.543919999996</v>
      </c>
      <c r="I14" s="74"/>
      <c r="J14" s="74"/>
      <c r="K14" s="74"/>
      <c r="L14" s="74"/>
    </row>
    <row r="15" spans="1:13">
      <c r="B15" s="209"/>
      <c r="C15" s="45"/>
      <c r="D15" s="207"/>
      <c r="E15" s="208"/>
      <c r="F15" s="57"/>
      <c r="G15" s="84"/>
      <c r="I15" s="74"/>
      <c r="J15" s="74"/>
      <c r="K15" s="74"/>
      <c r="L15" s="74"/>
    </row>
    <row r="16" spans="1:13">
      <c r="A16" s="43">
        <f>A14+1</f>
        <v>4</v>
      </c>
      <c r="B16" s="30" t="s">
        <v>429</v>
      </c>
      <c r="C16" s="78"/>
      <c r="D16" s="80"/>
      <c r="E16" s="80"/>
      <c r="F16" s="80"/>
      <c r="G16" s="84">
        <f>E14</f>
        <v>534188.11</v>
      </c>
    </row>
    <row r="17" spans="1:9">
      <c r="A17" s="43">
        <f t="shared" ref="A17:A25" si="1">A16+1</f>
        <v>5</v>
      </c>
      <c r="C17" s="78"/>
      <c r="D17" s="81"/>
      <c r="E17" s="81"/>
      <c r="F17" s="81"/>
      <c r="G17" s="84"/>
    </row>
    <row r="18" spans="1:9">
      <c r="A18" s="43">
        <f t="shared" si="1"/>
        <v>6</v>
      </c>
      <c r="B18" s="30" t="s">
        <v>430</v>
      </c>
      <c r="C18" s="79"/>
      <c r="D18" s="81"/>
      <c r="E18" s="81"/>
      <c r="F18" s="81"/>
      <c r="G18" s="84">
        <f>G16+G14</f>
        <v>572649.65391999995</v>
      </c>
      <c r="H18" s="84"/>
    </row>
    <row r="19" spans="1:9">
      <c r="A19" s="43">
        <f t="shared" si="1"/>
        <v>7</v>
      </c>
      <c r="B19" s="106"/>
      <c r="C19" s="80"/>
      <c r="D19" s="81"/>
      <c r="E19" s="81"/>
      <c r="F19" s="81"/>
      <c r="G19" s="84"/>
      <c r="H19" s="81"/>
    </row>
    <row r="20" spans="1:9">
      <c r="A20" s="43">
        <f t="shared" si="1"/>
        <v>8</v>
      </c>
      <c r="B20" s="30" t="s">
        <v>8</v>
      </c>
      <c r="C20" s="80"/>
      <c r="D20" s="81"/>
      <c r="E20" s="81"/>
      <c r="F20" s="81"/>
      <c r="G20" s="84">
        <f>G18-G16</f>
        <v>38461.543919999967</v>
      </c>
      <c r="H20" s="45"/>
      <c r="I20" s="182"/>
    </row>
    <row r="21" spans="1:9">
      <c r="A21" s="43"/>
      <c r="C21" s="80"/>
      <c r="D21" s="81"/>
      <c r="E21" s="81"/>
      <c r="F21" s="81"/>
      <c r="G21" s="84"/>
      <c r="H21" s="45"/>
      <c r="I21" s="182"/>
    </row>
    <row r="22" spans="1:9">
      <c r="A22" s="43">
        <f>A20+1</f>
        <v>9</v>
      </c>
      <c r="B22" s="287" t="s">
        <v>459</v>
      </c>
      <c r="C22" s="288" t="s">
        <v>456</v>
      </c>
      <c r="D22" s="289"/>
      <c r="E22" s="289"/>
      <c r="F22" s="290">
        <f>'1.10 Wages and Salaries'!E24</f>
        <v>0.63589597824543442</v>
      </c>
      <c r="G22" s="291">
        <f>G20*F22</f>
        <v>24457.541095838118</v>
      </c>
      <c r="H22" s="45"/>
      <c r="I22" s="182"/>
    </row>
    <row r="23" spans="1:9">
      <c r="A23" s="43">
        <f t="shared" si="1"/>
        <v>10</v>
      </c>
      <c r="B23" s="287" t="s">
        <v>457</v>
      </c>
      <c r="C23" s="288" t="s">
        <v>460</v>
      </c>
      <c r="D23" s="289"/>
      <c r="E23" s="289"/>
      <c r="F23" s="290">
        <f>'1.10 Wages and Salaries'!E25</f>
        <v>0.30874367100496253</v>
      </c>
      <c r="G23" s="286">
        <f>G20*F23</f>
        <v>11874.758262379386</v>
      </c>
      <c r="H23" s="45"/>
      <c r="I23" s="182"/>
    </row>
    <row r="24" spans="1:9">
      <c r="A24" s="43">
        <f t="shared" si="1"/>
        <v>11</v>
      </c>
      <c r="B24" s="287" t="s">
        <v>458</v>
      </c>
      <c r="C24" s="288" t="s">
        <v>461</v>
      </c>
      <c r="D24" s="289"/>
      <c r="E24" s="289"/>
      <c r="F24" s="290">
        <f>'1.10 Wages and Salaries'!E26</f>
        <v>5.5360350749602993E-2</v>
      </c>
      <c r="G24" s="286">
        <f>G20*F24</f>
        <v>2129.2445617824587</v>
      </c>
      <c r="H24" s="45"/>
      <c r="I24" s="182"/>
    </row>
    <row r="25" spans="1:9">
      <c r="A25" s="43">
        <f t="shared" si="1"/>
        <v>12</v>
      </c>
      <c r="B25" s="287" t="s">
        <v>55</v>
      </c>
      <c r="C25" s="289"/>
      <c r="D25" s="289"/>
      <c r="E25" s="289"/>
      <c r="F25" s="290">
        <f>SUM(F22:F24)</f>
        <v>1</v>
      </c>
      <c r="G25" s="289">
        <f>SUM(G22:G24)</f>
        <v>38461.54391999996</v>
      </c>
      <c r="H25" s="81"/>
    </row>
    <row r="26" spans="1:9">
      <c r="C26" s="81"/>
      <c r="D26" s="81"/>
      <c r="E26" s="81"/>
      <c r="F26" s="81"/>
      <c r="G26" s="81"/>
      <c r="H26" s="81"/>
    </row>
    <row r="27" spans="1:9" ht="25.2" customHeight="1">
      <c r="B27" s="315" t="s">
        <v>431</v>
      </c>
      <c r="C27" s="315"/>
      <c r="D27" s="315"/>
      <c r="E27" s="315"/>
      <c r="F27" s="315"/>
      <c r="G27" s="81"/>
      <c r="H27" s="81"/>
    </row>
    <row r="28" spans="1:9">
      <c r="C28" s="81"/>
      <c r="D28" s="81"/>
      <c r="E28" s="81"/>
      <c r="F28" s="81"/>
      <c r="G28" s="81"/>
      <c r="H28" s="81"/>
    </row>
    <row r="29" spans="1:9">
      <c r="C29" s="81"/>
    </row>
    <row r="30" spans="1:9">
      <c r="C30" s="81"/>
    </row>
    <row r="31" spans="1:9">
      <c r="C31" s="81"/>
    </row>
    <row r="32" spans="1:9">
      <c r="C32" s="81"/>
    </row>
  </sheetData>
  <mergeCells count="5">
    <mergeCell ref="A4:G4"/>
    <mergeCell ref="A5:G5"/>
    <mergeCell ref="A7:G7"/>
    <mergeCell ref="E10:F10"/>
    <mergeCell ref="B27:F27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view="pageBreakPreview" zoomScale="60" zoomScaleNormal="100" workbookViewId="0">
      <selection activeCell="B64" sqref="B64"/>
    </sheetView>
  </sheetViews>
  <sheetFormatPr defaultColWidth="9.109375" defaultRowHeight="13.8"/>
  <cols>
    <col min="1" max="1" width="6.5546875" style="34" customWidth="1"/>
    <col min="2" max="2" width="37.109375" style="34" customWidth="1"/>
    <col min="3" max="3" width="9.33203125" style="34" customWidth="1"/>
    <col min="4" max="10" width="18.109375" style="34" customWidth="1"/>
    <col min="11" max="11" width="10.5546875" style="34" bestFit="1" customWidth="1"/>
    <col min="12" max="16384" width="9.109375" style="34"/>
  </cols>
  <sheetData>
    <row r="1" spans="1:14" s="30" customFormat="1" ht="13.2">
      <c r="D1" s="19" t="s">
        <v>175</v>
      </c>
      <c r="F1" s="19"/>
    </row>
    <row r="2" spans="1:14" s="30" customFormat="1" ht="13.2">
      <c r="D2" s="55"/>
      <c r="F2" s="19"/>
      <c r="G2" s="19"/>
    </row>
    <row r="3" spans="1:14" s="30" customFormat="1" ht="13.2">
      <c r="F3" s="19"/>
      <c r="G3" s="19"/>
    </row>
    <row r="4" spans="1:14" s="30" customFormat="1" ht="13.2">
      <c r="A4" s="308" t="str">
        <f>RevReq!A1</f>
        <v>FLEMING-MASON ENERGY COOPERATIVE</v>
      </c>
      <c r="B4" s="308"/>
      <c r="C4" s="308"/>
      <c r="D4" s="308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0" customFormat="1" ht="13.2">
      <c r="A5" s="308" t="str">
        <f>RevReq!A3</f>
        <v>For the 12 Months Ended December 31, 2022</v>
      </c>
      <c r="B5" s="308"/>
      <c r="C5" s="308"/>
      <c r="D5" s="308"/>
      <c r="E5" s="27"/>
      <c r="F5" s="27"/>
      <c r="G5" s="27"/>
      <c r="H5" s="27"/>
      <c r="I5" s="27"/>
      <c r="J5" s="27"/>
      <c r="K5" s="27"/>
    </row>
    <row r="6" spans="1:14" s="30" customFormat="1" ht="13.2"/>
    <row r="7" spans="1:14" s="28" customFormat="1" ht="13.2">
      <c r="A7" s="306" t="s">
        <v>168</v>
      </c>
      <c r="B7" s="306"/>
      <c r="C7" s="306"/>
      <c r="D7" s="306"/>
      <c r="E7" s="29"/>
      <c r="F7" s="29"/>
      <c r="G7" s="29"/>
      <c r="H7" s="29"/>
      <c r="I7" s="29"/>
      <c r="J7" s="29"/>
      <c r="K7" s="29"/>
    </row>
    <row r="8" spans="1:14" s="30" customFormat="1" ht="13.2"/>
    <row r="9" spans="1:14">
      <c r="A9" s="32" t="s">
        <v>5</v>
      </c>
      <c r="B9" s="32" t="s">
        <v>85</v>
      </c>
      <c r="C9" s="32"/>
      <c r="D9" s="32" t="s">
        <v>106</v>
      </c>
    </row>
    <row r="10" spans="1:14">
      <c r="A10" s="82" t="s">
        <v>10</v>
      </c>
      <c r="B10" s="60" t="s">
        <v>63</v>
      </c>
      <c r="C10" s="60"/>
      <c r="D10" s="60" t="s">
        <v>64</v>
      </c>
      <c r="E10" s="59"/>
      <c r="F10" s="59"/>
      <c r="G10" s="59"/>
      <c r="H10" s="59"/>
      <c r="I10" s="59"/>
      <c r="J10" s="59"/>
      <c r="K10" s="59"/>
    </row>
    <row r="11" spans="1:14">
      <c r="A11" s="32"/>
      <c r="B11" s="30"/>
      <c r="C11" s="30"/>
      <c r="D11" s="30"/>
      <c r="E11" s="118"/>
      <c r="F11" s="118"/>
      <c r="G11" s="59"/>
      <c r="H11" s="118"/>
      <c r="I11" s="118"/>
      <c r="J11" s="118"/>
      <c r="K11" s="118"/>
    </row>
    <row r="12" spans="1:14">
      <c r="A12" s="32">
        <v>1</v>
      </c>
      <c r="B12" s="43" t="s">
        <v>293</v>
      </c>
      <c r="C12" s="30"/>
      <c r="D12" s="83">
        <v>100000</v>
      </c>
      <c r="E12" s="119"/>
      <c r="F12" s="119"/>
      <c r="G12" s="59"/>
      <c r="H12" s="119"/>
      <c r="I12" s="119"/>
      <c r="J12" s="119"/>
      <c r="K12" s="119"/>
      <c r="L12" s="119"/>
    </row>
    <row r="13" spans="1:14">
      <c r="A13" s="32">
        <f>A12+1</f>
        <v>2</v>
      </c>
      <c r="B13" s="43" t="s">
        <v>169</v>
      </c>
      <c r="C13" s="30"/>
      <c r="D13" s="83">
        <v>45000</v>
      </c>
      <c r="E13" s="119"/>
      <c r="F13" s="119"/>
      <c r="G13" s="119"/>
      <c r="H13" s="119"/>
      <c r="I13" s="119"/>
      <c r="J13" s="119"/>
      <c r="K13" s="119"/>
    </row>
    <row r="14" spans="1:14">
      <c r="A14" s="32">
        <f t="shared" ref="A14:A25" si="0">A13+1</f>
        <v>3</v>
      </c>
      <c r="B14" s="43" t="s">
        <v>170</v>
      </c>
      <c r="C14" s="30"/>
      <c r="D14" s="83">
        <v>0</v>
      </c>
      <c r="E14" s="119"/>
      <c r="F14" s="119"/>
      <c r="G14" s="119"/>
      <c r="H14" s="119"/>
      <c r="I14" s="119"/>
      <c r="J14" s="119"/>
      <c r="K14" s="119"/>
    </row>
    <row r="15" spans="1:14">
      <c r="A15" s="32">
        <f t="shared" si="0"/>
        <v>4</v>
      </c>
      <c r="B15" s="54" t="s">
        <v>137</v>
      </c>
      <c r="C15" s="66"/>
      <c r="D15" s="120">
        <f>SUM(D12:D14)</f>
        <v>145000</v>
      </c>
      <c r="E15" s="119"/>
      <c r="F15" s="119"/>
      <c r="G15" s="119"/>
      <c r="H15" s="119"/>
      <c r="I15" s="119"/>
      <c r="J15" s="119"/>
      <c r="K15" s="119"/>
    </row>
    <row r="16" spans="1:14">
      <c r="A16" s="32">
        <f t="shared" si="0"/>
        <v>5</v>
      </c>
      <c r="B16" s="30"/>
      <c r="C16" s="2"/>
      <c r="D16" s="30"/>
      <c r="E16" s="119"/>
      <c r="F16" s="119"/>
      <c r="G16" s="119"/>
      <c r="H16" s="119"/>
      <c r="I16" s="119"/>
      <c r="J16" s="119"/>
      <c r="K16" s="119"/>
    </row>
    <row r="17" spans="1:12">
      <c r="A17" s="32">
        <f t="shared" si="0"/>
        <v>6</v>
      </c>
      <c r="B17" s="2" t="s">
        <v>171</v>
      </c>
      <c r="C17" s="2"/>
      <c r="D17" s="121">
        <f>D15</f>
        <v>145000</v>
      </c>
      <c r="E17" s="119"/>
      <c r="F17" s="119"/>
      <c r="G17" s="119"/>
      <c r="H17" s="119"/>
      <c r="I17" s="119"/>
      <c r="J17" s="119"/>
      <c r="K17" s="119"/>
    </row>
    <row r="18" spans="1:12">
      <c r="A18" s="32">
        <f t="shared" si="0"/>
        <v>7</v>
      </c>
      <c r="B18" s="2" t="s">
        <v>172</v>
      </c>
      <c r="C18" s="2"/>
      <c r="D18" s="121">
        <v>3</v>
      </c>
      <c r="E18" s="119"/>
      <c r="F18" s="119"/>
      <c r="G18" s="119"/>
      <c r="H18" s="119"/>
      <c r="I18" s="119"/>
      <c r="J18" s="119"/>
      <c r="K18" s="119"/>
    </row>
    <row r="19" spans="1:12">
      <c r="A19" s="32">
        <f t="shared" si="0"/>
        <v>8</v>
      </c>
      <c r="B19" s="2" t="s">
        <v>173</v>
      </c>
      <c r="C19" s="2"/>
      <c r="D19" s="121">
        <f>D17/D18</f>
        <v>48333.333333333336</v>
      </c>
      <c r="E19" s="119"/>
      <c r="F19" s="119"/>
      <c r="G19" s="119"/>
      <c r="H19" s="119"/>
      <c r="I19" s="119"/>
      <c r="J19" s="119"/>
      <c r="K19" s="119"/>
    </row>
    <row r="20" spans="1:12">
      <c r="A20" s="32">
        <f t="shared" si="0"/>
        <v>9</v>
      </c>
      <c r="B20" s="2"/>
      <c r="C20" s="2"/>
      <c r="D20" s="121"/>
      <c r="E20" s="119"/>
      <c r="F20" s="119"/>
      <c r="G20" s="119"/>
      <c r="H20" s="119"/>
      <c r="I20" s="119"/>
      <c r="J20" s="119"/>
      <c r="K20" s="119"/>
    </row>
    <row r="21" spans="1:12">
      <c r="A21" s="32">
        <f t="shared" si="0"/>
        <v>10</v>
      </c>
      <c r="B21" s="2" t="s">
        <v>108</v>
      </c>
      <c r="C21" s="2"/>
      <c r="D21" s="121">
        <v>0</v>
      </c>
      <c r="E21" s="127"/>
      <c r="F21" s="127"/>
      <c r="G21" s="127"/>
      <c r="H21" s="127"/>
      <c r="I21" s="127"/>
      <c r="J21" s="127"/>
      <c r="K21" s="127"/>
    </row>
    <row r="22" spans="1:12">
      <c r="A22" s="32">
        <f t="shared" si="0"/>
        <v>11</v>
      </c>
      <c r="B22" s="2"/>
      <c r="C22" s="2"/>
      <c r="D22" s="30"/>
      <c r="E22" s="119"/>
      <c r="F22" s="119"/>
      <c r="G22" s="119"/>
      <c r="H22" s="119"/>
      <c r="I22" s="119"/>
      <c r="J22" s="119"/>
      <c r="K22" s="119"/>
    </row>
    <row r="23" spans="1:12">
      <c r="A23" s="32">
        <f t="shared" si="0"/>
        <v>12</v>
      </c>
      <c r="B23" s="2" t="s">
        <v>109</v>
      </c>
      <c r="C23" s="30"/>
      <c r="D23" s="122">
        <f>D19</f>
        <v>48333.333333333336</v>
      </c>
      <c r="E23" s="119"/>
      <c r="F23" s="119"/>
      <c r="G23" s="119"/>
      <c r="H23" s="119"/>
      <c r="I23" s="119"/>
      <c r="J23" s="119"/>
      <c r="K23" s="119"/>
    </row>
    <row r="24" spans="1:12">
      <c r="A24" s="32">
        <f t="shared" si="0"/>
        <v>13</v>
      </c>
      <c r="B24" s="2"/>
      <c r="C24" s="30"/>
      <c r="D24" s="30"/>
      <c r="E24" s="123"/>
      <c r="F24" s="123"/>
      <c r="G24" s="123"/>
      <c r="H24" s="123"/>
      <c r="I24" s="119"/>
      <c r="J24" s="119"/>
      <c r="K24" s="119"/>
      <c r="L24" s="119"/>
    </row>
    <row r="25" spans="1:12" ht="14.4" thickBot="1">
      <c r="A25" s="32">
        <f t="shared" si="0"/>
        <v>14</v>
      </c>
      <c r="B25" s="13" t="s">
        <v>8</v>
      </c>
      <c r="C25" s="47"/>
      <c r="D25" s="124">
        <f>ROUND(D23-D21,2)</f>
        <v>48333.33</v>
      </c>
      <c r="E25" s="123"/>
      <c r="F25" s="123"/>
      <c r="G25" s="123"/>
      <c r="H25" s="123"/>
      <c r="I25" s="119"/>
      <c r="J25" s="119"/>
      <c r="K25" s="119"/>
    </row>
    <row r="26" spans="1:12" ht="14.4" thickTop="1">
      <c r="A26" s="32"/>
      <c r="B26" s="30"/>
      <c r="C26" s="30"/>
      <c r="D26" s="30"/>
      <c r="E26" s="123"/>
      <c r="F26" s="123"/>
      <c r="G26" s="123"/>
      <c r="H26" s="123"/>
      <c r="I26" s="119"/>
      <c r="J26" s="119"/>
      <c r="K26" s="119"/>
    </row>
    <row r="27" spans="1:12">
      <c r="A27" s="32"/>
      <c r="B27" s="30"/>
      <c r="C27" s="30"/>
      <c r="D27" s="30"/>
      <c r="E27" s="125"/>
      <c r="F27" s="125"/>
      <c r="G27" s="125"/>
      <c r="H27" s="125"/>
      <c r="I27" s="125"/>
      <c r="J27" s="125"/>
      <c r="K27" s="125"/>
    </row>
    <row r="28" spans="1:12" ht="28.2" customHeight="1">
      <c r="A28" s="32"/>
      <c r="B28" s="309" t="s">
        <v>174</v>
      </c>
      <c r="C28" s="309"/>
      <c r="D28" s="309"/>
      <c r="E28" s="126"/>
      <c r="F28" s="126"/>
      <c r="G28" s="126"/>
    </row>
    <row r="29" spans="1:12">
      <c r="A29" s="30"/>
      <c r="B29" s="36"/>
      <c r="C29" s="36"/>
      <c r="D29" s="36"/>
      <c r="E29" s="36"/>
      <c r="F29" s="36"/>
    </row>
    <row r="30" spans="1:12">
      <c r="A30" s="30"/>
      <c r="B30" s="36"/>
      <c r="C30" s="36"/>
      <c r="D30" s="36"/>
      <c r="E30" s="36"/>
      <c r="F30" s="36"/>
    </row>
    <row r="31" spans="1:12">
      <c r="A31" s="30"/>
      <c r="B31" s="36"/>
      <c r="C31" s="36"/>
      <c r="D31" s="36"/>
      <c r="E31" s="36"/>
      <c r="F31" s="36"/>
    </row>
    <row r="32" spans="1:12">
      <c r="B32" s="36"/>
      <c r="C32" s="36"/>
      <c r="D32" s="36"/>
      <c r="E32" s="36"/>
      <c r="F32" s="49"/>
    </row>
    <row r="33" spans="5:6">
      <c r="E33" s="36"/>
      <c r="F33" s="36"/>
    </row>
    <row r="34" spans="5:6">
      <c r="E34" s="36"/>
      <c r="F34" s="36"/>
    </row>
    <row r="35" spans="5:6">
      <c r="E35" s="36"/>
      <c r="F35" s="36"/>
    </row>
    <row r="36" spans="5:6">
      <c r="E36" s="36"/>
      <c r="F36" s="36"/>
    </row>
  </sheetData>
  <mergeCells count="4">
    <mergeCell ref="A4:D4"/>
    <mergeCell ref="A5:D5"/>
    <mergeCell ref="A7:D7"/>
    <mergeCell ref="B28:D2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0:D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1"/>
  <sheetViews>
    <sheetView view="pageBreakPreview" zoomScale="110" zoomScaleNormal="100" zoomScaleSheetLayoutView="110" workbookViewId="0">
      <selection activeCell="B64" sqref="B64"/>
    </sheetView>
  </sheetViews>
  <sheetFormatPr defaultColWidth="9.109375" defaultRowHeight="13.2"/>
  <cols>
    <col min="1" max="1" width="11.5546875" style="30" customWidth="1"/>
    <col min="2" max="2" width="14.5546875" style="30" customWidth="1"/>
    <col min="3" max="3" width="12.44140625" style="30" customWidth="1"/>
    <col min="4" max="8" width="16.88671875" style="30" customWidth="1"/>
    <col min="9" max="9" width="9.109375" style="30"/>
    <col min="10" max="10" width="11.33203125" style="30" bestFit="1" customWidth="1"/>
    <col min="11" max="11" width="9.109375" style="30"/>
    <col min="12" max="12" width="11.33203125" style="30" bestFit="1" customWidth="1"/>
    <col min="13" max="16384" width="9.109375" style="30"/>
  </cols>
  <sheetData>
    <row r="1" spans="1:15" ht="15" customHeight="1">
      <c r="G1" s="19"/>
      <c r="H1" s="19" t="s">
        <v>253</v>
      </c>
    </row>
    <row r="2" spans="1:15" ht="20.25" customHeight="1">
      <c r="G2" s="19"/>
      <c r="H2" s="19"/>
    </row>
    <row r="3" spans="1:15">
      <c r="G3" s="19"/>
      <c r="H3" s="19"/>
    </row>
    <row r="4" spans="1:15">
      <c r="A4" s="308" t="s">
        <v>310</v>
      </c>
      <c r="B4" s="308"/>
      <c r="C4" s="308"/>
      <c r="D4" s="308"/>
      <c r="E4" s="308"/>
      <c r="F4" s="308"/>
      <c r="G4" s="308"/>
      <c r="H4" s="308"/>
      <c r="I4" s="27"/>
      <c r="J4" s="27"/>
      <c r="K4" s="27"/>
      <c r="L4" s="27"/>
      <c r="M4" s="27"/>
      <c r="N4" s="27"/>
      <c r="O4" s="27"/>
    </row>
    <row r="5" spans="1:15">
      <c r="A5" s="308" t="s">
        <v>284</v>
      </c>
      <c r="B5" s="308"/>
      <c r="C5" s="308"/>
      <c r="D5" s="308"/>
      <c r="E5" s="308"/>
      <c r="F5" s="308"/>
      <c r="G5" s="308"/>
      <c r="H5" s="308"/>
      <c r="I5" s="27"/>
      <c r="J5" s="27"/>
      <c r="K5" s="27"/>
      <c r="L5" s="27"/>
    </row>
    <row r="7" spans="1:15" s="28" customFormat="1" ht="15" customHeight="1">
      <c r="A7" s="306" t="s">
        <v>285</v>
      </c>
      <c r="B7" s="306"/>
      <c r="C7" s="306"/>
      <c r="D7" s="306"/>
      <c r="E7" s="306"/>
      <c r="F7" s="306"/>
      <c r="G7" s="306"/>
      <c r="H7" s="306"/>
      <c r="I7" s="29"/>
      <c r="J7" s="29"/>
      <c r="K7" s="29"/>
      <c r="L7" s="29"/>
    </row>
    <row r="9" spans="1:15">
      <c r="A9" s="32" t="s">
        <v>59</v>
      </c>
      <c r="B9" s="32" t="s">
        <v>61</v>
      </c>
      <c r="C9" s="32" t="s">
        <v>58</v>
      </c>
      <c r="D9" s="32" t="s">
        <v>60</v>
      </c>
      <c r="E9" s="32" t="s">
        <v>56</v>
      </c>
      <c r="F9" s="32" t="s">
        <v>432</v>
      </c>
      <c r="G9" s="32" t="s">
        <v>433</v>
      </c>
      <c r="H9" s="32" t="s">
        <v>434</v>
      </c>
    </row>
    <row r="10" spans="1:15">
      <c r="A10" s="32"/>
      <c r="B10" s="32"/>
      <c r="C10" s="32"/>
      <c r="D10" s="88"/>
      <c r="E10" s="88"/>
      <c r="F10" s="88"/>
      <c r="G10" s="88" t="s">
        <v>435</v>
      </c>
      <c r="H10" s="88" t="s">
        <v>436</v>
      </c>
      <c r="I10" s="75"/>
    </row>
    <row r="11" spans="1:15" ht="31.5" customHeight="1">
      <c r="A11" s="82" t="s">
        <v>70</v>
      </c>
      <c r="B11" s="109" t="s">
        <v>437</v>
      </c>
      <c r="C11" s="82" t="s">
        <v>438</v>
      </c>
      <c r="D11" s="109" t="s">
        <v>439</v>
      </c>
      <c r="E11" s="109" t="s">
        <v>440</v>
      </c>
      <c r="F11" s="109" t="s">
        <v>441</v>
      </c>
      <c r="G11" s="109" t="s">
        <v>442</v>
      </c>
      <c r="H11" s="109" t="s">
        <v>443</v>
      </c>
      <c r="I11" s="75"/>
    </row>
    <row r="12" spans="1:15">
      <c r="A12" s="32">
        <v>1</v>
      </c>
      <c r="B12" s="42">
        <f>22.18*12</f>
        <v>266.15999999999997</v>
      </c>
      <c r="C12" s="32">
        <v>165.3</v>
      </c>
      <c r="D12" s="42">
        <v>30.06</v>
      </c>
      <c r="E12" s="84">
        <f>+D12*2080</f>
        <v>62524.799999999996</v>
      </c>
      <c r="F12" s="42">
        <f>IF(E12&gt;50000,50000,E12)</f>
        <v>50000</v>
      </c>
      <c r="G12" s="42">
        <f>+E12*2</f>
        <v>125049.59999999999</v>
      </c>
      <c r="H12" s="50">
        <f>-((G12-F12)/G12)*B12</f>
        <v>-159.73822815906647</v>
      </c>
      <c r="I12" s="45"/>
      <c r="J12" s="84"/>
      <c r="L12" s="84"/>
    </row>
    <row r="13" spans="1:15">
      <c r="A13" s="32">
        <v>2</v>
      </c>
      <c r="B13" s="182">
        <f>28.86*12</f>
        <v>346.32</v>
      </c>
      <c r="C13" s="32">
        <v>165.3</v>
      </c>
      <c r="D13" s="45">
        <v>39.86</v>
      </c>
      <c r="E13" s="45">
        <f t="shared" ref="E13:E56" si="0">+D13*2080</f>
        <v>82908.800000000003</v>
      </c>
      <c r="F13" s="45">
        <f t="shared" ref="F13:F56" si="1">IF(E13&gt;50000,50000,E13)</f>
        <v>50000</v>
      </c>
      <c r="G13" s="45">
        <f t="shared" ref="G13:G56" si="2">+E13*2</f>
        <v>165817.60000000001</v>
      </c>
      <c r="H13" s="50">
        <f t="shared" ref="H13:H56" si="3">-((G13-F13)/G13)*B13</f>
        <v>-241.89200200702462</v>
      </c>
    </row>
    <row r="14" spans="1:15">
      <c r="A14" s="32">
        <v>3</v>
      </c>
      <c r="B14" s="182">
        <f>21.47*12</f>
        <v>257.64</v>
      </c>
      <c r="C14" s="32">
        <v>165.3</v>
      </c>
      <c r="D14" s="45">
        <v>29.23</v>
      </c>
      <c r="E14" s="45">
        <f t="shared" si="0"/>
        <v>60798.400000000001</v>
      </c>
      <c r="F14" s="45">
        <f t="shared" si="1"/>
        <v>50000</v>
      </c>
      <c r="G14" s="45">
        <f t="shared" si="2"/>
        <v>121596.8</v>
      </c>
      <c r="H14" s="50">
        <f t="shared" si="3"/>
        <v>-151.69971209768676</v>
      </c>
    </row>
    <row r="15" spans="1:15">
      <c r="A15" s="32">
        <v>4</v>
      </c>
      <c r="B15" s="182">
        <f>23.94*12</f>
        <v>287.28000000000003</v>
      </c>
      <c r="C15" s="32">
        <v>165.3</v>
      </c>
      <c r="D15" s="45">
        <v>34.32</v>
      </c>
      <c r="E15" s="45">
        <f t="shared" si="0"/>
        <v>71385.600000000006</v>
      </c>
      <c r="F15" s="45">
        <f t="shared" si="1"/>
        <v>50000</v>
      </c>
      <c r="G15" s="45">
        <f t="shared" si="2"/>
        <v>142771.20000000001</v>
      </c>
      <c r="H15" s="50">
        <f t="shared" si="3"/>
        <v>-186.67147391070472</v>
      </c>
    </row>
    <row r="16" spans="1:15">
      <c r="A16" s="32">
        <v>5</v>
      </c>
      <c r="B16" s="182">
        <f>13.02*12</f>
        <v>156.24</v>
      </c>
      <c r="C16" s="32">
        <v>165.3</v>
      </c>
      <c r="D16" s="45">
        <v>18.600000000000001</v>
      </c>
      <c r="E16" s="45">
        <f t="shared" si="0"/>
        <v>38688</v>
      </c>
      <c r="F16" s="45">
        <f t="shared" si="1"/>
        <v>38688</v>
      </c>
      <c r="G16" s="45">
        <f t="shared" si="2"/>
        <v>77376</v>
      </c>
      <c r="H16" s="50">
        <f t="shared" si="3"/>
        <v>-78.12</v>
      </c>
    </row>
    <row r="17" spans="1:8">
      <c r="A17" s="32">
        <v>6</v>
      </c>
      <c r="B17" s="182">
        <f>32.38*12</f>
        <v>388.56000000000006</v>
      </c>
      <c r="C17" s="32">
        <v>165.3</v>
      </c>
      <c r="D17" s="45">
        <v>43.99</v>
      </c>
      <c r="E17" s="45">
        <f t="shared" si="0"/>
        <v>91499.199999999997</v>
      </c>
      <c r="F17" s="45">
        <f t="shared" si="1"/>
        <v>50000</v>
      </c>
      <c r="G17" s="45">
        <f t="shared" si="2"/>
        <v>182998.39999999999</v>
      </c>
      <c r="H17" s="50">
        <f t="shared" si="3"/>
        <v>-282.39513735639224</v>
      </c>
    </row>
    <row r="18" spans="1:8">
      <c r="A18" s="32">
        <v>7</v>
      </c>
      <c r="B18" s="182">
        <f>21.12*12</f>
        <v>253.44</v>
      </c>
      <c r="C18" s="32">
        <v>165.3</v>
      </c>
      <c r="D18" s="45">
        <v>30</v>
      </c>
      <c r="E18" s="45">
        <f t="shared" si="0"/>
        <v>62400</v>
      </c>
      <c r="F18" s="45">
        <f t="shared" si="1"/>
        <v>50000</v>
      </c>
      <c r="G18" s="45">
        <f t="shared" si="2"/>
        <v>124800</v>
      </c>
      <c r="H18" s="50">
        <f t="shared" si="3"/>
        <v>-151.90153846153845</v>
      </c>
    </row>
    <row r="19" spans="1:8">
      <c r="A19" s="32">
        <v>8</v>
      </c>
      <c r="B19" s="182">
        <f>29.22*12</f>
        <v>350.64</v>
      </c>
      <c r="C19" s="32">
        <v>165.3</v>
      </c>
      <c r="D19" s="45">
        <v>39.72</v>
      </c>
      <c r="E19" s="45">
        <f t="shared" si="0"/>
        <v>82617.599999999991</v>
      </c>
      <c r="F19" s="45">
        <f t="shared" si="1"/>
        <v>50000</v>
      </c>
      <c r="G19" s="45">
        <f t="shared" si="2"/>
        <v>165235.19999999998</v>
      </c>
      <c r="H19" s="50">
        <f t="shared" si="3"/>
        <v>-244.53669997676036</v>
      </c>
    </row>
    <row r="20" spans="1:8">
      <c r="A20" s="32">
        <v>9</v>
      </c>
      <c r="B20" s="182">
        <f>28.51*12</f>
        <v>342.12</v>
      </c>
      <c r="C20" s="32">
        <v>165.3</v>
      </c>
      <c r="D20" s="45">
        <v>38.75</v>
      </c>
      <c r="E20" s="45">
        <f t="shared" si="0"/>
        <v>80600</v>
      </c>
      <c r="F20" s="45">
        <f t="shared" si="1"/>
        <v>50000</v>
      </c>
      <c r="G20" s="45">
        <f t="shared" si="2"/>
        <v>161200</v>
      </c>
      <c r="H20" s="50">
        <f t="shared" si="3"/>
        <v>-236.0033746898263</v>
      </c>
    </row>
    <row r="21" spans="1:8">
      <c r="A21" s="32">
        <v>10</v>
      </c>
      <c r="B21" s="182">
        <f>27.1*12</f>
        <v>325.20000000000005</v>
      </c>
      <c r="C21" s="32">
        <v>165.3</v>
      </c>
      <c r="D21" s="45">
        <v>36.96</v>
      </c>
      <c r="E21" s="45">
        <f t="shared" si="0"/>
        <v>76876.800000000003</v>
      </c>
      <c r="F21" s="45">
        <f t="shared" si="1"/>
        <v>50000</v>
      </c>
      <c r="G21" s="45">
        <f t="shared" si="2"/>
        <v>153753.60000000001</v>
      </c>
      <c r="H21" s="50">
        <f t="shared" si="3"/>
        <v>-219.44637862137867</v>
      </c>
    </row>
    <row r="22" spans="1:8">
      <c r="A22" s="32">
        <v>11</v>
      </c>
      <c r="B22" s="182">
        <f>25.7*12</f>
        <v>308.39999999999998</v>
      </c>
      <c r="C22" s="32">
        <v>165.3</v>
      </c>
      <c r="D22" s="45">
        <v>35.46</v>
      </c>
      <c r="E22" s="45">
        <f t="shared" si="0"/>
        <v>73756.800000000003</v>
      </c>
      <c r="F22" s="45">
        <f t="shared" si="1"/>
        <v>50000</v>
      </c>
      <c r="G22" s="45">
        <f t="shared" si="2"/>
        <v>147513.60000000001</v>
      </c>
      <c r="H22" s="50">
        <f t="shared" si="3"/>
        <v>-203.86726539112323</v>
      </c>
    </row>
    <row r="23" spans="1:8">
      <c r="A23" s="32">
        <v>12</v>
      </c>
      <c r="B23" s="182">
        <f>18.66*12</f>
        <v>223.92000000000002</v>
      </c>
      <c r="C23" s="32">
        <v>165.3</v>
      </c>
      <c r="D23" s="45">
        <v>25.41</v>
      </c>
      <c r="E23" s="45">
        <f t="shared" si="0"/>
        <v>52852.800000000003</v>
      </c>
      <c r="F23" s="45">
        <f t="shared" si="1"/>
        <v>50000</v>
      </c>
      <c r="G23" s="45">
        <f t="shared" si="2"/>
        <v>105705.60000000001</v>
      </c>
      <c r="H23" s="50">
        <f t="shared" si="3"/>
        <v>-118.00318953773501</v>
      </c>
    </row>
    <row r="24" spans="1:8">
      <c r="A24" s="32">
        <v>13</v>
      </c>
      <c r="B24" s="182">
        <f>24.29*12</f>
        <v>291.48</v>
      </c>
      <c r="C24" s="32">
        <v>165.3</v>
      </c>
      <c r="D24" s="45">
        <v>34.159999999999997</v>
      </c>
      <c r="E24" s="45">
        <f t="shared" si="0"/>
        <v>71052.799999999988</v>
      </c>
      <c r="F24" s="45">
        <f t="shared" si="1"/>
        <v>50000</v>
      </c>
      <c r="G24" s="45">
        <f t="shared" si="2"/>
        <v>142105.59999999998</v>
      </c>
      <c r="H24" s="50">
        <f t="shared" si="3"/>
        <v>-188.92246532156366</v>
      </c>
    </row>
    <row r="25" spans="1:8">
      <c r="A25" s="32">
        <v>14</v>
      </c>
      <c r="B25" s="182">
        <f>22.88*12</f>
        <v>274.56</v>
      </c>
      <c r="C25" s="32">
        <v>165.3</v>
      </c>
      <c r="D25" s="45">
        <v>32.32</v>
      </c>
      <c r="E25" s="45">
        <f t="shared" si="0"/>
        <v>67225.600000000006</v>
      </c>
      <c r="F25" s="45">
        <f t="shared" si="1"/>
        <v>50000</v>
      </c>
      <c r="G25" s="45">
        <f t="shared" si="2"/>
        <v>134451.20000000001</v>
      </c>
      <c r="H25" s="50">
        <f t="shared" si="3"/>
        <v>-172.45603960396039</v>
      </c>
    </row>
    <row r="26" spans="1:8">
      <c r="A26" s="32">
        <v>15</v>
      </c>
      <c r="B26" s="182">
        <f>14.08*12</f>
        <v>168.96</v>
      </c>
      <c r="C26" s="32">
        <v>165.3</v>
      </c>
      <c r="D26" s="45">
        <v>20.5</v>
      </c>
      <c r="E26" s="45">
        <f t="shared" si="0"/>
        <v>42640</v>
      </c>
      <c r="F26" s="45">
        <f t="shared" si="1"/>
        <v>42640</v>
      </c>
      <c r="G26" s="45">
        <f t="shared" si="2"/>
        <v>85280</v>
      </c>
      <c r="H26" s="50">
        <f t="shared" si="3"/>
        <v>-84.48</v>
      </c>
    </row>
    <row r="27" spans="1:8">
      <c r="A27" s="32">
        <v>16</v>
      </c>
      <c r="B27" s="182">
        <f>22.18*12</f>
        <v>266.15999999999997</v>
      </c>
      <c r="C27" s="32">
        <v>165.3</v>
      </c>
      <c r="D27" s="45">
        <v>32.24</v>
      </c>
      <c r="E27" s="45">
        <f t="shared" si="0"/>
        <v>67059.199999999997</v>
      </c>
      <c r="F27" s="45">
        <f t="shared" si="1"/>
        <v>50000</v>
      </c>
      <c r="G27" s="45">
        <f t="shared" si="2"/>
        <v>134118.39999999999</v>
      </c>
      <c r="H27" s="50">
        <f t="shared" si="3"/>
        <v>-166.93424126741741</v>
      </c>
    </row>
    <row r="28" spans="1:8">
      <c r="A28" s="32">
        <v>17</v>
      </c>
      <c r="B28" s="182">
        <f>22.88*12</f>
        <v>274.56</v>
      </c>
      <c r="C28" s="32">
        <v>165.3</v>
      </c>
      <c r="D28" s="45">
        <v>32.31</v>
      </c>
      <c r="E28" s="45">
        <f t="shared" si="0"/>
        <v>67204.800000000003</v>
      </c>
      <c r="F28" s="45">
        <f t="shared" si="1"/>
        <v>50000</v>
      </c>
      <c r="G28" s="45">
        <f t="shared" si="2"/>
        <v>134409.60000000001</v>
      </c>
      <c r="H28" s="50">
        <f t="shared" si="3"/>
        <v>-172.4244382544104</v>
      </c>
    </row>
    <row r="29" spans="1:8">
      <c r="A29" s="32">
        <v>18</v>
      </c>
      <c r="B29" s="182">
        <f>35.55*12</f>
        <v>426.59999999999997</v>
      </c>
      <c r="C29" s="32">
        <v>165.3</v>
      </c>
      <c r="D29" s="45">
        <v>48.5</v>
      </c>
      <c r="E29" s="45">
        <f t="shared" si="0"/>
        <v>100880</v>
      </c>
      <c r="F29" s="45">
        <f t="shared" si="1"/>
        <v>50000</v>
      </c>
      <c r="G29" s="45">
        <f t="shared" si="2"/>
        <v>201760</v>
      </c>
      <c r="H29" s="50">
        <f t="shared" si="3"/>
        <v>-320.88033306899285</v>
      </c>
    </row>
    <row r="30" spans="1:8">
      <c r="A30" s="32">
        <v>19</v>
      </c>
      <c r="B30" s="182">
        <f>15.49*12</f>
        <v>185.88</v>
      </c>
      <c r="C30" s="32">
        <v>165.3</v>
      </c>
      <c r="D30" s="45">
        <v>21.5</v>
      </c>
      <c r="E30" s="45">
        <f t="shared" si="0"/>
        <v>44720</v>
      </c>
      <c r="F30" s="45">
        <f t="shared" si="1"/>
        <v>44720</v>
      </c>
      <c r="G30" s="45">
        <f t="shared" si="2"/>
        <v>89440</v>
      </c>
      <c r="H30" s="50">
        <f t="shared" si="3"/>
        <v>-92.94</v>
      </c>
    </row>
    <row r="31" spans="1:8">
      <c r="A31" s="32">
        <v>20</v>
      </c>
      <c r="B31" s="182">
        <f>33.44*12</f>
        <v>401.28</v>
      </c>
      <c r="C31" s="32">
        <v>165.3</v>
      </c>
      <c r="D31" s="45">
        <v>45.44</v>
      </c>
      <c r="E31" s="45">
        <f t="shared" si="0"/>
        <v>94515.199999999997</v>
      </c>
      <c r="F31" s="45">
        <f t="shared" si="1"/>
        <v>50000</v>
      </c>
      <c r="G31" s="45">
        <f t="shared" si="2"/>
        <v>189030.39999999999</v>
      </c>
      <c r="H31" s="50">
        <f t="shared" si="3"/>
        <v>-295.13834236186347</v>
      </c>
    </row>
    <row r="32" spans="1:8">
      <c r="A32" s="32">
        <v>21</v>
      </c>
      <c r="B32" s="182">
        <f>36.96*12</f>
        <v>443.52</v>
      </c>
      <c r="C32" s="32">
        <v>165.3</v>
      </c>
      <c r="D32" s="45">
        <v>50.01</v>
      </c>
      <c r="E32" s="45">
        <f t="shared" si="0"/>
        <v>104020.8</v>
      </c>
      <c r="F32" s="45">
        <f t="shared" si="1"/>
        <v>50000</v>
      </c>
      <c r="G32" s="45">
        <f t="shared" si="2"/>
        <v>208041.60000000001</v>
      </c>
      <c r="H32" s="50">
        <f t="shared" si="3"/>
        <v>-336.9259341977758</v>
      </c>
    </row>
    <row r="33" spans="1:8">
      <c r="A33" s="32">
        <v>22</v>
      </c>
      <c r="B33" s="182">
        <f>20.06*12</f>
        <v>240.71999999999997</v>
      </c>
      <c r="C33" s="32">
        <v>165.3</v>
      </c>
      <c r="D33" s="45">
        <v>27.56</v>
      </c>
      <c r="E33" s="45">
        <f t="shared" si="0"/>
        <v>57324.799999999996</v>
      </c>
      <c r="F33" s="45">
        <f t="shared" si="1"/>
        <v>50000</v>
      </c>
      <c r="G33" s="45">
        <f t="shared" si="2"/>
        <v>114649.59999999999</v>
      </c>
      <c r="H33" s="50">
        <f t="shared" si="3"/>
        <v>-135.7392586803617</v>
      </c>
    </row>
    <row r="34" spans="1:8">
      <c r="A34" s="32">
        <v>23</v>
      </c>
      <c r="B34" s="182">
        <f>31.68*12</f>
        <v>380.15999999999997</v>
      </c>
      <c r="C34" s="32">
        <v>165.3</v>
      </c>
      <c r="D34" s="45">
        <v>42.95</v>
      </c>
      <c r="E34" s="45">
        <f t="shared" si="0"/>
        <v>89336</v>
      </c>
      <c r="F34" s="45">
        <f t="shared" si="1"/>
        <v>50000</v>
      </c>
      <c r="G34" s="45">
        <f t="shared" si="2"/>
        <v>178672</v>
      </c>
      <c r="H34" s="50">
        <f t="shared" si="3"/>
        <v>-273.77511596668757</v>
      </c>
    </row>
    <row r="35" spans="1:8">
      <c r="A35" s="32">
        <v>24</v>
      </c>
      <c r="B35" s="182">
        <f>31.68*12</f>
        <v>380.15999999999997</v>
      </c>
      <c r="C35" s="32">
        <v>165.3</v>
      </c>
      <c r="D35" s="45">
        <v>42.95</v>
      </c>
      <c r="E35" s="45">
        <f t="shared" si="0"/>
        <v>89336</v>
      </c>
      <c r="F35" s="45">
        <f t="shared" si="1"/>
        <v>50000</v>
      </c>
      <c r="G35" s="45">
        <f t="shared" si="2"/>
        <v>178672</v>
      </c>
      <c r="H35" s="50">
        <f t="shared" si="3"/>
        <v>-273.77511596668757</v>
      </c>
    </row>
    <row r="36" spans="1:8">
      <c r="A36" s="32">
        <v>25</v>
      </c>
      <c r="B36" s="182">
        <f>17.95*12</f>
        <v>215.39999999999998</v>
      </c>
      <c r="C36" s="32">
        <v>165.3</v>
      </c>
      <c r="D36" s="45">
        <v>24.76</v>
      </c>
      <c r="E36" s="45">
        <f t="shared" si="0"/>
        <v>51500.800000000003</v>
      </c>
      <c r="F36" s="45">
        <f t="shared" si="1"/>
        <v>50000</v>
      </c>
      <c r="G36" s="45">
        <f t="shared" si="2"/>
        <v>103001.60000000001</v>
      </c>
      <c r="H36" s="50">
        <f t="shared" si="3"/>
        <v>-110.83851745992294</v>
      </c>
    </row>
    <row r="37" spans="1:8">
      <c r="A37" s="32">
        <v>26</v>
      </c>
      <c r="B37" s="182">
        <f>20.06*12</f>
        <v>240.71999999999997</v>
      </c>
      <c r="C37" s="32">
        <v>165.3</v>
      </c>
      <c r="D37" s="45">
        <v>27.56</v>
      </c>
      <c r="E37" s="45">
        <f t="shared" si="0"/>
        <v>57324.799999999996</v>
      </c>
      <c r="F37" s="45">
        <f t="shared" si="1"/>
        <v>50000</v>
      </c>
      <c r="G37" s="45">
        <f t="shared" si="2"/>
        <v>114649.59999999999</v>
      </c>
      <c r="H37" s="50">
        <f t="shared" si="3"/>
        <v>-135.7392586803617</v>
      </c>
    </row>
    <row r="38" spans="1:8">
      <c r="A38" s="32">
        <v>27</v>
      </c>
      <c r="B38" s="182">
        <f>31.33*12</f>
        <v>375.96</v>
      </c>
      <c r="C38" s="32">
        <v>165.3</v>
      </c>
      <c r="D38" s="45">
        <v>42.42</v>
      </c>
      <c r="E38" s="45">
        <f t="shared" si="0"/>
        <v>88233.600000000006</v>
      </c>
      <c r="F38" s="45">
        <f t="shared" si="1"/>
        <v>50000</v>
      </c>
      <c r="G38" s="45">
        <f t="shared" si="2"/>
        <v>176467.20000000001</v>
      </c>
      <c r="H38" s="50">
        <f t="shared" si="3"/>
        <v>-269.43595473833096</v>
      </c>
    </row>
    <row r="39" spans="1:8">
      <c r="A39" s="32">
        <v>28</v>
      </c>
      <c r="B39" s="182">
        <f>37.31*12</f>
        <v>447.72</v>
      </c>
      <c r="C39" s="32">
        <v>165.3</v>
      </c>
      <c r="D39" s="45">
        <v>53.73</v>
      </c>
      <c r="E39" s="45">
        <f t="shared" si="0"/>
        <v>111758.39999999999</v>
      </c>
      <c r="F39" s="45">
        <f t="shared" si="1"/>
        <v>50000</v>
      </c>
      <c r="G39" s="45">
        <f t="shared" si="2"/>
        <v>223516.79999999999</v>
      </c>
      <c r="H39" s="50">
        <f t="shared" si="3"/>
        <v>-347.56645449469568</v>
      </c>
    </row>
    <row r="40" spans="1:8">
      <c r="A40" s="32">
        <v>29</v>
      </c>
      <c r="B40" s="182">
        <f>29.92*12</f>
        <v>359.04</v>
      </c>
      <c r="C40" s="32">
        <v>165.3</v>
      </c>
      <c r="D40" s="45">
        <v>40.76</v>
      </c>
      <c r="E40" s="45">
        <f t="shared" si="0"/>
        <v>84780.800000000003</v>
      </c>
      <c r="F40" s="45">
        <f t="shared" si="1"/>
        <v>50000</v>
      </c>
      <c r="G40" s="45">
        <f t="shared" si="2"/>
        <v>169561.60000000001</v>
      </c>
      <c r="H40" s="50">
        <f t="shared" si="3"/>
        <v>-253.16697214463653</v>
      </c>
    </row>
    <row r="41" spans="1:8">
      <c r="A41" s="32">
        <v>30</v>
      </c>
      <c r="B41" s="182">
        <f>17.95*12</f>
        <v>215.39999999999998</v>
      </c>
      <c r="C41" s="32">
        <v>165.3</v>
      </c>
      <c r="D41" s="45">
        <v>26.78</v>
      </c>
      <c r="E41" s="45">
        <f t="shared" si="0"/>
        <v>55702.400000000001</v>
      </c>
      <c r="F41" s="45">
        <f t="shared" si="1"/>
        <v>50000</v>
      </c>
      <c r="G41" s="45">
        <f t="shared" si="2"/>
        <v>111404.8</v>
      </c>
      <c r="H41" s="50">
        <f t="shared" si="3"/>
        <v>-118.7255299592118</v>
      </c>
    </row>
    <row r="42" spans="1:8">
      <c r="A42" s="32">
        <v>31</v>
      </c>
      <c r="B42" s="182">
        <f>57.02*12</f>
        <v>684.24</v>
      </c>
      <c r="C42" s="32">
        <v>165.3</v>
      </c>
      <c r="D42" s="45">
        <v>77.5</v>
      </c>
      <c r="E42" s="45">
        <f t="shared" si="0"/>
        <v>161200</v>
      </c>
      <c r="F42" s="45">
        <f t="shared" si="1"/>
        <v>50000</v>
      </c>
      <c r="G42" s="45">
        <f t="shared" si="2"/>
        <v>322400</v>
      </c>
      <c r="H42" s="50">
        <f t="shared" si="3"/>
        <v>-578.12337468982628</v>
      </c>
    </row>
    <row r="43" spans="1:8">
      <c r="A43" s="32">
        <v>32</v>
      </c>
      <c r="B43" s="182">
        <f>23.94*12</f>
        <v>287.28000000000003</v>
      </c>
      <c r="C43" s="32">
        <v>165.3</v>
      </c>
      <c r="D43" s="45">
        <v>34.32</v>
      </c>
      <c r="E43" s="45">
        <f t="shared" si="0"/>
        <v>71385.600000000006</v>
      </c>
      <c r="F43" s="45">
        <f t="shared" si="1"/>
        <v>50000</v>
      </c>
      <c r="G43" s="45">
        <f t="shared" si="2"/>
        <v>142771.20000000001</v>
      </c>
      <c r="H43" s="50">
        <f t="shared" si="3"/>
        <v>-186.67147391070472</v>
      </c>
    </row>
    <row r="44" spans="1:8">
      <c r="A44" s="32">
        <v>33</v>
      </c>
      <c r="B44" s="182">
        <f>32.74*12</f>
        <v>392.88</v>
      </c>
      <c r="C44" s="32">
        <v>165.3</v>
      </c>
      <c r="D44" s="45">
        <v>44.64</v>
      </c>
      <c r="E44" s="45">
        <f t="shared" si="0"/>
        <v>92851.199999999997</v>
      </c>
      <c r="F44" s="45">
        <f t="shared" si="1"/>
        <v>50000</v>
      </c>
      <c r="G44" s="45">
        <f t="shared" si="2"/>
        <v>185702.39999999999</v>
      </c>
      <c r="H44" s="50">
        <f t="shared" si="3"/>
        <v>-287.09784532671625</v>
      </c>
    </row>
    <row r="45" spans="1:8">
      <c r="A45" s="32">
        <v>34</v>
      </c>
      <c r="B45" s="182">
        <f>28.86*12</f>
        <v>346.32</v>
      </c>
      <c r="C45" s="32">
        <v>165.3</v>
      </c>
      <c r="D45" s="45">
        <v>39.86</v>
      </c>
      <c r="E45" s="45">
        <f t="shared" si="0"/>
        <v>82908.800000000003</v>
      </c>
      <c r="F45" s="45">
        <f t="shared" si="1"/>
        <v>50000</v>
      </c>
      <c r="G45" s="45">
        <f t="shared" si="2"/>
        <v>165817.60000000001</v>
      </c>
      <c r="H45" s="50">
        <f t="shared" si="3"/>
        <v>-241.89200200702462</v>
      </c>
    </row>
    <row r="46" spans="1:8">
      <c r="A46" s="32">
        <v>35</v>
      </c>
      <c r="B46" s="182">
        <f>26.05*12</f>
        <v>312.60000000000002</v>
      </c>
      <c r="C46" s="32">
        <v>165.3</v>
      </c>
      <c r="D46" s="45">
        <v>35.26</v>
      </c>
      <c r="E46" s="45">
        <f t="shared" si="0"/>
        <v>73340.800000000003</v>
      </c>
      <c r="F46" s="45">
        <f t="shared" si="1"/>
        <v>50000</v>
      </c>
      <c r="G46" s="45">
        <f t="shared" si="2"/>
        <v>146681.60000000001</v>
      </c>
      <c r="H46" s="50">
        <f t="shared" si="3"/>
        <v>-206.04266765565689</v>
      </c>
    </row>
    <row r="47" spans="1:8">
      <c r="A47" s="32">
        <v>36</v>
      </c>
      <c r="B47" s="182">
        <f>36.96*12</f>
        <v>443.52</v>
      </c>
      <c r="C47" s="32">
        <v>165.3</v>
      </c>
      <c r="D47" s="45">
        <v>50.01</v>
      </c>
      <c r="E47" s="45">
        <f t="shared" si="0"/>
        <v>104020.8</v>
      </c>
      <c r="F47" s="45">
        <f t="shared" si="1"/>
        <v>50000</v>
      </c>
      <c r="G47" s="45">
        <f t="shared" si="2"/>
        <v>208041.60000000001</v>
      </c>
      <c r="H47" s="50">
        <f t="shared" si="3"/>
        <v>-336.9259341977758</v>
      </c>
    </row>
    <row r="48" spans="1:8">
      <c r="A48" s="32">
        <v>37</v>
      </c>
      <c r="B48" s="182">
        <f>19.36*12</f>
        <v>232.32</v>
      </c>
      <c r="C48" s="32">
        <v>165.3</v>
      </c>
      <c r="D48" s="45">
        <v>26.78</v>
      </c>
      <c r="E48" s="45">
        <f t="shared" si="0"/>
        <v>55702.400000000001</v>
      </c>
      <c r="F48" s="45">
        <f t="shared" si="1"/>
        <v>50000</v>
      </c>
      <c r="G48" s="45">
        <f t="shared" si="2"/>
        <v>111404.8</v>
      </c>
      <c r="H48" s="50">
        <f t="shared" si="3"/>
        <v>-128.05160222898832</v>
      </c>
    </row>
    <row r="49" spans="1:8">
      <c r="A49" s="32">
        <v>38</v>
      </c>
      <c r="B49" s="182">
        <f>35.55*12</f>
        <v>426.59999999999997</v>
      </c>
      <c r="C49" s="32">
        <v>165.3</v>
      </c>
      <c r="D49" s="45">
        <v>48.5</v>
      </c>
      <c r="E49" s="45">
        <f t="shared" si="0"/>
        <v>100880</v>
      </c>
      <c r="F49" s="45">
        <f t="shared" si="1"/>
        <v>50000</v>
      </c>
      <c r="G49" s="45">
        <f t="shared" si="2"/>
        <v>201760</v>
      </c>
      <c r="H49" s="50">
        <f t="shared" si="3"/>
        <v>-320.88033306899285</v>
      </c>
    </row>
    <row r="50" spans="1:8">
      <c r="A50" s="32">
        <v>39</v>
      </c>
      <c r="B50" s="182">
        <f>33.44*12</f>
        <v>401.28</v>
      </c>
      <c r="C50" s="32">
        <v>165.3</v>
      </c>
      <c r="D50" s="45">
        <v>45.44</v>
      </c>
      <c r="E50" s="45">
        <f t="shared" si="0"/>
        <v>94515.199999999997</v>
      </c>
      <c r="F50" s="45">
        <f t="shared" si="1"/>
        <v>50000</v>
      </c>
      <c r="G50" s="45">
        <f t="shared" si="2"/>
        <v>189030.39999999999</v>
      </c>
      <c r="H50" s="50">
        <f t="shared" si="3"/>
        <v>-295.13834236186347</v>
      </c>
    </row>
    <row r="51" spans="1:8">
      <c r="A51" s="32">
        <v>40</v>
      </c>
      <c r="B51" s="182">
        <f>28.86*12</f>
        <v>346.32</v>
      </c>
      <c r="C51" s="32">
        <v>165.3</v>
      </c>
      <c r="D51" s="45">
        <v>39.86</v>
      </c>
      <c r="E51" s="45">
        <f t="shared" si="0"/>
        <v>82908.800000000003</v>
      </c>
      <c r="F51" s="45">
        <f t="shared" si="1"/>
        <v>50000</v>
      </c>
      <c r="G51" s="45">
        <f t="shared" si="2"/>
        <v>165817.60000000001</v>
      </c>
      <c r="H51" s="50">
        <f t="shared" si="3"/>
        <v>-241.89200200702462</v>
      </c>
    </row>
    <row r="52" spans="1:8">
      <c r="A52" s="32">
        <v>41</v>
      </c>
      <c r="B52" s="182">
        <f>35.55*12</f>
        <v>426.59999999999997</v>
      </c>
      <c r="C52" s="32">
        <v>165.3</v>
      </c>
      <c r="D52" s="45">
        <v>42.42</v>
      </c>
      <c r="E52" s="45">
        <f t="shared" si="0"/>
        <v>88233.600000000006</v>
      </c>
      <c r="F52" s="45">
        <f t="shared" si="1"/>
        <v>50000</v>
      </c>
      <c r="G52" s="45">
        <f t="shared" si="2"/>
        <v>176467.20000000001</v>
      </c>
      <c r="H52" s="50">
        <f t="shared" si="3"/>
        <v>-305.7276792514416</v>
      </c>
    </row>
    <row r="53" spans="1:8">
      <c r="A53" s="32">
        <v>42</v>
      </c>
      <c r="B53" s="182">
        <f>33.09*12</f>
        <v>397.08000000000004</v>
      </c>
      <c r="C53" s="32">
        <v>165.3</v>
      </c>
      <c r="D53" s="45">
        <v>45.13</v>
      </c>
      <c r="E53" s="45">
        <f t="shared" si="0"/>
        <v>93870.400000000009</v>
      </c>
      <c r="F53" s="45">
        <f t="shared" si="1"/>
        <v>50000</v>
      </c>
      <c r="G53" s="45">
        <f t="shared" si="2"/>
        <v>187740.80000000002</v>
      </c>
      <c r="H53" s="50">
        <f t="shared" si="3"/>
        <v>-291.32781400739748</v>
      </c>
    </row>
    <row r="54" spans="1:8">
      <c r="A54" s="32">
        <v>43</v>
      </c>
      <c r="B54" s="182">
        <f>33.09*12</f>
        <v>397.08000000000004</v>
      </c>
      <c r="C54" s="32">
        <v>165.3</v>
      </c>
      <c r="D54" s="45">
        <v>45.13</v>
      </c>
      <c r="E54" s="45">
        <f t="shared" si="0"/>
        <v>93870.400000000009</v>
      </c>
      <c r="F54" s="45">
        <f t="shared" si="1"/>
        <v>50000</v>
      </c>
      <c r="G54" s="45">
        <f t="shared" si="2"/>
        <v>187740.80000000002</v>
      </c>
      <c r="H54" s="50">
        <f t="shared" si="3"/>
        <v>-291.32781400739748</v>
      </c>
    </row>
    <row r="55" spans="1:8">
      <c r="A55" s="32">
        <v>44</v>
      </c>
      <c r="B55" s="182">
        <f>31.33*12</f>
        <v>375.96</v>
      </c>
      <c r="C55" s="32">
        <v>165.3</v>
      </c>
      <c r="D55" s="45">
        <v>42.43</v>
      </c>
      <c r="E55" s="45">
        <f t="shared" si="0"/>
        <v>88254.399999999994</v>
      </c>
      <c r="F55" s="45">
        <f t="shared" si="1"/>
        <v>50000</v>
      </c>
      <c r="G55" s="45">
        <f t="shared" si="2"/>
        <v>176508.79999999999</v>
      </c>
      <c r="H55" s="50">
        <f t="shared" si="3"/>
        <v>-269.46106057035115</v>
      </c>
    </row>
    <row r="56" spans="1:8">
      <c r="A56" s="32">
        <v>45</v>
      </c>
      <c r="B56" s="211">
        <f>31.68*12</f>
        <v>380.15999999999997</v>
      </c>
      <c r="C56" s="32">
        <v>165.3</v>
      </c>
      <c r="D56" s="45">
        <v>42.95</v>
      </c>
      <c r="E56" s="45">
        <f t="shared" si="0"/>
        <v>89336</v>
      </c>
      <c r="F56" s="45">
        <f t="shared" si="1"/>
        <v>50000</v>
      </c>
      <c r="G56" s="45">
        <f t="shared" si="2"/>
        <v>178672</v>
      </c>
      <c r="H56" s="50">
        <f t="shared" si="3"/>
        <v>-273.77511596668757</v>
      </c>
    </row>
    <row r="57" spans="1:8">
      <c r="A57" s="32" t="s">
        <v>55</v>
      </c>
      <c r="B57" s="42">
        <f>SUM(B12:B56)</f>
        <v>14944.44</v>
      </c>
      <c r="C57" s="105"/>
      <c r="D57" s="54"/>
      <c r="E57" s="54"/>
      <c r="F57" s="54"/>
      <c r="G57" s="54"/>
      <c r="H57" s="167">
        <f>SUM(H12:H56)</f>
        <v>-10278.474033633969</v>
      </c>
    </row>
    <row r="59" spans="1:8">
      <c r="A59" s="132" t="s">
        <v>444</v>
      </c>
      <c r="E59" s="30" t="s">
        <v>443</v>
      </c>
      <c r="G59" s="210">
        <f>H57</f>
        <v>-10278.474033633969</v>
      </c>
    </row>
    <row r="60" spans="1:8">
      <c r="A60" s="41" t="s">
        <v>95</v>
      </c>
      <c r="B60" s="41" t="s">
        <v>55</v>
      </c>
      <c r="E60" s="30" t="s">
        <v>445</v>
      </c>
      <c r="G60" s="84">
        <f>SUM(B61:B62)</f>
        <v>2775.1879890811715</v>
      </c>
    </row>
    <row r="61" spans="1:8">
      <c r="A61" s="32" t="s">
        <v>446</v>
      </c>
      <c r="B61" s="42">
        <f>-H57*0.25</f>
        <v>2569.6185084084923</v>
      </c>
      <c r="E61" s="54" t="s">
        <v>447</v>
      </c>
      <c r="F61" s="54"/>
      <c r="G61" s="167">
        <f>SUM(G59:G60)</f>
        <v>-7503.2860445527976</v>
      </c>
    </row>
    <row r="62" spans="1:8">
      <c r="A62" s="32">
        <v>163</v>
      </c>
      <c r="B62" s="42">
        <f>-H57*0.02</f>
        <v>205.56948067267939</v>
      </c>
    </row>
    <row r="63" spans="1:8">
      <c r="A63" s="32">
        <v>583</v>
      </c>
      <c r="B63" s="42">
        <f t="shared" ref="B63:B68" si="4">SUMIF($C$12:$C$56,$A63,H$12:H$56)</f>
        <v>0</v>
      </c>
    </row>
    <row r="64" spans="1:8">
      <c r="A64" s="32">
        <v>588</v>
      </c>
      <c r="B64" s="42">
        <f t="shared" si="4"/>
        <v>0</v>
      </c>
    </row>
    <row r="65" spans="1:8">
      <c r="A65" s="32">
        <v>903</v>
      </c>
      <c r="B65" s="42">
        <f t="shared" si="4"/>
        <v>0</v>
      </c>
    </row>
    <row r="66" spans="1:8">
      <c r="A66" s="32">
        <v>910</v>
      </c>
      <c r="B66" s="42">
        <f t="shared" si="4"/>
        <v>0</v>
      </c>
    </row>
    <row r="67" spans="1:8">
      <c r="A67" s="32">
        <v>920</v>
      </c>
      <c r="B67" s="42">
        <f t="shared" si="4"/>
        <v>0</v>
      </c>
    </row>
    <row r="68" spans="1:8">
      <c r="A68" s="32">
        <v>925</v>
      </c>
      <c r="B68" s="42">
        <f t="shared" si="4"/>
        <v>0</v>
      </c>
    </row>
    <row r="70" spans="1:8" ht="30" customHeight="1">
      <c r="A70" s="316" t="s">
        <v>448</v>
      </c>
      <c r="B70" s="316"/>
      <c r="C70" s="316"/>
      <c r="D70" s="316"/>
      <c r="E70" s="316"/>
      <c r="F70" s="316"/>
      <c r="G70" s="316"/>
      <c r="H70" s="316"/>
    </row>
    <row r="74" spans="1:8">
      <c r="A74" s="132"/>
    </row>
    <row r="75" spans="1:8">
      <c r="A75" s="56"/>
      <c r="B75" s="56"/>
      <c r="C75" s="56"/>
    </row>
    <row r="76" spans="1:8">
      <c r="A76" s="32"/>
      <c r="B76" s="58"/>
      <c r="C76" s="84"/>
    </row>
    <row r="77" spans="1:8">
      <c r="A77" s="32"/>
      <c r="B77" s="58"/>
      <c r="C77" s="84"/>
    </row>
    <row r="78" spans="1:8">
      <c r="A78" s="32"/>
      <c r="B78" s="58"/>
      <c r="C78" s="84"/>
    </row>
    <row r="79" spans="1:8">
      <c r="A79" s="32"/>
      <c r="B79" s="58"/>
      <c r="C79" s="84"/>
    </row>
    <row r="80" spans="1:8">
      <c r="A80" s="32"/>
      <c r="B80" s="58"/>
      <c r="C80" s="84"/>
    </row>
    <row r="81" spans="1:4">
      <c r="A81" s="32"/>
      <c r="B81" s="58"/>
      <c r="C81" s="84"/>
    </row>
    <row r="82" spans="1:4">
      <c r="A82" s="32"/>
      <c r="B82" s="58"/>
      <c r="C82" s="84"/>
    </row>
    <row r="83" spans="1:4">
      <c r="A83" s="32"/>
      <c r="B83" s="58"/>
      <c r="C83" s="84"/>
    </row>
    <row r="85" spans="1:4">
      <c r="A85" s="212"/>
      <c r="B85" s="84"/>
      <c r="D85" s="84"/>
    </row>
    <row r="86" spans="1:4">
      <c r="A86" s="212"/>
      <c r="B86" s="84"/>
    </row>
    <row r="87" spans="1:4">
      <c r="A87" s="212"/>
      <c r="B87" s="84"/>
      <c r="D87" s="84"/>
    </row>
    <row r="88" spans="1:4">
      <c r="A88" s="212"/>
    </row>
    <row r="89" spans="1:4">
      <c r="A89" s="212"/>
    </row>
    <row r="90" spans="1:4">
      <c r="A90" s="212"/>
      <c r="D90" s="84"/>
    </row>
    <row r="91" spans="1:4">
      <c r="D91" s="84"/>
    </row>
  </sheetData>
  <mergeCells count="4">
    <mergeCell ref="A4:H4"/>
    <mergeCell ref="A5:H5"/>
    <mergeCell ref="A7:H7"/>
    <mergeCell ref="A70:H70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G50"/>
  <sheetViews>
    <sheetView view="pageBreakPreview" zoomScaleNormal="100" zoomScaleSheetLayoutView="100" workbookViewId="0">
      <selection activeCell="E18" sqref="E18"/>
    </sheetView>
  </sheetViews>
  <sheetFormatPr defaultColWidth="9.109375" defaultRowHeight="13.2"/>
  <cols>
    <col min="1" max="1" width="3.5546875" style="30" customWidth="1"/>
    <col min="2" max="2" width="9.33203125" style="32" bestFit="1" customWidth="1"/>
    <col min="3" max="3" width="27.109375" style="30" bestFit="1" customWidth="1"/>
    <col min="4" max="4" width="13.33203125" style="30" customWidth="1"/>
    <col min="5" max="5" width="12.109375" style="30" bestFit="1" customWidth="1"/>
    <col min="6" max="6" width="11.109375" style="30" customWidth="1"/>
    <col min="7" max="7" width="12.33203125" style="30" bestFit="1" customWidth="1"/>
    <col min="8" max="8" width="17.33203125" style="30" customWidth="1"/>
    <col min="9" max="16384" width="9.109375" style="30"/>
  </cols>
  <sheetData>
    <row r="1" spans="1:7">
      <c r="A1" s="303" t="str">
        <f>RevReq!A1</f>
        <v>FLEMING-MASON ENERGY COOPERATIVE</v>
      </c>
      <c r="B1" s="303"/>
      <c r="C1" s="303"/>
      <c r="D1" s="303"/>
      <c r="E1" s="303"/>
      <c r="F1" s="303"/>
      <c r="G1" s="303"/>
    </row>
    <row r="2" spans="1:7">
      <c r="A2" s="303" t="s">
        <v>156</v>
      </c>
      <c r="B2" s="303"/>
      <c r="C2" s="303"/>
      <c r="D2" s="303"/>
      <c r="E2" s="303"/>
      <c r="F2" s="303"/>
      <c r="G2" s="303"/>
    </row>
    <row r="3" spans="1:7">
      <c r="G3" s="284" t="s">
        <v>455</v>
      </c>
    </row>
    <row r="4" spans="1:7" ht="47.25" customHeight="1">
      <c r="B4" s="22" t="s">
        <v>157</v>
      </c>
      <c r="C4" s="88" t="s">
        <v>85</v>
      </c>
      <c r="D4" s="88" t="s">
        <v>105</v>
      </c>
      <c r="E4" s="88" t="s">
        <v>106</v>
      </c>
      <c r="F4" s="88" t="s">
        <v>158</v>
      </c>
      <c r="G4" s="88" t="s">
        <v>159</v>
      </c>
    </row>
    <row r="5" spans="1:7">
      <c r="B5" s="23" t="s">
        <v>10</v>
      </c>
      <c r="C5" s="24">
        <v>1</v>
      </c>
      <c r="D5" s="24">
        <f>C5+1</f>
        <v>2</v>
      </c>
      <c r="E5" s="24">
        <f>D5+1</f>
        <v>3</v>
      </c>
      <c r="F5" s="24">
        <f>E5+1</f>
        <v>4</v>
      </c>
      <c r="G5" s="24">
        <f>F5+1</f>
        <v>5</v>
      </c>
    </row>
    <row r="6" spans="1:7">
      <c r="B6" s="30"/>
      <c r="C6" s="110"/>
      <c r="D6" s="110"/>
      <c r="E6" s="110"/>
      <c r="F6" s="110"/>
      <c r="G6" s="110"/>
    </row>
    <row r="7" spans="1:7">
      <c r="B7" s="32">
        <v>1.01</v>
      </c>
      <c r="C7" s="30" t="s">
        <v>252</v>
      </c>
      <c r="D7" s="280">
        <f>'1.01 FAC'!F31</f>
        <v>-11390316.33</v>
      </c>
      <c r="E7" s="280">
        <f>'1.01 FAC'!H31</f>
        <v>-11162273</v>
      </c>
      <c r="F7" s="7"/>
      <c r="G7" s="81">
        <f>D7-E7+F7</f>
        <v>-228043.33000000007</v>
      </c>
    </row>
    <row r="8" spans="1:7">
      <c r="B8" s="32">
        <v>1.02</v>
      </c>
      <c r="C8" s="30" t="s">
        <v>112</v>
      </c>
      <c r="D8" s="280">
        <f>'1.02 ES'!F31</f>
        <v>-9565975.7799999993</v>
      </c>
      <c r="E8" s="280">
        <f>'1.02 ES'!H31</f>
        <v>-9613093</v>
      </c>
      <c r="F8" s="7"/>
      <c r="G8" s="81">
        <f t="shared" ref="G8:G29" si="0">D8-E8+F8</f>
        <v>47117.220000000671</v>
      </c>
    </row>
    <row r="9" spans="1:7" ht="14.25" customHeight="1">
      <c r="B9" s="32">
        <v>1.03</v>
      </c>
      <c r="C9" s="30" t="s">
        <v>114</v>
      </c>
      <c r="D9" s="7"/>
      <c r="E9" s="7">
        <f>'1.03 Int Exp'!F52</f>
        <v>510636.48369160038</v>
      </c>
      <c r="F9" s="7"/>
      <c r="G9" s="81">
        <f t="shared" si="0"/>
        <v>-510636.48369160038</v>
      </c>
    </row>
    <row r="10" spans="1:7">
      <c r="B10" s="32">
        <v>1.04</v>
      </c>
      <c r="C10" s="30" t="s">
        <v>164</v>
      </c>
      <c r="D10" s="7"/>
      <c r="E10" s="7">
        <f>'1.04 Depr'!J50</f>
        <v>-47643.812299999947</v>
      </c>
      <c r="F10" s="7"/>
      <c r="G10" s="81">
        <f t="shared" si="0"/>
        <v>47643.812299999947</v>
      </c>
    </row>
    <row r="11" spans="1:7">
      <c r="B11" s="32">
        <v>1.05</v>
      </c>
      <c r="C11" s="30" t="s">
        <v>166</v>
      </c>
      <c r="D11" s="7"/>
      <c r="E11" s="280">
        <f>'1.05 ROW'!C20</f>
        <v>326888.64999999991</v>
      </c>
      <c r="F11" s="7"/>
      <c r="G11" s="81">
        <f t="shared" si="0"/>
        <v>-326888.64999999991</v>
      </c>
    </row>
    <row r="12" spans="1:7">
      <c r="B12" s="32">
        <v>1.06</v>
      </c>
      <c r="C12" s="30" t="s">
        <v>163</v>
      </c>
      <c r="D12" s="280">
        <f>'1.06 YearEndCust'!F49</f>
        <v>349932.05</v>
      </c>
      <c r="E12" s="7">
        <f>'1.06 YearEndCust'!G49</f>
        <v>207275.38</v>
      </c>
      <c r="F12" s="7"/>
      <c r="G12" s="81">
        <f t="shared" si="0"/>
        <v>142656.66999999998</v>
      </c>
    </row>
    <row r="13" spans="1:7">
      <c r="B13" s="32">
        <v>1.07</v>
      </c>
      <c r="C13" s="30" t="s">
        <v>37</v>
      </c>
      <c r="D13" s="7"/>
      <c r="E13" s="7"/>
      <c r="F13" s="7">
        <f>'1.07 GTCC'!D15</f>
        <v>-2991660</v>
      </c>
      <c r="G13" s="81">
        <f t="shared" si="0"/>
        <v>-2991660</v>
      </c>
    </row>
    <row r="14" spans="1:7">
      <c r="B14" s="32">
        <v>1.08</v>
      </c>
      <c r="C14" s="30" t="s">
        <v>160</v>
      </c>
      <c r="D14" s="7"/>
      <c r="E14" s="7">
        <f>'1.08 DonAdsDues'!D30</f>
        <v>-191500.95</v>
      </c>
      <c r="F14" s="7"/>
      <c r="G14" s="81">
        <f t="shared" si="0"/>
        <v>191500.95</v>
      </c>
    </row>
    <row r="15" spans="1:7">
      <c r="B15" s="32">
        <v>1.0900000000000001</v>
      </c>
      <c r="C15" s="2" t="s">
        <v>165</v>
      </c>
      <c r="D15" s="7"/>
      <c r="E15" s="7">
        <f>'1.09 Dir'!K25</f>
        <v>-13188.619999999999</v>
      </c>
      <c r="F15" s="7"/>
      <c r="G15" s="81">
        <f t="shared" si="0"/>
        <v>13188.619999999999</v>
      </c>
    </row>
    <row r="16" spans="1:7">
      <c r="B16" s="117">
        <v>1.1000000000000001</v>
      </c>
      <c r="C16" s="30" t="s">
        <v>54</v>
      </c>
      <c r="D16" s="7"/>
      <c r="E16" s="7">
        <f>'1.10 Wages and Salaries'!J24</f>
        <v>41529.658656934393</v>
      </c>
      <c r="F16" s="7"/>
      <c r="G16" s="81">
        <f>D16-E16+F16</f>
        <v>-41529.658656934393</v>
      </c>
    </row>
    <row r="17" spans="2:7">
      <c r="B17" s="32">
        <v>1.1100000000000001</v>
      </c>
      <c r="C17" s="30" t="s">
        <v>161</v>
      </c>
      <c r="D17" s="7"/>
      <c r="E17" s="7">
        <f>'1.11 401k'!D18</f>
        <v>-35780.239999999998</v>
      </c>
      <c r="F17" s="7"/>
      <c r="G17" s="81">
        <f t="shared" si="0"/>
        <v>35780.239999999998</v>
      </c>
    </row>
    <row r="18" spans="2:7">
      <c r="B18" s="32">
        <v>1.1200000000000001</v>
      </c>
      <c r="C18" s="30" t="s">
        <v>167</v>
      </c>
      <c r="D18" s="7"/>
      <c r="E18" s="280">
        <f>'1.12 Healthcare'!G22</f>
        <v>24457.541095838118</v>
      </c>
      <c r="F18" s="7"/>
      <c r="G18" s="81">
        <f t="shared" si="0"/>
        <v>-24457.541095838118</v>
      </c>
    </row>
    <row r="19" spans="2:7">
      <c r="B19" s="32">
        <v>1.1299999999999999</v>
      </c>
      <c r="C19" s="30" t="s">
        <v>162</v>
      </c>
      <c r="D19" s="7"/>
      <c r="E19" s="7">
        <f>'1.13 RateCase'!D25</f>
        <v>48333.33</v>
      </c>
      <c r="F19" s="7"/>
      <c r="G19" s="81">
        <f t="shared" si="0"/>
        <v>-48333.33</v>
      </c>
    </row>
    <row r="20" spans="2:7">
      <c r="B20" s="32">
        <v>1.1399999999999999</v>
      </c>
      <c r="C20" s="30" t="s">
        <v>285</v>
      </c>
      <c r="D20" s="7"/>
      <c r="E20" s="7">
        <f>'1.14 LifeInsur'!G61</f>
        <v>-7503.2860445527976</v>
      </c>
      <c r="F20" s="7"/>
      <c r="G20" s="81">
        <f t="shared" si="0"/>
        <v>7503.2860445527976</v>
      </c>
    </row>
    <row r="21" spans="2:7">
      <c r="D21" s="7"/>
      <c r="E21" s="7"/>
      <c r="F21" s="7"/>
      <c r="G21" s="81">
        <f t="shared" si="0"/>
        <v>0</v>
      </c>
    </row>
    <row r="22" spans="2:7" hidden="1">
      <c r="D22" s="7"/>
      <c r="E22" s="7"/>
      <c r="F22" s="7"/>
      <c r="G22" s="81">
        <f t="shared" si="0"/>
        <v>0</v>
      </c>
    </row>
    <row r="23" spans="2:7" hidden="1">
      <c r="D23" s="7"/>
      <c r="E23" s="7"/>
      <c r="F23" s="7"/>
      <c r="G23" s="116">
        <f t="shared" si="0"/>
        <v>0</v>
      </c>
    </row>
    <row r="24" spans="2:7" hidden="1">
      <c r="D24" s="7"/>
      <c r="E24" s="7"/>
      <c r="F24" s="7"/>
      <c r="G24" s="116">
        <f t="shared" si="0"/>
        <v>0</v>
      </c>
    </row>
    <row r="25" spans="2:7" hidden="1">
      <c r="D25" s="7"/>
      <c r="E25" s="7"/>
      <c r="F25" s="7"/>
      <c r="G25" s="116">
        <f t="shared" si="0"/>
        <v>0</v>
      </c>
    </row>
    <row r="26" spans="2:7" hidden="1">
      <c r="B26" s="117"/>
      <c r="D26" s="7"/>
      <c r="E26" s="7"/>
      <c r="F26" s="7"/>
      <c r="G26" s="116">
        <f t="shared" si="0"/>
        <v>0</v>
      </c>
    </row>
    <row r="27" spans="2:7" hidden="1">
      <c r="D27" s="7"/>
      <c r="E27" s="7"/>
      <c r="F27" s="7"/>
      <c r="G27" s="81">
        <f t="shared" si="0"/>
        <v>0</v>
      </c>
    </row>
    <row r="28" spans="2:7" hidden="1">
      <c r="D28" s="7"/>
      <c r="E28" s="7"/>
      <c r="F28" s="7"/>
      <c r="G28" s="81">
        <f t="shared" si="0"/>
        <v>0</v>
      </c>
    </row>
    <row r="29" spans="2:7" hidden="1">
      <c r="D29" s="7"/>
      <c r="E29" s="7"/>
      <c r="F29" s="7"/>
      <c r="G29" s="81">
        <f t="shared" si="0"/>
        <v>0</v>
      </c>
    </row>
    <row r="30" spans="2:7" s="114" customFormat="1" ht="21.75" customHeight="1" thickBot="1">
      <c r="B30" s="111"/>
      <c r="C30" s="112" t="s">
        <v>55</v>
      </c>
      <c r="D30" s="113">
        <f>SUM(D7:D29)</f>
        <v>-20606360.059999999</v>
      </c>
      <c r="E30" s="113">
        <f>SUM(E7:E29)</f>
        <v>-19911861.864900183</v>
      </c>
      <c r="F30" s="113">
        <f>SUM(F7:F29)</f>
        <v>-2991660</v>
      </c>
      <c r="G30" s="113">
        <f>SUM(G7:G29)</f>
        <v>-3686158.1950998185</v>
      </c>
    </row>
    <row r="31" spans="2:7" ht="13.8" thickTop="1">
      <c r="D31" s="80"/>
      <c r="E31" s="80"/>
      <c r="F31" s="80"/>
      <c r="G31" s="81"/>
    </row>
    <row r="32" spans="2:7">
      <c r="D32" s="81"/>
      <c r="E32" s="81"/>
      <c r="F32" s="81"/>
      <c r="G32" s="81"/>
    </row>
    <row r="33" spans="4:7">
      <c r="D33" s="81"/>
      <c r="E33" s="81"/>
      <c r="F33" s="81"/>
      <c r="G33" s="81"/>
    </row>
    <row r="35" spans="4:7">
      <c r="D35" s="81"/>
      <c r="E35" s="81"/>
      <c r="F35" s="81"/>
      <c r="G35" s="81"/>
    </row>
    <row r="36" spans="4:7" ht="13.8">
      <c r="D36" s="152"/>
      <c r="E36" s="152"/>
      <c r="F36" s="152"/>
      <c r="G36" s="152"/>
    </row>
    <row r="38" spans="4:7">
      <c r="D38" s="161"/>
      <c r="E38" s="161"/>
      <c r="F38" s="161"/>
      <c r="G38" s="161"/>
    </row>
    <row r="39" spans="4:7" ht="13.8">
      <c r="D39" s="152"/>
      <c r="E39" s="152"/>
      <c r="F39" s="152"/>
      <c r="G39" s="152"/>
    </row>
    <row r="47" spans="4:7">
      <c r="F47" s="115"/>
    </row>
    <row r="49" spans="4:6">
      <c r="D49" s="115"/>
      <c r="E49" s="115"/>
      <c r="F49" s="115"/>
    </row>
    <row r="50" spans="4:6">
      <c r="D50" s="115"/>
      <c r="E50" s="115"/>
      <c r="F50" s="115"/>
    </row>
  </sheetData>
  <mergeCells count="2">
    <mergeCell ref="A1:G1"/>
    <mergeCell ref="A2:G2"/>
  </mergeCells>
  <conditionalFormatting sqref="D36:G36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9:G39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view="pageBreakPreview" zoomScale="60" zoomScaleNormal="75" workbookViewId="0">
      <selection activeCell="B64" sqref="B64"/>
    </sheetView>
  </sheetViews>
  <sheetFormatPr defaultColWidth="9.109375" defaultRowHeight="14.4"/>
  <cols>
    <col min="1" max="1" width="9.109375" style="26"/>
    <col min="2" max="2" width="1.5546875" style="26" customWidth="1"/>
    <col min="3" max="3" width="40.33203125" bestFit="1" customWidth="1"/>
    <col min="4" max="4" width="20" style="137" customWidth="1"/>
    <col min="5" max="5" width="19.44140625" style="138" customWidth="1"/>
    <col min="6" max="6" width="17.5546875" bestFit="1" customWidth="1"/>
    <col min="7" max="7" width="4.5546875" customWidth="1"/>
    <col min="8" max="8" width="13.44140625" bestFit="1" customWidth="1"/>
    <col min="9" max="9" width="5.88671875" customWidth="1"/>
  </cols>
  <sheetData>
    <row r="1" spans="1:7">
      <c r="A1" s="304" t="str">
        <f>RevReq!A1</f>
        <v>FLEMING-MASON ENERGY COOPERATIVE</v>
      </c>
      <c r="B1" s="304"/>
      <c r="C1" s="304"/>
      <c r="D1" s="304"/>
      <c r="E1" s="304"/>
      <c r="F1" s="304"/>
      <c r="G1" s="55"/>
    </row>
    <row r="2" spans="1:7">
      <c r="A2" s="304" t="s">
        <v>176</v>
      </c>
      <c r="B2" s="304"/>
      <c r="C2" s="304"/>
      <c r="D2" s="304"/>
      <c r="E2" s="304"/>
      <c r="F2" s="304"/>
      <c r="G2" s="55"/>
    </row>
    <row r="3" spans="1:7">
      <c r="A3" s="55"/>
      <c r="B3" s="55"/>
      <c r="C3" s="55"/>
      <c r="D3" s="1"/>
      <c r="E3" s="128"/>
      <c r="F3" s="55"/>
      <c r="G3" s="55"/>
    </row>
    <row r="4" spans="1:7">
      <c r="A4" s="32"/>
      <c r="B4" s="32"/>
      <c r="C4" s="30"/>
      <c r="D4" s="3"/>
      <c r="E4" s="56"/>
      <c r="F4" s="56"/>
      <c r="G4" s="129"/>
    </row>
    <row r="5" spans="1:7">
      <c r="A5" s="56" t="s">
        <v>5</v>
      </c>
      <c r="B5" s="56"/>
      <c r="C5" s="56" t="s">
        <v>6</v>
      </c>
      <c r="D5" s="3" t="s">
        <v>7</v>
      </c>
      <c r="E5" s="130" t="s">
        <v>177</v>
      </c>
      <c r="F5" s="56" t="s">
        <v>178</v>
      </c>
      <c r="G5" s="129"/>
    </row>
    <row r="6" spans="1:7" s="131" customFormat="1">
      <c r="A6" s="5" t="s">
        <v>10</v>
      </c>
      <c r="B6" s="5"/>
      <c r="C6" s="6">
        <v>1</v>
      </c>
      <c r="D6" s="6">
        <f>C6+1</f>
        <v>2</v>
      </c>
      <c r="E6" s="6">
        <f>D6+1</f>
        <v>3</v>
      </c>
      <c r="F6" s="6" t="s">
        <v>11</v>
      </c>
    </row>
    <row r="7" spans="1:7">
      <c r="A7" s="32">
        <v>1</v>
      </c>
      <c r="B7" s="132" t="s">
        <v>179</v>
      </c>
      <c r="C7" s="30"/>
      <c r="D7" s="2"/>
      <c r="E7" s="116"/>
      <c r="F7" s="30"/>
    </row>
    <row r="8" spans="1:7">
      <c r="A8" s="32">
        <f>A7+1</f>
        <v>2</v>
      </c>
      <c r="B8" s="32"/>
      <c r="C8" s="30" t="s">
        <v>180</v>
      </c>
      <c r="D8" s="133">
        <v>124718830</v>
      </c>
      <c r="E8" s="133">
        <f>'Adj List'!F20</f>
        <v>0</v>
      </c>
      <c r="F8" s="133">
        <f>D8+E8</f>
        <v>124718830</v>
      </c>
    </row>
    <row r="9" spans="1:7">
      <c r="A9" s="32">
        <f t="shared" ref="A9:A70" si="0">A8+1</f>
        <v>3</v>
      </c>
      <c r="B9" s="32"/>
      <c r="C9" s="30" t="s">
        <v>181</v>
      </c>
      <c r="D9" s="133">
        <v>603558</v>
      </c>
      <c r="E9" s="133">
        <v>0</v>
      </c>
      <c r="F9" s="133">
        <f>D9+E9</f>
        <v>603558</v>
      </c>
    </row>
    <row r="10" spans="1:7">
      <c r="A10" s="32">
        <f t="shared" si="0"/>
        <v>4</v>
      </c>
      <c r="B10" s="32"/>
      <c r="C10" s="30" t="s">
        <v>182</v>
      </c>
      <c r="D10" s="133">
        <v>125322388</v>
      </c>
      <c r="E10" s="133">
        <v>0</v>
      </c>
      <c r="F10" s="133">
        <f>D10+E10</f>
        <v>125322388</v>
      </c>
    </row>
    <row r="11" spans="1:7">
      <c r="A11" s="32">
        <f t="shared" si="0"/>
        <v>5</v>
      </c>
      <c r="B11" s="32"/>
      <c r="C11" s="30" t="s">
        <v>183</v>
      </c>
      <c r="D11" s="133">
        <v>48256426</v>
      </c>
      <c r="E11" s="133">
        <v>0</v>
      </c>
      <c r="F11" s="133">
        <f>D11+E11</f>
        <v>48256426</v>
      </c>
    </row>
    <row r="12" spans="1:7">
      <c r="A12" s="32">
        <f t="shared" si="0"/>
        <v>6</v>
      </c>
      <c r="B12" s="32"/>
      <c r="C12" s="54" t="s">
        <v>184</v>
      </c>
      <c r="D12" s="134">
        <f>SUM(D10:D10)-D11</f>
        <v>77065962</v>
      </c>
      <c r="E12" s="134">
        <f t="shared" ref="E12:F12" si="1">SUM(E10:E10)-E11</f>
        <v>0</v>
      </c>
      <c r="F12" s="134">
        <f t="shared" si="1"/>
        <v>77065962</v>
      </c>
    </row>
    <row r="13" spans="1:7">
      <c r="A13" s="32">
        <f t="shared" si="0"/>
        <v>7</v>
      </c>
      <c r="B13" s="32"/>
      <c r="C13" s="30"/>
      <c r="D13" s="133"/>
      <c r="E13" s="133"/>
      <c r="F13" s="133"/>
    </row>
    <row r="14" spans="1:7">
      <c r="A14" s="32">
        <f t="shared" si="0"/>
        <v>8</v>
      </c>
      <c r="B14" s="32"/>
      <c r="C14" s="30" t="s">
        <v>185</v>
      </c>
      <c r="D14" s="133">
        <v>210181</v>
      </c>
      <c r="E14" s="133">
        <v>0</v>
      </c>
      <c r="F14" s="133">
        <f t="shared" ref="F14:F20" si="2">D14+E14</f>
        <v>210181</v>
      </c>
    </row>
    <row r="15" spans="1:7">
      <c r="A15" s="32">
        <f t="shared" si="0"/>
        <v>9</v>
      </c>
      <c r="B15" s="32"/>
      <c r="C15" s="30" t="s">
        <v>186</v>
      </c>
      <c r="D15" s="133">
        <v>56309037</v>
      </c>
      <c r="E15" s="133">
        <v>0</v>
      </c>
      <c r="F15" s="133">
        <f t="shared" si="2"/>
        <v>56309037</v>
      </c>
    </row>
    <row r="16" spans="1:7">
      <c r="A16" s="32">
        <f t="shared" si="0"/>
        <v>10</v>
      </c>
      <c r="B16" s="32"/>
      <c r="C16" s="30" t="s">
        <v>187</v>
      </c>
      <c r="D16" s="133">
        <v>0</v>
      </c>
      <c r="E16" s="133">
        <v>0</v>
      </c>
      <c r="F16" s="133">
        <f t="shared" si="2"/>
        <v>0</v>
      </c>
    </row>
    <row r="17" spans="1:6">
      <c r="A17" s="32">
        <f t="shared" si="0"/>
        <v>11</v>
      </c>
      <c r="B17" s="32"/>
      <c r="C17" s="30" t="s">
        <v>188</v>
      </c>
      <c r="D17" s="133">
        <v>1113386</v>
      </c>
      <c r="E17" s="133">
        <v>0</v>
      </c>
      <c r="F17" s="133">
        <f t="shared" si="2"/>
        <v>1113386</v>
      </c>
    </row>
    <row r="18" spans="1:6">
      <c r="A18" s="32">
        <f t="shared" si="0"/>
        <v>12</v>
      </c>
      <c r="B18" s="32"/>
      <c r="C18" s="30" t="s">
        <v>189</v>
      </c>
      <c r="D18" s="133">
        <v>0</v>
      </c>
      <c r="E18" s="133">
        <v>0</v>
      </c>
      <c r="F18" s="133">
        <f t="shared" si="2"/>
        <v>0</v>
      </c>
    </row>
    <row r="19" spans="1:6">
      <c r="A19" s="32">
        <f t="shared" si="0"/>
        <v>13</v>
      </c>
      <c r="B19" s="32"/>
      <c r="C19" s="30" t="s">
        <v>190</v>
      </c>
      <c r="D19" s="133">
        <v>520233</v>
      </c>
      <c r="E19" s="133">
        <v>0</v>
      </c>
      <c r="F19" s="133">
        <f t="shared" si="2"/>
        <v>520233</v>
      </c>
    </row>
    <row r="20" spans="1:6">
      <c r="A20" s="32">
        <f t="shared" si="0"/>
        <v>14</v>
      </c>
      <c r="B20" s="32"/>
      <c r="C20" s="30" t="s">
        <v>191</v>
      </c>
      <c r="D20" s="133">
        <v>0</v>
      </c>
      <c r="E20" s="133">
        <v>0</v>
      </c>
      <c r="F20" s="133">
        <f t="shared" si="2"/>
        <v>0</v>
      </c>
    </row>
    <row r="21" spans="1:6">
      <c r="A21" s="32">
        <f t="shared" si="0"/>
        <v>15</v>
      </c>
      <c r="B21" s="32"/>
      <c r="C21" s="54" t="s">
        <v>192</v>
      </c>
      <c r="D21" s="134">
        <f>SUM(D14:D20)</f>
        <v>58152837</v>
      </c>
      <c r="E21" s="134">
        <f t="shared" ref="E21:F21" si="3">SUM(E14:E20)</f>
        <v>0</v>
      </c>
      <c r="F21" s="134">
        <f t="shared" si="3"/>
        <v>58152837</v>
      </c>
    </row>
    <row r="22" spans="1:6">
      <c r="A22" s="32">
        <f t="shared" si="0"/>
        <v>16</v>
      </c>
      <c r="B22" s="32"/>
      <c r="C22" s="30"/>
      <c r="D22" s="133"/>
      <c r="E22" s="133"/>
      <c r="F22" s="133"/>
    </row>
    <row r="23" spans="1:6">
      <c r="A23" s="32">
        <f t="shared" si="0"/>
        <v>17</v>
      </c>
      <c r="B23" s="32"/>
      <c r="C23" s="30" t="s">
        <v>193</v>
      </c>
      <c r="D23" s="133">
        <v>1089610</v>
      </c>
      <c r="E23" s="133">
        <v>0</v>
      </c>
      <c r="F23" s="133">
        <f t="shared" ref="F23:F32" si="4">D23+E23</f>
        <v>1089610</v>
      </c>
    </row>
    <row r="24" spans="1:6">
      <c r="A24" s="32">
        <f t="shared" si="0"/>
        <v>18</v>
      </c>
      <c r="B24" s="32"/>
      <c r="C24" s="30" t="s">
        <v>194</v>
      </c>
      <c r="D24" s="133">
        <v>0</v>
      </c>
      <c r="E24" s="133">
        <v>0</v>
      </c>
      <c r="F24" s="133">
        <f t="shared" si="4"/>
        <v>0</v>
      </c>
    </row>
    <row r="25" spans="1:6">
      <c r="A25" s="32">
        <f t="shared" si="0"/>
        <v>19</v>
      </c>
      <c r="B25" s="32"/>
      <c r="C25" s="30" t="s">
        <v>195</v>
      </c>
      <c r="D25" s="133">
        <v>0</v>
      </c>
      <c r="E25" s="133">
        <v>0</v>
      </c>
      <c r="F25" s="133">
        <f t="shared" si="4"/>
        <v>0</v>
      </c>
    </row>
    <row r="26" spans="1:6">
      <c r="A26" s="32">
        <f t="shared" si="0"/>
        <v>20</v>
      </c>
      <c r="B26" s="32"/>
      <c r="C26" s="30" t="s">
        <v>196</v>
      </c>
      <c r="D26" s="133">
        <v>0</v>
      </c>
      <c r="E26" s="133">
        <v>0</v>
      </c>
      <c r="F26" s="133">
        <f t="shared" si="4"/>
        <v>0</v>
      </c>
    </row>
    <row r="27" spans="1:6">
      <c r="A27" s="32">
        <f t="shared" si="0"/>
        <v>21</v>
      </c>
      <c r="B27" s="32"/>
      <c r="C27" s="30" t="s">
        <v>197</v>
      </c>
      <c r="D27" s="133">
        <v>9107093</v>
      </c>
      <c r="E27" s="133">
        <v>0</v>
      </c>
      <c r="F27" s="133">
        <f t="shared" si="4"/>
        <v>9107093</v>
      </c>
    </row>
    <row r="28" spans="1:6">
      <c r="A28" s="32">
        <f t="shared" si="0"/>
        <v>22</v>
      </c>
      <c r="B28" s="32"/>
      <c r="C28" s="30" t="s">
        <v>198</v>
      </c>
      <c r="D28" s="133">
        <v>1085863</v>
      </c>
      <c r="E28" s="133">
        <v>0</v>
      </c>
      <c r="F28" s="133">
        <f t="shared" si="4"/>
        <v>1085863</v>
      </c>
    </row>
    <row r="29" spans="1:6">
      <c r="A29" s="32">
        <f t="shared" si="0"/>
        <v>23</v>
      </c>
      <c r="B29" s="32"/>
      <c r="C29" s="30" t="s">
        <v>199</v>
      </c>
      <c r="D29" s="225">
        <v>0</v>
      </c>
      <c r="E29" s="133">
        <v>0</v>
      </c>
      <c r="F29" s="133">
        <f t="shared" si="4"/>
        <v>0</v>
      </c>
    </row>
    <row r="30" spans="1:6">
      <c r="A30" s="32">
        <f t="shared" si="0"/>
        <v>24</v>
      </c>
      <c r="B30" s="32"/>
      <c r="C30" s="30" t="s">
        <v>200</v>
      </c>
      <c r="D30" s="133">
        <v>691063</v>
      </c>
      <c r="E30" s="133">
        <v>0</v>
      </c>
      <c r="F30" s="133">
        <f t="shared" si="4"/>
        <v>691063</v>
      </c>
    </row>
    <row r="31" spans="1:6">
      <c r="A31" s="32">
        <f t="shared" si="0"/>
        <v>25</v>
      </c>
      <c r="B31" s="32"/>
      <c r="C31" s="30" t="s">
        <v>201</v>
      </c>
      <c r="D31" s="133">
        <v>208123</v>
      </c>
      <c r="E31" s="133">
        <v>0</v>
      </c>
      <c r="F31" s="133">
        <f t="shared" si="4"/>
        <v>208123</v>
      </c>
    </row>
    <row r="32" spans="1:6">
      <c r="A32" s="32">
        <f t="shared" si="0"/>
        <v>26</v>
      </c>
      <c r="B32" s="32"/>
      <c r="C32" s="30" t="s">
        <v>202</v>
      </c>
      <c r="D32" s="133">
        <v>6417</v>
      </c>
      <c r="E32" s="133">
        <v>0</v>
      </c>
      <c r="F32" s="133">
        <f t="shared" si="4"/>
        <v>6417</v>
      </c>
    </row>
    <row r="33" spans="1:6">
      <c r="A33" s="32">
        <f t="shared" si="0"/>
        <v>27</v>
      </c>
      <c r="B33" s="32"/>
      <c r="C33" s="54" t="s">
        <v>203</v>
      </c>
      <c r="D33" s="134">
        <f>SUM(D23:D32)</f>
        <v>12188169</v>
      </c>
      <c r="E33" s="134">
        <f>SUM(E23:E32)</f>
        <v>0</v>
      </c>
      <c r="F33" s="134">
        <f>SUM(F23:F32)</f>
        <v>12188169</v>
      </c>
    </row>
    <row r="34" spans="1:6">
      <c r="A34" s="32">
        <f t="shared" si="0"/>
        <v>28</v>
      </c>
      <c r="B34" s="32"/>
      <c r="C34" s="30"/>
      <c r="D34" s="133"/>
      <c r="E34" s="133"/>
      <c r="F34" s="133"/>
    </row>
    <row r="35" spans="1:6">
      <c r="A35" s="32">
        <f t="shared" si="0"/>
        <v>29</v>
      </c>
      <c r="B35" s="32"/>
      <c r="C35" s="30" t="s">
        <v>204</v>
      </c>
      <c r="D35" s="133">
        <v>0</v>
      </c>
      <c r="E35" s="133">
        <v>0</v>
      </c>
      <c r="F35" s="133">
        <f>D35+E35</f>
        <v>0</v>
      </c>
    </row>
    <row r="36" spans="1:6">
      <c r="A36" s="32">
        <f t="shared" si="0"/>
        <v>30</v>
      </c>
      <c r="B36" s="32"/>
      <c r="C36" s="30" t="s">
        <v>205</v>
      </c>
      <c r="D36" s="133">
        <v>1358363</v>
      </c>
      <c r="E36" s="133">
        <v>0</v>
      </c>
      <c r="F36" s="133">
        <f>D36+E36</f>
        <v>1358363</v>
      </c>
    </row>
    <row r="37" spans="1:6">
      <c r="A37" s="32">
        <f t="shared" si="0"/>
        <v>31</v>
      </c>
      <c r="B37" s="32"/>
      <c r="C37" s="30"/>
      <c r="D37" s="7"/>
      <c r="E37" s="133"/>
      <c r="F37" s="133"/>
    </row>
    <row r="38" spans="1:6" ht="15" thickBot="1">
      <c r="A38" s="32">
        <f t="shared" si="0"/>
        <v>32</v>
      </c>
      <c r="B38" s="32"/>
      <c r="C38" s="47" t="s">
        <v>206</v>
      </c>
      <c r="D38" s="135">
        <f>D36+D35+D33+D21+D12</f>
        <v>148765331</v>
      </c>
      <c r="E38" s="135">
        <f>E36+E35+E33+E21+E12</f>
        <v>0</v>
      </c>
      <c r="F38" s="135">
        <f>F36+F35+F33+F21+F12</f>
        <v>148765331</v>
      </c>
    </row>
    <row r="39" spans="1:6" ht="15" thickTop="1">
      <c r="A39" s="32">
        <f t="shared" si="0"/>
        <v>33</v>
      </c>
      <c r="B39" s="32"/>
      <c r="C39" s="30"/>
      <c r="D39" s="226"/>
      <c r="E39" s="133"/>
      <c r="F39" s="133"/>
    </row>
    <row r="40" spans="1:6">
      <c r="A40" s="32">
        <f t="shared" si="0"/>
        <v>34</v>
      </c>
      <c r="B40" s="136" t="s">
        <v>207</v>
      </c>
      <c r="C40" s="30"/>
      <c r="D40" s="133"/>
      <c r="E40" s="133"/>
      <c r="F40" s="133"/>
    </row>
    <row r="41" spans="1:6">
      <c r="A41" s="32">
        <f t="shared" si="0"/>
        <v>35</v>
      </c>
      <c r="B41" s="32"/>
      <c r="C41" s="30" t="s">
        <v>208</v>
      </c>
      <c r="D41" s="133">
        <v>254935</v>
      </c>
      <c r="E41" s="116">
        <v>0</v>
      </c>
      <c r="F41" s="133">
        <f>D41+E41</f>
        <v>254935</v>
      </c>
    </row>
    <row r="42" spans="1:6">
      <c r="A42" s="32">
        <f t="shared" si="0"/>
        <v>36</v>
      </c>
      <c r="B42" s="32"/>
      <c r="C42" s="30" t="s">
        <v>209</v>
      </c>
      <c r="D42" s="133">
        <v>75101344</v>
      </c>
      <c r="E42" s="133">
        <v>0</v>
      </c>
      <c r="F42" s="133">
        <f>D42+E42</f>
        <v>75101344</v>
      </c>
    </row>
    <row r="43" spans="1:6">
      <c r="A43" s="32"/>
      <c r="B43" s="32"/>
      <c r="C43" s="30" t="s">
        <v>210</v>
      </c>
      <c r="D43" s="133">
        <v>0</v>
      </c>
      <c r="E43" s="133"/>
      <c r="F43" s="133"/>
    </row>
    <row r="44" spans="1:6">
      <c r="A44" s="32">
        <f>A42+1</f>
        <v>37</v>
      </c>
      <c r="B44" s="32"/>
      <c r="C44" s="30" t="s">
        <v>211</v>
      </c>
      <c r="D44" s="133">
        <v>3206146</v>
      </c>
      <c r="E44" s="133">
        <v>0</v>
      </c>
      <c r="F44" s="133">
        <f>D44+E44</f>
        <v>3206146</v>
      </c>
    </row>
    <row r="45" spans="1:6">
      <c r="A45" s="32">
        <f t="shared" si="0"/>
        <v>38</v>
      </c>
      <c r="B45" s="32"/>
      <c r="C45" s="30" t="s">
        <v>212</v>
      </c>
      <c r="D45" s="133">
        <v>86605</v>
      </c>
      <c r="E45" s="133">
        <v>0</v>
      </c>
      <c r="F45" s="133">
        <f>D45+E45</f>
        <v>86605</v>
      </c>
    </row>
    <row r="46" spans="1:6">
      <c r="A46" s="32">
        <f t="shared" si="0"/>
        <v>39</v>
      </c>
      <c r="B46" s="32"/>
      <c r="C46" s="30" t="s">
        <v>213</v>
      </c>
      <c r="D46" s="133">
        <v>-643940</v>
      </c>
      <c r="E46" s="133">
        <v>0</v>
      </c>
      <c r="F46" s="133">
        <f>D46+E46</f>
        <v>-643940</v>
      </c>
    </row>
    <row r="47" spans="1:6">
      <c r="A47" s="32">
        <f t="shared" si="0"/>
        <v>40</v>
      </c>
      <c r="B47" s="32"/>
      <c r="C47" s="54" t="s">
        <v>214</v>
      </c>
      <c r="D47" s="134">
        <f>SUM(D41:D46)</f>
        <v>78005090</v>
      </c>
      <c r="E47" s="134">
        <f>SUM(E41:E46)</f>
        <v>0</v>
      </c>
      <c r="F47" s="134">
        <f>SUM(F41:F46)</f>
        <v>78005090</v>
      </c>
    </row>
    <row r="48" spans="1:6">
      <c r="A48" s="32">
        <f t="shared" si="0"/>
        <v>41</v>
      </c>
      <c r="B48" s="32"/>
      <c r="C48" s="30"/>
      <c r="D48" s="133"/>
      <c r="E48" s="133"/>
      <c r="F48" s="133"/>
    </row>
    <row r="49" spans="1:6">
      <c r="A49" s="32">
        <f t="shared" si="0"/>
        <v>42</v>
      </c>
      <c r="B49" s="32"/>
      <c r="C49" s="30" t="s">
        <v>449</v>
      </c>
      <c r="D49" s="226">
        <v>0</v>
      </c>
      <c r="E49" s="133">
        <v>0</v>
      </c>
      <c r="F49" s="133">
        <f>D49+E49</f>
        <v>0</v>
      </c>
    </row>
    <row r="50" spans="1:6">
      <c r="A50" s="32">
        <f t="shared" si="0"/>
        <v>43</v>
      </c>
      <c r="B50" s="32"/>
      <c r="C50" s="30" t="s">
        <v>215</v>
      </c>
      <c r="D50" s="226">
        <v>35096503</v>
      </c>
      <c r="E50" s="133">
        <v>0</v>
      </c>
      <c r="F50" s="133">
        <f>D50+E50</f>
        <v>35096503</v>
      </c>
    </row>
    <row r="51" spans="1:6">
      <c r="A51" s="32">
        <f t="shared" si="0"/>
        <v>44</v>
      </c>
      <c r="B51" s="32"/>
      <c r="C51" s="30" t="s">
        <v>450</v>
      </c>
      <c r="D51" s="226">
        <v>0</v>
      </c>
      <c r="E51" s="133">
        <v>0</v>
      </c>
      <c r="F51" s="133">
        <f>D51+E51</f>
        <v>0</v>
      </c>
    </row>
    <row r="52" spans="1:6">
      <c r="A52" s="32">
        <f t="shared" si="0"/>
        <v>45</v>
      </c>
      <c r="B52" s="32"/>
      <c r="C52" s="30" t="s">
        <v>216</v>
      </c>
      <c r="D52" s="226">
        <v>7661258</v>
      </c>
      <c r="E52" s="133">
        <v>0</v>
      </c>
      <c r="F52" s="133">
        <f>D52+E52</f>
        <v>7661258</v>
      </c>
    </row>
    <row r="53" spans="1:6">
      <c r="A53" s="32">
        <f t="shared" si="0"/>
        <v>46</v>
      </c>
      <c r="B53" s="32"/>
      <c r="C53" s="30" t="s">
        <v>451</v>
      </c>
      <c r="D53" s="226">
        <v>277777</v>
      </c>
      <c r="E53" s="133">
        <v>0</v>
      </c>
      <c r="F53" s="133">
        <f>D53+E53</f>
        <v>277777</v>
      </c>
    </row>
    <row r="54" spans="1:6">
      <c r="A54" s="32">
        <f t="shared" si="0"/>
        <v>47</v>
      </c>
      <c r="B54" s="32"/>
      <c r="C54" s="54" t="s">
        <v>217</v>
      </c>
      <c r="D54" s="134">
        <f>SUM(D49:D53)</f>
        <v>43035538</v>
      </c>
      <c r="E54" s="134">
        <f>SUM(E49:E53)</f>
        <v>0</v>
      </c>
      <c r="F54" s="134">
        <f>SUM(F49:F53)</f>
        <v>43035538</v>
      </c>
    </row>
    <row r="55" spans="1:6">
      <c r="A55" s="32">
        <f t="shared" si="0"/>
        <v>48</v>
      </c>
      <c r="B55" s="32"/>
      <c r="C55" s="30"/>
      <c r="D55" s="133"/>
      <c r="E55" s="133"/>
      <c r="F55" s="133"/>
    </row>
    <row r="56" spans="1:6">
      <c r="A56" s="32">
        <f t="shared" si="0"/>
        <v>49</v>
      </c>
      <c r="B56" s="32"/>
      <c r="C56" s="30" t="s">
        <v>229</v>
      </c>
      <c r="D56" s="133">
        <v>0</v>
      </c>
      <c r="E56" s="133">
        <v>0</v>
      </c>
      <c r="F56" s="133">
        <f>D56+E56</f>
        <v>0</v>
      </c>
    </row>
    <row r="57" spans="1:6">
      <c r="A57" s="32">
        <f t="shared" si="0"/>
        <v>50</v>
      </c>
      <c r="B57" s="32"/>
      <c r="C57" s="72" t="s">
        <v>218</v>
      </c>
      <c r="D57" s="139">
        <v>4282456</v>
      </c>
      <c r="E57" s="139">
        <v>0</v>
      </c>
      <c r="F57" s="139">
        <f>D57+E57</f>
        <v>4282456</v>
      </c>
    </row>
    <row r="58" spans="1:6">
      <c r="A58" s="32">
        <f t="shared" si="0"/>
        <v>51</v>
      </c>
      <c r="B58" s="32"/>
      <c r="C58" s="30" t="s">
        <v>230</v>
      </c>
      <c r="D58" s="133">
        <f>SUM(D56:D57)</f>
        <v>4282456</v>
      </c>
      <c r="E58" s="133">
        <f t="shared" ref="E58:F58" si="5">SUM(E56:E57)</f>
        <v>0</v>
      </c>
      <c r="F58" s="133">
        <f t="shared" si="5"/>
        <v>4282456</v>
      </c>
    </row>
    <row r="59" spans="1:6">
      <c r="A59" s="32">
        <f t="shared" si="0"/>
        <v>52</v>
      </c>
      <c r="B59" s="32"/>
      <c r="C59" s="30"/>
      <c r="D59" s="133"/>
      <c r="E59" s="133"/>
      <c r="F59" s="133"/>
    </row>
    <row r="60" spans="1:6">
      <c r="A60" s="32">
        <f t="shared" si="0"/>
        <v>53</v>
      </c>
      <c r="B60" s="32"/>
      <c r="C60" s="30" t="s">
        <v>219</v>
      </c>
      <c r="D60" s="133">
        <v>7800000</v>
      </c>
      <c r="E60" s="133">
        <v>0</v>
      </c>
      <c r="F60" s="133">
        <f t="shared" ref="F60:F65" si="6">D60+E60</f>
        <v>7800000</v>
      </c>
    </row>
    <row r="61" spans="1:6">
      <c r="A61" s="32">
        <f t="shared" si="0"/>
        <v>54</v>
      </c>
      <c r="B61" s="32"/>
      <c r="C61" s="30" t="s">
        <v>220</v>
      </c>
      <c r="D61" s="133">
        <v>8636970</v>
      </c>
      <c r="E61" s="133">
        <v>0</v>
      </c>
      <c r="F61" s="133">
        <f t="shared" si="6"/>
        <v>8636970</v>
      </c>
    </row>
    <row r="62" spans="1:6">
      <c r="A62" s="32">
        <f t="shared" si="0"/>
        <v>55</v>
      </c>
      <c r="B62" s="32"/>
      <c r="C62" s="30" t="s">
        <v>221</v>
      </c>
      <c r="D62" s="133">
        <v>657046</v>
      </c>
      <c r="E62" s="133">
        <v>0</v>
      </c>
      <c r="F62" s="133">
        <f t="shared" si="6"/>
        <v>657046</v>
      </c>
    </row>
    <row r="63" spans="1:6">
      <c r="A63" s="32">
        <f t="shared" si="0"/>
        <v>56</v>
      </c>
      <c r="B63" s="32"/>
      <c r="C63" s="30" t="s">
        <v>222</v>
      </c>
      <c r="D63" s="133">
        <v>2599000</v>
      </c>
      <c r="E63" s="133">
        <v>0</v>
      </c>
      <c r="F63" s="133">
        <f t="shared" si="6"/>
        <v>2599000</v>
      </c>
    </row>
    <row r="64" spans="1:6">
      <c r="A64" s="32">
        <f t="shared" si="0"/>
        <v>57</v>
      </c>
      <c r="B64" s="32"/>
      <c r="C64" s="30" t="s">
        <v>223</v>
      </c>
      <c r="D64" s="133">
        <v>111111</v>
      </c>
      <c r="E64" s="133">
        <v>0</v>
      </c>
      <c r="F64" s="133">
        <f t="shared" si="6"/>
        <v>111111</v>
      </c>
    </row>
    <row r="65" spans="1:6">
      <c r="A65" s="32">
        <f t="shared" si="0"/>
        <v>58</v>
      </c>
      <c r="B65" s="32"/>
      <c r="C65" s="30" t="s">
        <v>224</v>
      </c>
      <c r="D65" s="133">
        <v>3412019</v>
      </c>
      <c r="E65" s="133">
        <v>0</v>
      </c>
      <c r="F65" s="133">
        <f t="shared" si="6"/>
        <v>3412019</v>
      </c>
    </row>
    <row r="66" spans="1:6">
      <c r="A66" s="32">
        <f t="shared" si="0"/>
        <v>59</v>
      </c>
      <c r="B66" s="32"/>
      <c r="C66" s="54" t="s">
        <v>225</v>
      </c>
      <c r="D66" s="134">
        <f>SUM(D60:D65)</f>
        <v>23216146</v>
      </c>
      <c r="E66" s="134">
        <f>SUM(E60:E65)</f>
        <v>0</v>
      </c>
      <c r="F66" s="134">
        <f>SUM(F60:F65)</f>
        <v>23216146</v>
      </c>
    </row>
    <row r="67" spans="1:6">
      <c r="A67" s="32">
        <f t="shared" si="0"/>
        <v>60</v>
      </c>
      <c r="B67" s="32"/>
      <c r="C67" s="30"/>
      <c r="D67" s="133"/>
      <c r="E67" s="133"/>
      <c r="F67" s="133"/>
    </row>
    <row r="68" spans="1:6">
      <c r="A68" s="32">
        <f t="shared" si="0"/>
        <v>61</v>
      </c>
      <c r="B68" s="32"/>
      <c r="C68" s="30" t="s">
        <v>226</v>
      </c>
      <c r="D68" s="133">
        <v>0</v>
      </c>
      <c r="E68" s="133">
        <v>0</v>
      </c>
      <c r="F68" s="133">
        <f>D68+E68</f>
        <v>0</v>
      </c>
    </row>
    <row r="69" spans="1:6">
      <c r="A69" s="32">
        <f t="shared" si="0"/>
        <v>62</v>
      </c>
      <c r="B69" s="32"/>
      <c r="C69" s="30" t="s">
        <v>227</v>
      </c>
      <c r="D69" s="133">
        <v>226101</v>
      </c>
      <c r="E69" s="133">
        <v>0</v>
      </c>
      <c r="F69" s="133">
        <f>D69+E69</f>
        <v>226101</v>
      </c>
    </row>
    <row r="70" spans="1:6" ht="15" thickBot="1">
      <c r="A70" s="32">
        <f t="shared" si="0"/>
        <v>63</v>
      </c>
      <c r="B70" s="32"/>
      <c r="C70" s="47" t="s">
        <v>228</v>
      </c>
      <c r="D70" s="135">
        <f>D69+D68+D66+D58+D54+D47</f>
        <v>148765331</v>
      </c>
      <c r="E70" s="135">
        <f t="shared" ref="E70:F70" si="7">E69+E68+E66+E58+E54+E47</f>
        <v>0</v>
      </c>
      <c r="F70" s="135">
        <f t="shared" si="7"/>
        <v>148765331</v>
      </c>
    </row>
    <row r="71" spans="1:6" ht="15" thickTop="1">
      <c r="A71" s="32"/>
      <c r="B71" s="32"/>
      <c r="C71" s="30"/>
      <c r="D71" s="133"/>
      <c r="E71" s="133"/>
      <c r="F71" s="133"/>
    </row>
    <row r="72" spans="1:6">
      <c r="A72" s="32"/>
      <c r="B72" s="32"/>
      <c r="C72" s="30"/>
      <c r="D72" s="7"/>
      <c r="E72" s="133"/>
      <c r="F72" s="133"/>
    </row>
    <row r="73" spans="1:6">
      <c r="A73" s="32"/>
      <c r="B73" s="32"/>
      <c r="C73" s="30"/>
      <c r="D73" s="7"/>
      <c r="E73" s="133"/>
      <c r="F73" s="133"/>
    </row>
    <row r="74" spans="1:6">
      <c r="A74" s="32"/>
      <c r="B74" s="32"/>
      <c r="C74" s="30"/>
      <c r="D74" s="7"/>
      <c r="E74" s="133"/>
      <c r="F74" s="133"/>
    </row>
    <row r="75" spans="1:6">
      <c r="A75" s="32"/>
      <c r="B75" s="32"/>
      <c r="C75" s="30"/>
      <c r="D75" s="7"/>
      <c r="E75" s="133"/>
      <c r="F75" s="133"/>
    </row>
    <row r="76" spans="1:6">
      <c r="C76" s="30"/>
      <c r="D76" s="7"/>
      <c r="E76" s="133"/>
      <c r="F76" s="133"/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1"/>
  <sheetViews>
    <sheetView view="pageBreakPreview" zoomScale="60" zoomScaleNormal="75" workbookViewId="0">
      <pane xSplit="2" ySplit="6" topLeftCell="C16" activePane="bottomRight" state="frozen"/>
      <selection activeCell="B64" sqref="B64"/>
      <selection pane="topRight" activeCell="B64" sqref="B64"/>
      <selection pane="bottomLeft" activeCell="B64" sqref="B64"/>
      <selection pane="bottomRight" activeCell="Z36" sqref="Z36"/>
    </sheetView>
  </sheetViews>
  <sheetFormatPr defaultColWidth="12.5546875" defaultRowHeight="13.8"/>
  <cols>
    <col min="1" max="1" width="6.109375" style="146" customWidth="1"/>
    <col min="2" max="2" width="33.109375" style="145" customWidth="1"/>
    <col min="3" max="3" width="12.33203125" style="145" customWidth="1"/>
    <col min="4" max="4" width="15.5546875" style="145" customWidth="1"/>
    <col min="5" max="5" width="13" style="145" bestFit="1" customWidth="1"/>
    <col min="6" max="6" width="14.33203125" style="145" customWidth="1"/>
    <col min="7" max="7" width="11.88671875" style="145" bestFit="1" customWidth="1"/>
    <col min="8" max="8" width="13.88671875" style="145" customWidth="1"/>
    <col min="9" max="9" width="14.33203125" style="145" customWidth="1"/>
    <col min="10" max="10" width="12.88671875" style="145" bestFit="1" customWidth="1"/>
    <col min="11" max="11" width="13" style="145" customWidth="1"/>
    <col min="12" max="12" width="10.6640625" style="145" customWidth="1"/>
    <col min="13" max="13" width="14" style="145" customWidth="1"/>
    <col min="14" max="14" width="11.88671875" style="145" customWidth="1"/>
    <col min="15" max="15" width="11.5546875" style="145" customWidth="1"/>
    <col min="16" max="16" width="11.109375" style="145" customWidth="1"/>
    <col min="17" max="17" width="14.6640625" style="145" hidden="1" customWidth="1"/>
    <col min="18" max="18" width="14.109375" style="145" hidden="1" customWidth="1"/>
    <col min="19" max="19" width="4.109375" style="145" hidden="1" customWidth="1"/>
    <col min="20" max="20" width="11.5546875" style="145" hidden="1" customWidth="1"/>
    <col min="21" max="21" width="1.88671875" style="145" customWidth="1"/>
    <col min="22" max="22" width="12.44140625" style="145" bestFit="1" customWidth="1"/>
    <col min="23" max="23" width="3.5546875" style="145" customWidth="1"/>
    <col min="24" max="24" width="15.5546875" style="145" bestFit="1" customWidth="1"/>
    <col min="25" max="25" width="12.6640625" style="145" bestFit="1" customWidth="1"/>
    <col min="26" max="16384" width="12.5546875" style="145"/>
  </cols>
  <sheetData>
    <row r="1" spans="1:35">
      <c r="A1" s="140"/>
      <c r="B1" s="141" t="str">
        <f>RevReq!A1</f>
        <v>FLEMING-MASON ENERGY COOPERATIVE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3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</row>
    <row r="2" spans="1:35">
      <c r="A2" s="140"/>
      <c r="B2" s="141" t="s">
        <v>231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3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s="146" customForma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5">
      <c r="A4" s="140"/>
      <c r="B4" s="143" t="s">
        <v>232</v>
      </c>
      <c r="C4" s="140">
        <f>'Adj List'!B7</f>
        <v>1.01</v>
      </c>
      <c r="D4" s="140">
        <f>'Adj List'!B8</f>
        <v>1.02</v>
      </c>
      <c r="E4" s="140">
        <f>'Adj List'!B9</f>
        <v>1.03</v>
      </c>
      <c r="F4" s="140">
        <f>'Adj List'!B10</f>
        <v>1.04</v>
      </c>
      <c r="G4" s="140">
        <f>'Adj List'!B11</f>
        <v>1.05</v>
      </c>
      <c r="H4" s="140">
        <f>'Adj List'!B12</f>
        <v>1.06</v>
      </c>
      <c r="I4" s="140">
        <f>'Adj List'!B13</f>
        <v>1.07</v>
      </c>
      <c r="J4" s="140">
        <f>'Adj List'!B14</f>
        <v>1.08</v>
      </c>
      <c r="K4" s="140">
        <f>'Adj List'!B15</f>
        <v>1.0900000000000001</v>
      </c>
      <c r="L4" s="147">
        <f>'Adj List'!B16</f>
        <v>1.1000000000000001</v>
      </c>
      <c r="M4" s="140">
        <f>'Adj List'!B17</f>
        <v>1.1100000000000001</v>
      </c>
      <c r="N4" s="140">
        <f>'Adj List'!B18</f>
        <v>1.1200000000000001</v>
      </c>
      <c r="O4" s="140">
        <f>'Adj List'!B19</f>
        <v>1.1299999999999999</v>
      </c>
      <c r="P4" s="140">
        <f>'Adj List'!B20</f>
        <v>1.1399999999999999</v>
      </c>
      <c r="Q4" s="140">
        <f>'Adj List'!B21</f>
        <v>0</v>
      </c>
      <c r="R4" s="140">
        <f>'Adj List'!B22</f>
        <v>0</v>
      </c>
      <c r="S4" s="140"/>
      <c r="T4" s="140"/>
      <c r="U4" s="140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</row>
    <row r="5" spans="1:35" ht="9" customHeight="1">
      <c r="A5" s="140"/>
      <c r="B5" s="14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8"/>
      <c r="T5" s="140"/>
      <c r="U5" s="140"/>
      <c r="V5" s="140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</row>
    <row r="6" spans="1:35" s="151" customFormat="1" ht="59.25" customHeight="1">
      <c r="A6" s="149"/>
      <c r="B6" s="150" t="s">
        <v>233</v>
      </c>
      <c r="C6" s="149" t="str">
        <f>'Adj List'!C7</f>
        <v>Fuel Adjustment Clause</v>
      </c>
      <c r="D6" s="149" t="str">
        <f>'Adj List'!C8</f>
        <v>Environmental Surcharge</v>
      </c>
      <c r="E6" s="149" t="str">
        <f>'Adj List'!C9</f>
        <v>Interest Expense</v>
      </c>
      <c r="F6" s="149" t="str">
        <f>'Adj List'!C10</f>
        <v>Depreciation Normalization</v>
      </c>
      <c r="G6" s="149" t="str">
        <f>'Adj List'!C11</f>
        <v xml:space="preserve">Right of Way </v>
      </c>
      <c r="H6" s="149" t="str">
        <f>'Adj List'!C12</f>
        <v>Year End Customers</v>
      </c>
      <c r="I6" s="149" t="str">
        <f>'Adj List'!C13</f>
        <v>G&amp;T Capital Credits</v>
      </c>
      <c r="J6" s="149" t="str">
        <f>'Adj List'!C14</f>
        <v>Donations, Promo Ads &amp; Dues</v>
      </c>
      <c r="K6" s="149" t="str">
        <f>'Adj List'!C15</f>
        <v>Directors Expenses</v>
      </c>
      <c r="L6" s="149" t="str">
        <f>'Adj List'!C16</f>
        <v>Wages &amp; Salaries</v>
      </c>
      <c r="M6" s="149" t="str">
        <f>'Adj List'!C17</f>
        <v>401k Contributions</v>
      </c>
      <c r="N6" s="149" t="str">
        <f>'Adj List'!C18</f>
        <v>Health Care Costs</v>
      </c>
      <c r="O6" s="149" t="str">
        <f>'Adj List'!C19</f>
        <v>Rate Case Costs</v>
      </c>
      <c r="P6" s="149" t="str">
        <f>'Adj List'!C20</f>
        <v>Life Insurance</v>
      </c>
      <c r="Q6" s="149">
        <f>'Adj List'!C21</f>
        <v>0</v>
      </c>
      <c r="R6" s="149">
        <f>'Adj List'!C22</f>
        <v>0</v>
      </c>
      <c r="S6" s="149"/>
      <c r="T6" s="149"/>
      <c r="U6" s="149"/>
      <c r="V6" s="149" t="s">
        <v>107</v>
      </c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5">
      <c r="A7" s="140">
        <v>1</v>
      </c>
      <c r="B7" s="144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44"/>
      <c r="X7" s="144"/>
      <c r="Y7" s="144"/>
      <c r="Z7" s="152"/>
      <c r="AA7" s="152"/>
      <c r="AB7" s="152"/>
      <c r="AC7" s="152"/>
      <c r="AD7" s="152"/>
      <c r="AE7" s="152"/>
      <c r="AF7" s="152"/>
      <c r="AG7" s="152"/>
      <c r="AH7" s="152"/>
      <c r="AI7" s="144"/>
    </row>
    <row r="8" spans="1:35">
      <c r="A8" s="140">
        <f t="shared" ref="A8:A42" si="0">(A7+1)</f>
        <v>2</v>
      </c>
      <c r="B8" s="153" t="s">
        <v>234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44"/>
      <c r="X8" s="144"/>
      <c r="Y8" s="144"/>
      <c r="Z8" s="152"/>
      <c r="AA8" s="152"/>
      <c r="AB8" s="152"/>
      <c r="AC8" s="152"/>
      <c r="AD8" s="152"/>
      <c r="AE8" s="152"/>
      <c r="AF8" s="152"/>
      <c r="AG8" s="152"/>
      <c r="AH8" s="152"/>
      <c r="AI8" s="144"/>
    </row>
    <row r="9" spans="1:35">
      <c r="A9" s="140">
        <f t="shared" si="0"/>
        <v>3</v>
      </c>
      <c r="B9" s="144" t="s">
        <v>235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>
        <f>'Adj List'!D22</f>
        <v>0</v>
      </c>
      <c r="S9" s="152"/>
      <c r="T9" s="152"/>
      <c r="U9" s="152"/>
      <c r="V9" s="152">
        <f>SUM(C9:U9)</f>
        <v>0</v>
      </c>
      <c r="W9" s="144"/>
      <c r="X9" s="144"/>
      <c r="Y9" s="144"/>
      <c r="Z9" s="152"/>
      <c r="AA9" s="152"/>
      <c r="AB9" s="152"/>
      <c r="AC9" s="152"/>
      <c r="AD9" s="152"/>
      <c r="AE9" s="152"/>
      <c r="AF9" s="152"/>
      <c r="AG9" s="152"/>
      <c r="AH9" s="152"/>
      <c r="AI9" s="144"/>
    </row>
    <row r="10" spans="1:35">
      <c r="A10" s="140">
        <f t="shared" si="0"/>
        <v>4</v>
      </c>
      <c r="B10" s="144" t="s">
        <v>236</v>
      </c>
      <c r="C10" s="152">
        <f>'Adj List'!D7</f>
        <v>-11390316.33</v>
      </c>
      <c r="D10" s="152">
        <f>'Adj List'!D8</f>
        <v>-9565975.7799999993</v>
      </c>
      <c r="E10" s="152"/>
      <c r="F10" s="152"/>
      <c r="G10" s="152"/>
      <c r="H10" s="152">
        <f>'Adj List'!D12</f>
        <v>349932.05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>
        <f>SUM(C10:U10)</f>
        <v>-20606360.059999999</v>
      </c>
      <c r="W10" s="144"/>
      <c r="X10" s="154"/>
      <c r="Y10" s="154"/>
      <c r="Z10" s="152"/>
      <c r="AA10" s="152"/>
      <c r="AB10" s="152"/>
      <c r="AC10" s="152"/>
      <c r="AD10" s="152"/>
      <c r="AE10" s="152"/>
      <c r="AF10" s="152"/>
      <c r="AG10" s="152"/>
      <c r="AH10" s="152"/>
      <c r="AI10" s="144"/>
    </row>
    <row r="11" spans="1:35">
      <c r="A11" s="140">
        <f t="shared" si="0"/>
        <v>5</v>
      </c>
      <c r="B11" s="144" t="s">
        <v>15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5">
        <f>SUM(C11:U11)</f>
        <v>0</v>
      </c>
      <c r="W11" s="144"/>
      <c r="X11" s="144"/>
      <c r="Y11" s="144"/>
      <c r="Z11" s="152"/>
      <c r="AA11" s="152"/>
      <c r="AB11" s="152"/>
      <c r="AC11" s="152"/>
      <c r="AD11" s="152"/>
      <c r="AE11" s="152"/>
      <c r="AF11" s="152"/>
      <c r="AG11" s="152"/>
      <c r="AH11" s="152"/>
      <c r="AI11" s="144"/>
    </row>
    <row r="12" spans="1:35">
      <c r="A12" s="140">
        <f t="shared" si="0"/>
        <v>6</v>
      </c>
      <c r="B12" s="156" t="s">
        <v>237</v>
      </c>
      <c r="C12" s="157">
        <f t="shared" ref="C12:T12" si="1">SUM(C7:C11)</f>
        <v>-11390316.33</v>
      </c>
      <c r="D12" s="157">
        <f t="shared" si="1"/>
        <v>-9565975.7799999993</v>
      </c>
      <c r="E12" s="157">
        <f t="shared" si="1"/>
        <v>0</v>
      </c>
      <c r="F12" s="157">
        <f t="shared" si="1"/>
        <v>0</v>
      </c>
      <c r="G12" s="157">
        <f t="shared" si="1"/>
        <v>0</v>
      </c>
      <c r="H12" s="157">
        <f t="shared" si="1"/>
        <v>349932.05</v>
      </c>
      <c r="I12" s="157">
        <f t="shared" si="1"/>
        <v>0</v>
      </c>
      <c r="J12" s="157">
        <f t="shared" si="1"/>
        <v>0</v>
      </c>
      <c r="K12" s="157">
        <f t="shared" si="1"/>
        <v>0</v>
      </c>
      <c r="L12" s="157">
        <f t="shared" si="1"/>
        <v>0</v>
      </c>
      <c r="M12" s="157">
        <f t="shared" si="1"/>
        <v>0</v>
      </c>
      <c r="N12" s="157">
        <f t="shared" si="1"/>
        <v>0</v>
      </c>
      <c r="O12" s="157">
        <f t="shared" si="1"/>
        <v>0</v>
      </c>
      <c r="P12" s="157">
        <f t="shared" si="1"/>
        <v>0</v>
      </c>
      <c r="Q12" s="157">
        <f t="shared" ref="Q12" si="2">SUM(Q7:Q11)</f>
        <v>0</v>
      </c>
      <c r="R12" s="157">
        <f t="shared" si="1"/>
        <v>0</v>
      </c>
      <c r="S12" s="157">
        <f t="shared" si="1"/>
        <v>0</v>
      </c>
      <c r="T12" s="157">
        <f t="shared" si="1"/>
        <v>0</v>
      </c>
      <c r="U12" s="157"/>
      <c r="V12" s="157">
        <f>SUM(C12:U12)</f>
        <v>-20606360.059999999</v>
      </c>
      <c r="W12" s="144"/>
      <c r="X12" s="152"/>
      <c r="Y12" s="144"/>
      <c r="Z12" s="152"/>
      <c r="AA12" s="152"/>
      <c r="AB12" s="152"/>
      <c r="AC12" s="152"/>
      <c r="AD12" s="152"/>
      <c r="AE12" s="152"/>
      <c r="AF12" s="152"/>
      <c r="AG12" s="152"/>
      <c r="AH12" s="152"/>
      <c r="AI12" s="144"/>
    </row>
    <row r="13" spans="1:35">
      <c r="A13" s="140">
        <f t="shared" si="0"/>
        <v>7</v>
      </c>
      <c r="B13" s="144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44"/>
      <c r="X13" s="144"/>
      <c r="Y13" s="144"/>
      <c r="Z13" s="152"/>
      <c r="AA13" s="152"/>
      <c r="AB13" s="152"/>
      <c r="AC13" s="152"/>
      <c r="AD13" s="152"/>
      <c r="AE13" s="152"/>
      <c r="AF13" s="152"/>
      <c r="AG13" s="152"/>
      <c r="AH13" s="152"/>
      <c r="AI13" s="144"/>
    </row>
    <row r="14" spans="1:35">
      <c r="A14" s="140">
        <f t="shared" si="0"/>
        <v>8</v>
      </c>
      <c r="B14" s="153" t="s">
        <v>17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44"/>
      <c r="X14" s="144"/>
      <c r="Y14" s="144"/>
      <c r="Z14" s="152"/>
      <c r="AA14" s="152"/>
      <c r="AB14" s="152"/>
      <c r="AC14" s="152"/>
      <c r="AD14" s="152"/>
      <c r="AE14" s="152"/>
      <c r="AF14" s="152"/>
      <c r="AG14" s="152"/>
      <c r="AH14" s="152"/>
      <c r="AI14" s="144"/>
    </row>
    <row r="15" spans="1:35">
      <c r="A15" s="140">
        <f t="shared" si="0"/>
        <v>9</v>
      </c>
      <c r="B15" s="144" t="s">
        <v>18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>
        <f t="shared" ref="V15:V24" si="3">SUM(C15:U15)</f>
        <v>0</v>
      </c>
      <c r="W15" s="144"/>
      <c r="X15" s="144"/>
      <c r="Y15" s="144"/>
      <c r="Z15" s="152"/>
      <c r="AA15" s="152"/>
      <c r="AB15" s="152"/>
      <c r="AC15" s="152"/>
      <c r="AD15" s="152"/>
      <c r="AE15" s="152"/>
      <c r="AF15" s="152"/>
      <c r="AG15" s="152"/>
      <c r="AH15" s="152"/>
      <c r="AI15" s="144"/>
    </row>
    <row r="16" spans="1:35">
      <c r="A16" s="140">
        <f t="shared" si="0"/>
        <v>10</v>
      </c>
      <c r="B16" s="144" t="s">
        <v>238</v>
      </c>
      <c r="C16" s="152"/>
      <c r="D16" s="152"/>
      <c r="E16" s="152"/>
      <c r="F16" s="152"/>
      <c r="G16" s="152"/>
      <c r="H16" s="152">
        <f>'Adj List'!E12</f>
        <v>207275.38</v>
      </c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>
        <f t="shared" si="3"/>
        <v>207275.38</v>
      </c>
      <c r="W16" s="144"/>
      <c r="X16" s="144"/>
      <c r="Y16" s="144"/>
      <c r="Z16" s="152"/>
      <c r="AA16" s="152"/>
      <c r="AB16" s="152"/>
      <c r="AC16" s="152"/>
      <c r="AD16" s="152"/>
      <c r="AE16" s="152"/>
      <c r="AF16" s="152"/>
      <c r="AG16" s="152"/>
      <c r="AH16" s="152"/>
      <c r="AI16" s="144"/>
    </row>
    <row r="17" spans="1:35">
      <c r="A17" s="140">
        <f t="shared" si="0"/>
        <v>11</v>
      </c>
      <c r="B17" s="144" t="s">
        <v>239</v>
      </c>
      <c r="C17" s="152">
        <f>'Adj List'!E7</f>
        <v>-11162273</v>
      </c>
      <c r="D17" s="152">
        <f>'Adj List'!E8</f>
        <v>-9613093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>
        <f t="shared" si="3"/>
        <v>-20775366</v>
      </c>
      <c r="W17" s="144"/>
      <c r="X17" s="144"/>
      <c r="Y17" s="144"/>
      <c r="Z17" s="152"/>
      <c r="AA17" s="152"/>
      <c r="AB17" s="152"/>
      <c r="AC17" s="152"/>
      <c r="AD17" s="152"/>
      <c r="AE17" s="152"/>
      <c r="AF17" s="152"/>
      <c r="AG17" s="152"/>
      <c r="AH17" s="152"/>
      <c r="AI17" s="144"/>
    </row>
    <row r="18" spans="1:35">
      <c r="A18" s="140">
        <f t="shared" si="0"/>
        <v>12</v>
      </c>
      <c r="B18" s="144" t="s">
        <v>240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>
        <f t="shared" si="3"/>
        <v>0</v>
      </c>
      <c r="W18" s="144"/>
      <c r="X18" s="144"/>
      <c r="Y18" s="144"/>
      <c r="Z18" s="152"/>
      <c r="AA18" s="152"/>
      <c r="AB18" s="152"/>
      <c r="AC18" s="152"/>
      <c r="AD18" s="152"/>
      <c r="AE18" s="152"/>
      <c r="AF18" s="152"/>
      <c r="AG18" s="152"/>
      <c r="AH18" s="152"/>
      <c r="AI18" s="144"/>
    </row>
    <row r="19" spans="1:35">
      <c r="A19" s="140">
        <f t="shared" si="0"/>
        <v>13</v>
      </c>
      <c r="B19" s="144" t="s">
        <v>241</v>
      </c>
      <c r="C19" s="152"/>
      <c r="D19" s="152"/>
      <c r="E19" s="152"/>
      <c r="F19" s="152"/>
      <c r="G19" s="152">
        <f>'Adj List'!E11</f>
        <v>326888.64999999991</v>
      </c>
      <c r="H19" s="152"/>
      <c r="I19" s="152">
        <f>'Adj List'!E13</f>
        <v>0</v>
      </c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>
        <f t="shared" si="3"/>
        <v>326888.64999999991</v>
      </c>
      <c r="W19" s="144"/>
      <c r="X19" s="144"/>
      <c r="Y19" s="144"/>
      <c r="Z19" s="152"/>
      <c r="AA19" s="152"/>
      <c r="AB19" s="152"/>
      <c r="AC19" s="152"/>
      <c r="AD19" s="152"/>
      <c r="AE19" s="152"/>
      <c r="AF19" s="152"/>
      <c r="AG19" s="152"/>
      <c r="AH19" s="152"/>
      <c r="AI19" s="144"/>
    </row>
    <row r="20" spans="1:35">
      <c r="A20" s="140">
        <f t="shared" si="0"/>
        <v>14</v>
      </c>
      <c r="B20" s="144" t="s">
        <v>242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>
        <f t="shared" si="3"/>
        <v>0</v>
      </c>
      <c r="W20" s="144"/>
      <c r="X20" s="144"/>
      <c r="Y20" s="144"/>
      <c r="Z20" s="152"/>
      <c r="AA20" s="152"/>
      <c r="AB20" s="152"/>
      <c r="AC20" s="152"/>
      <c r="AD20" s="152"/>
      <c r="AE20" s="152"/>
      <c r="AF20" s="152"/>
      <c r="AG20" s="152"/>
      <c r="AH20" s="152"/>
      <c r="AI20" s="144"/>
    </row>
    <row r="21" spans="1:35">
      <c r="A21" s="140">
        <f t="shared" si="0"/>
        <v>15</v>
      </c>
      <c r="B21" s="144" t="s">
        <v>22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>
        <f t="shared" si="3"/>
        <v>0</v>
      </c>
      <c r="W21" s="144"/>
      <c r="X21" s="144"/>
      <c r="Y21" s="144"/>
      <c r="Z21" s="152"/>
      <c r="AA21" s="152"/>
      <c r="AB21" s="152"/>
      <c r="AC21" s="152"/>
      <c r="AD21" s="152"/>
      <c r="AE21" s="152"/>
      <c r="AF21" s="152"/>
      <c r="AG21" s="152"/>
      <c r="AH21" s="152"/>
      <c r="AI21" s="144"/>
    </row>
    <row r="22" spans="1:35">
      <c r="A22" s="140">
        <f t="shared" si="0"/>
        <v>16</v>
      </c>
      <c r="B22" s="144" t="s">
        <v>243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>
        <f t="shared" si="3"/>
        <v>0</v>
      </c>
      <c r="W22" s="144"/>
      <c r="X22" s="144"/>
      <c r="Y22" s="144"/>
      <c r="Z22" s="152"/>
      <c r="AA22" s="152"/>
      <c r="AB22" s="152"/>
      <c r="AC22" s="152"/>
      <c r="AD22" s="152"/>
      <c r="AE22" s="152"/>
      <c r="AF22" s="152"/>
      <c r="AG22" s="152"/>
      <c r="AH22" s="152"/>
      <c r="AI22" s="144"/>
    </row>
    <row r="23" spans="1:35">
      <c r="A23" s="140">
        <f t="shared" si="0"/>
        <v>17</v>
      </c>
      <c r="B23" s="144" t="s">
        <v>244</v>
      </c>
      <c r="C23" s="152"/>
      <c r="D23" s="152"/>
      <c r="E23" s="152"/>
      <c r="F23" s="152"/>
      <c r="G23" s="152"/>
      <c r="H23" s="152"/>
      <c r="I23" s="152"/>
      <c r="J23" s="152">
        <f>'Adj List'!E14-'Adj IS'!J30</f>
        <v>-176915.76</v>
      </c>
      <c r="K23" s="152">
        <f>'Adj List'!E15</f>
        <v>-13188.619999999999</v>
      </c>
      <c r="L23" s="152">
        <f>'Adj List'!E16</f>
        <v>41529.658656934393</v>
      </c>
      <c r="M23" s="152">
        <f>'Adj List'!E17</f>
        <v>-35780.239999999998</v>
      </c>
      <c r="N23" s="152">
        <f>'Adj List'!E18</f>
        <v>24457.541095838118</v>
      </c>
      <c r="O23" s="152">
        <f>'Adj List'!E19</f>
        <v>48333.33</v>
      </c>
      <c r="P23" s="152">
        <f>'Adj List'!E20</f>
        <v>-7503.2860445527976</v>
      </c>
      <c r="Q23" s="152"/>
      <c r="R23" s="152"/>
      <c r="S23" s="152"/>
      <c r="T23" s="152"/>
      <c r="U23" s="152"/>
      <c r="V23" s="152">
        <f t="shared" si="3"/>
        <v>-119067.37629178027</v>
      </c>
      <c r="W23" s="144"/>
      <c r="X23" s="144"/>
      <c r="Y23" s="144"/>
      <c r="Z23" s="152"/>
      <c r="AA23" s="152"/>
      <c r="AB23" s="152"/>
      <c r="AC23" s="152"/>
      <c r="AD23" s="152"/>
      <c r="AE23" s="152"/>
      <c r="AF23" s="152"/>
      <c r="AG23" s="152"/>
      <c r="AH23" s="152"/>
      <c r="AI23" s="144"/>
    </row>
    <row r="24" spans="1:35">
      <c r="A24" s="140">
        <f t="shared" si="0"/>
        <v>18</v>
      </c>
      <c r="B24" s="156" t="s">
        <v>245</v>
      </c>
      <c r="C24" s="157">
        <f t="shared" ref="C24:T24" si="4">SUM(C15:C23)</f>
        <v>-11162273</v>
      </c>
      <c r="D24" s="157">
        <f t="shared" si="4"/>
        <v>-9613093</v>
      </c>
      <c r="E24" s="157">
        <f t="shared" si="4"/>
        <v>0</v>
      </c>
      <c r="F24" s="157">
        <f t="shared" si="4"/>
        <v>0</v>
      </c>
      <c r="G24" s="157">
        <f t="shared" si="4"/>
        <v>326888.64999999991</v>
      </c>
      <c r="H24" s="157">
        <f t="shared" si="4"/>
        <v>207275.38</v>
      </c>
      <c r="I24" s="157">
        <f t="shared" si="4"/>
        <v>0</v>
      </c>
      <c r="J24" s="157">
        <f t="shared" si="4"/>
        <v>-176915.76</v>
      </c>
      <c r="K24" s="157">
        <f t="shared" si="4"/>
        <v>-13188.619999999999</v>
      </c>
      <c r="L24" s="157">
        <f t="shared" si="4"/>
        <v>41529.658656934393</v>
      </c>
      <c r="M24" s="157">
        <f t="shared" si="4"/>
        <v>-35780.239999999998</v>
      </c>
      <c r="N24" s="157">
        <f t="shared" si="4"/>
        <v>24457.541095838118</v>
      </c>
      <c r="O24" s="157">
        <f t="shared" si="4"/>
        <v>48333.33</v>
      </c>
      <c r="P24" s="157">
        <f t="shared" si="4"/>
        <v>-7503.2860445527976</v>
      </c>
      <c r="Q24" s="157">
        <f t="shared" ref="Q24" si="5">SUM(Q15:Q23)</f>
        <v>0</v>
      </c>
      <c r="R24" s="157">
        <f t="shared" si="4"/>
        <v>0</v>
      </c>
      <c r="S24" s="157">
        <f t="shared" si="4"/>
        <v>0</v>
      </c>
      <c r="T24" s="157">
        <f t="shared" si="4"/>
        <v>0</v>
      </c>
      <c r="U24" s="157">
        <f>SUM(U15:U23)</f>
        <v>0</v>
      </c>
      <c r="V24" s="157">
        <f t="shared" si="3"/>
        <v>-20360269.346291784</v>
      </c>
      <c r="W24" s="144"/>
      <c r="X24" s="152"/>
      <c r="Y24" s="144"/>
      <c r="Z24" s="152"/>
      <c r="AA24" s="152"/>
      <c r="AB24" s="152"/>
      <c r="AC24" s="152"/>
      <c r="AD24" s="152"/>
      <c r="AE24" s="152"/>
      <c r="AF24" s="152"/>
      <c r="AG24" s="152"/>
      <c r="AH24" s="152"/>
      <c r="AI24" s="144"/>
    </row>
    <row r="25" spans="1:35">
      <c r="A25" s="140">
        <f t="shared" si="0"/>
        <v>19</v>
      </c>
      <c r="B25" s="144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44"/>
      <c r="X25" s="144"/>
      <c r="Y25" s="144"/>
      <c r="Z25" s="152"/>
      <c r="AA25" s="152"/>
      <c r="AB25" s="152"/>
      <c r="AC25" s="152"/>
      <c r="AD25" s="152"/>
      <c r="AE25" s="152"/>
      <c r="AF25" s="152"/>
      <c r="AG25" s="152"/>
      <c r="AH25" s="152"/>
      <c r="AI25" s="144"/>
    </row>
    <row r="26" spans="1:35">
      <c r="A26" s="140">
        <f t="shared" si="0"/>
        <v>20</v>
      </c>
      <c r="B26" s="144" t="s">
        <v>246</v>
      </c>
      <c r="C26" s="152"/>
      <c r="D26" s="152"/>
      <c r="E26" s="152"/>
      <c r="F26" s="152">
        <f>'Adj List'!E10</f>
        <v>-47643.812299999947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>
        <f t="shared" ref="V26:V31" si="6">SUM(C26:U26)</f>
        <v>-47643.812299999947</v>
      </c>
      <c r="W26" s="144"/>
      <c r="X26" s="144"/>
      <c r="Y26" s="144"/>
      <c r="Z26" s="152"/>
      <c r="AA26" s="152"/>
      <c r="AB26" s="152"/>
      <c r="AC26" s="152"/>
      <c r="AD26" s="152"/>
      <c r="AE26" s="152"/>
      <c r="AF26" s="152"/>
      <c r="AG26" s="152"/>
      <c r="AH26" s="152"/>
      <c r="AI26" s="144"/>
    </row>
    <row r="27" spans="1:35">
      <c r="A27" s="140">
        <f t="shared" si="0"/>
        <v>21</v>
      </c>
      <c r="B27" s="144" t="s">
        <v>27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>
        <f t="shared" si="6"/>
        <v>0</v>
      </c>
      <c r="W27" s="144"/>
      <c r="X27" s="144"/>
      <c r="Y27" s="144"/>
      <c r="Z27" s="152"/>
      <c r="AA27" s="152"/>
      <c r="AB27" s="152"/>
      <c r="AC27" s="152"/>
      <c r="AD27" s="152"/>
      <c r="AE27" s="152"/>
      <c r="AF27" s="152"/>
      <c r="AG27" s="152"/>
      <c r="AH27" s="152"/>
      <c r="AI27" s="144"/>
    </row>
    <row r="28" spans="1:35">
      <c r="A28" s="140">
        <f t="shared" si="0"/>
        <v>22</v>
      </c>
      <c r="B28" s="144" t="s">
        <v>247</v>
      </c>
      <c r="C28" s="152"/>
      <c r="D28" s="152"/>
      <c r="E28" s="152">
        <f>'Adj List'!E9</f>
        <v>510636.48369160038</v>
      </c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>
        <f t="shared" si="6"/>
        <v>510636.48369160038</v>
      </c>
      <c r="W28" s="144"/>
      <c r="X28" s="144"/>
      <c r="Y28" s="144"/>
      <c r="Z28" s="152"/>
      <c r="AA28" s="152"/>
      <c r="AB28" s="152"/>
      <c r="AC28" s="152"/>
      <c r="AD28" s="152"/>
      <c r="AE28" s="152"/>
      <c r="AF28" s="152"/>
      <c r="AG28" s="152"/>
      <c r="AH28" s="152"/>
      <c r="AI28" s="144"/>
    </row>
    <row r="29" spans="1:35">
      <c r="A29" s="140">
        <f>(A28+1)</f>
        <v>23</v>
      </c>
      <c r="B29" s="144" t="s">
        <v>248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>
        <f t="shared" si="6"/>
        <v>0</v>
      </c>
      <c r="W29" s="144"/>
      <c r="X29" s="144"/>
      <c r="Y29" s="144"/>
      <c r="Z29" s="152"/>
      <c r="AA29" s="152"/>
      <c r="AB29" s="152"/>
      <c r="AC29" s="152"/>
      <c r="AD29" s="152"/>
      <c r="AE29" s="152"/>
      <c r="AF29" s="152"/>
      <c r="AG29" s="152"/>
      <c r="AH29" s="152"/>
      <c r="AI29" s="144"/>
    </row>
    <row r="30" spans="1:35">
      <c r="A30" s="140">
        <f>(A29+1)</f>
        <v>24</v>
      </c>
      <c r="B30" s="144" t="s">
        <v>30</v>
      </c>
      <c r="C30" s="152"/>
      <c r="D30" s="152"/>
      <c r="E30" s="152"/>
      <c r="F30" s="152"/>
      <c r="G30" s="152"/>
      <c r="H30" s="152"/>
      <c r="I30" s="152"/>
      <c r="J30" s="152">
        <v>-14585.19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>
        <f t="shared" si="6"/>
        <v>-14585.19</v>
      </c>
      <c r="W30" s="144"/>
      <c r="X30" s="144"/>
      <c r="Y30" s="144"/>
      <c r="Z30" s="152"/>
      <c r="AA30" s="152"/>
      <c r="AB30" s="152"/>
      <c r="AC30" s="152"/>
      <c r="AD30" s="152"/>
      <c r="AE30" s="152"/>
      <c r="AF30" s="152"/>
      <c r="AG30" s="152"/>
      <c r="AH30" s="152"/>
      <c r="AI30" s="144"/>
    </row>
    <row r="31" spans="1:35">
      <c r="A31" s="140">
        <f t="shared" si="0"/>
        <v>25</v>
      </c>
      <c r="B31" s="156" t="s">
        <v>31</v>
      </c>
      <c r="C31" s="157">
        <f t="shared" ref="C31:T31" si="7">SUM(C24:C30)</f>
        <v>-11162273</v>
      </c>
      <c r="D31" s="157">
        <f t="shared" si="7"/>
        <v>-9613093</v>
      </c>
      <c r="E31" s="157">
        <f t="shared" si="7"/>
        <v>510636.48369160038</v>
      </c>
      <c r="F31" s="157">
        <f t="shared" si="7"/>
        <v>-47643.812299999947</v>
      </c>
      <c r="G31" s="157">
        <f t="shared" si="7"/>
        <v>326888.64999999991</v>
      </c>
      <c r="H31" s="157">
        <f t="shared" si="7"/>
        <v>207275.38</v>
      </c>
      <c r="I31" s="157">
        <f t="shared" si="7"/>
        <v>0</v>
      </c>
      <c r="J31" s="157">
        <f t="shared" si="7"/>
        <v>-191500.95</v>
      </c>
      <c r="K31" s="157">
        <f t="shared" si="7"/>
        <v>-13188.619999999999</v>
      </c>
      <c r="L31" s="157">
        <f t="shared" si="7"/>
        <v>41529.658656934393</v>
      </c>
      <c r="M31" s="157">
        <f t="shared" si="7"/>
        <v>-35780.239999999998</v>
      </c>
      <c r="N31" s="157">
        <f t="shared" si="7"/>
        <v>24457.541095838118</v>
      </c>
      <c r="O31" s="157">
        <f t="shared" si="7"/>
        <v>48333.33</v>
      </c>
      <c r="P31" s="157">
        <f t="shared" si="7"/>
        <v>-7503.2860445527976</v>
      </c>
      <c r="Q31" s="157">
        <f t="shared" ref="Q31" si="8">SUM(Q24:Q30)</f>
        <v>0</v>
      </c>
      <c r="R31" s="157">
        <f t="shared" si="7"/>
        <v>0</v>
      </c>
      <c r="S31" s="157">
        <f t="shared" si="7"/>
        <v>0</v>
      </c>
      <c r="T31" s="157">
        <f t="shared" si="7"/>
        <v>0</v>
      </c>
      <c r="U31" s="157">
        <f>SUM(U24:U30)</f>
        <v>0</v>
      </c>
      <c r="V31" s="157">
        <f t="shared" si="6"/>
        <v>-19911861.864900183</v>
      </c>
      <c r="W31" s="144"/>
      <c r="X31" s="152"/>
      <c r="Y31" s="144"/>
      <c r="Z31" s="152"/>
      <c r="AA31" s="152"/>
      <c r="AB31" s="152"/>
      <c r="AC31" s="152"/>
      <c r="AD31" s="152"/>
      <c r="AE31" s="152"/>
      <c r="AF31" s="152"/>
      <c r="AG31" s="152"/>
      <c r="AH31" s="152"/>
      <c r="AI31" s="144"/>
    </row>
    <row r="32" spans="1:35">
      <c r="A32" s="140">
        <f t="shared" si="0"/>
        <v>26</v>
      </c>
      <c r="B32" s="144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44"/>
      <c r="X32" s="144"/>
      <c r="Y32" s="144"/>
      <c r="Z32" s="152"/>
      <c r="AA32" s="152"/>
      <c r="AB32" s="152"/>
      <c r="AC32" s="152"/>
      <c r="AD32" s="152"/>
      <c r="AE32" s="152"/>
      <c r="AF32" s="152"/>
      <c r="AG32" s="152"/>
      <c r="AH32" s="152"/>
      <c r="AI32" s="144"/>
    </row>
    <row r="33" spans="1:35">
      <c r="A33" s="140">
        <f t="shared" si="0"/>
        <v>27</v>
      </c>
      <c r="B33" s="144" t="s">
        <v>32</v>
      </c>
      <c r="C33" s="152">
        <f t="shared" ref="C33:T33" si="9">(+C12-C31)</f>
        <v>-228043.33000000007</v>
      </c>
      <c r="D33" s="152">
        <f t="shared" si="9"/>
        <v>47117.220000000671</v>
      </c>
      <c r="E33" s="152">
        <f t="shared" si="9"/>
        <v>-510636.48369160038</v>
      </c>
      <c r="F33" s="152">
        <f t="shared" si="9"/>
        <v>47643.812299999947</v>
      </c>
      <c r="G33" s="152">
        <f t="shared" si="9"/>
        <v>-326888.64999999991</v>
      </c>
      <c r="H33" s="152">
        <f t="shared" si="9"/>
        <v>142656.66999999998</v>
      </c>
      <c r="I33" s="152">
        <f t="shared" si="9"/>
        <v>0</v>
      </c>
      <c r="J33" s="152">
        <f t="shared" si="9"/>
        <v>191500.95</v>
      </c>
      <c r="K33" s="152">
        <f t="shared" si="9"/>
        <v>13188.619999999999</v>
      </c>
      <c r="L33" s="152">
        <f t="shared" si="9"/>
        <v>-41529.658656934393</v>
      </c>
      <c r="M33" s="152">
        <f t="shared" si="9"/>
        <v>35780.239999999998</v>
      </c>
      <c r="N33" s="152">
        <f t="shared" si="9"/>
        <v>-24457.541095838118</v>
      </c>
      <c r="O33" s="152">
        <f t="shared" si="9"/>
        <v>-48333.33</v>
      </c>
      <c r="P33" s="152">
        <f t="shared" si="9"/>
        <v>7503.2860445527976</v>
      </c>
      <c r="Q33" s="152">
        <f t="shared" ref="Q33" si="10">(+Q12-Q31)</f>
        <v>0</v>
      </c>
      <c r="R33" s="152">
        <f t="shared" si="9"/>
        <v>0</v>
      </c>
      <c r="S33" s="152">
        <f t="shared" si="9"/>
        <v>0</v>
      </c>
      <c r="T33" s="152">
        <f t="shared" si="9"/>
        <v>0</v>
      </c>
      <c r="U33" s="152">
        <f>(+U12-U31)</f>
        <v>0</v>
      </c>
      <c r="V33" s="152">
        <f>SUM(C33:U33)</f>
        <v>-694498.19509981934</v>
      </c>
      <c r="W33" s="144"/>
      <c r="X33" s="144"/>
      <c r="Y33" s="144"/>
      <c r="Z33" s="152"/>
      <c r="AA33" s="152"/>
      <c r="AB33" s="152"/>
      <c r="AC33" s="152"/>
      <c r="AD33" s="152"/>
      <c r="AE33" s="152"/>
      <c r="AF33" s="152"/>
      <c r="AG33" s="152"/>
      <c r="AH33" s="152"/>
      <c r="AI33" s="144"/>
    </row>
    <row r="34" spans="1:35">
      <c r="A34" s="140">
        <f t="shared" si="0"/>
        <v>28</v>
      </c>
      <c r="B34" s="144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44"/>
      <c r="X34" s="144"/>
      <c r="Y34" s="144"/>
      <c r="Z34" s="152"/>
      <c r="AA34" s="152"/>
      <c r="AB34" s="152"/>
      <c r="AC34" s="152"/>
      <c r="AD34" s="152"/>
      <c r="AE34" s="152"/>
      <c r="AF34" s="152"/>
      <c r="AG34" s="152"/>
      <c r="AH34" s="152"/>
      <c r="AI34" s="144"/>
    </row>
    <row r="35" spans="1:35">
      <c r="A35" s="140">
        <f t="shared" si="0"/>
        <v>29</v>
      </c>
      <c r="B35" s="144" t="s">
        <v>33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>
        <f>SUM(C35:U35)</f>
        <v>0</v>
      </c>
      <c r="W35" s="144"/>
      <c r="X35" s="144"/>
      <c r="Y35" s="144"/>
      <c r="Z35" s="152"/>
      <c r="AA35" s="152"/>
      <c r="AB35" s="152"/>
      <c r="AC35" s="152"/>
      <c r="AD35" s="152"/>
      <c r="AE35" s="152"/>
      <c r="AF35" s="152"/>
      <c r="AG35" s="152"/>
      <c r="AH35" s="152"/>
      <c r="AI35" s="144"/>
    </row>
    <row r="36" spans="1:35">
      <c r="A36" s="140" t="s">
        <v>249</v>
      </c>
      <c r="B36" s="144" t="s">
        <v>250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44"/>
      <c r="X36" s="144"/>
      <c r="Y36" s="144"/>
      <c r="Z36" s="152"/>
      <c r="AA36" s="152"/>
      <c r="AB36" s="152"/>
      <c r="AC36" s="152"/>
      <c r="AD36" s="152"/>
      <c r="AE36" s="152"/>
      <c r="AF36" s="152"/>
      <c r="AG36" s="152"/>
      <c r="AH36" s="152"/>
      <c r="AI36" s="144"/>
    </row>
    <row r="37" spans="1:35">
      <c r="A37" s="140">
        <f>(A35+1)</f>
        <v>30</v>
      </c>
      <c r="B37" s="144" t="s">
        <v>36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>
        <f>'Adj List'!F20</f>
        <v>0</v>
      </c>
      <c r="Q37" s="152">
        <f>'Adj List'!F21</f>
        <v>0</v>
      </c>
      <c r="R37" s="152"/>
      <c r="S37" s="152"/>
      <c r="T37" s="152"/>
      <c r="U37" s="152"/>
      <c r="V37" s="152">
        <f>SUM(C37:U37)</f>
        <v>0</v>
      </c>
      <c r="W37" s="144"/>
      <c r="X37" s="144"/>
      <c r="Y37" s="144"/>
      <c r="Z37" s="152"/>
      <c r="AA37" s="152"/>
      <c r="AB37" s="152"/>
      <c r="AC37" s="152"/>
      <c r="AD37" s="152"/>
      <c r="AE37" s="152"/>
      <c r="AF37" s="152"/>
      <c r="AG37" s="152"/>
      <c r="AH37" s="152"/>
      <c r="AI37" s="144"/>
    </row>
    <row r="38" spans="1:35">
      <c r="A38" s="140">
        <f t="shared" si="0"/>
        <v>31</v>
      </c>
      <c r="B38" s="144" t="s">
        <v>37</v>
      </c>
      <c r="C38" s="152"/>
      <c r="D38" s="152"/>
      <c r="E38" s="152"/>
      <c r="F38" s="152"/>
      <c r="G38" s="152"/>
      <c r="H38" s="152"/>
      <c r="I38" s="152">
        <f>'Adj List'!F13</f>
        <v>-2991660</v>
      </c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>
        <f>SUM(C38:U38)</f>
        <v>-2991660</v>
      </c>
      <c r="W38" s="144"/>
      <c r="X38" s="144"/>
      <c r="Y38" s="144"/>
      <c r="Z38" s="152"/>
      <c r="AA38" s="152"/>
      <c r="AB38" s="152"/>
      <c r="AC38" s="152"/>
      <c r="AD38" s="152"/>
      <c r="AE38" s="152"/>
      <c r="AF38" s="152"/>
      <c r="AG38" s="152"/>
      <c r="AH38" s="152"/>
      <c r="AI38" s="144"/>
    </row>
    <row r="39" spans="1:35">
      <c r="A39" s="140">
        <f t="shared" si="0"/>
        <v>32</v>
      </c>
      <c r="B39" s="144" t="s">
        <v>38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>
        <f>SUM(C39:U39)</f>
        <v>0</v>
      </c>
      <c r="W39" s="144"/>
      <c r="X39" s="144"/>
      <c r="Y39" s="144"/>
      <c r="Z39" s="152"/>
      <c r="AA39" s="152"/>
      <c r="AB39" s="152"/>
      <c r="AC39" s="152"/>
      <c r="AD39" s="152"/>
      <c r="AE39" s="152"/>
      <c r="AF39" s="152"/>
      <c r="AG39" s="152"/>
      <c r="AH39" s="152"/>
      <c r="AI39" s="144"/>
    </row>
    <row r="40" spans="1:35">
      <c r="A40" s="140">
        <f t="shared" si="0"/>
        <v>33</v>
      </c>
      <c r="B40" s="156" t="s">
        <v>251</v>
      </c>
      <c r="C40" s="157">
        <f t="shared" ref="C40:T40" si="11">SUM(C35:C39)</f>
        <v>0</v>
      </c>
      <c r="D40" s="157">
        <f t="shared" si="11"/>
        <v>0</v>
      </c>
      <c r="E40" s="157">
        <f t="shared" si="11"/>
        <v>0</v>
      </c>
      <c r="F40" s="157">
        <f t="shared" si="11"/>
        <v>0</v>
      </c>
      <c r="G40" s="157">
        <f t="shared" si="11"/>
        <v>0</v>
      </c>
      <c r="H40" s="157">
        <f t="shared" si="11"/>
        <v>0</v>
      </c>
      <c r="I40" s="157">
        <f t="shared" si="11"/>
        <v>-2991660</v>
      </c>
      <c r="J40" s="157">
        <f t="shared" si="11"/>
        <v>0</v>
      </c>
      <c r="K40" s="157">
        <f t="shared" si="11"/>
        <v>0</v>
      </c>
      <c r="L40" s="157">
        <f t="shared" si="11"/>
        <v>0</v>
      </c>
      <c r="M40" s="157">
        <f t="shared" si="11"/>
        <v>0</v>
      </c>
      <c r="N40" s="157">
        <f t="shared" si="11"/>
        <v>0</v>
      </c>
      <c r="O40" s="157">
        <f t="shared" si="11"/>
        <v>0</v>
      </c>
      <c r="P40" s="157">
        <f t="shared" si="11"/>
        <v>0</v>
      </c>
      <c r="Q40" s="157">
        <f t="shared" ref="Q40" si="12">SUM(Q35:Q39)</f>
        <v>0</v>
      </c>
      <c r="R40" s="157">
        <f t="shared" si="11"/>
        <v>0</v>
      </c>
      <c r="S40" s="157">
        <f t="shared" si="11"/>
        <v>0</v>
      </c>
      <c r="T40" s="157">
        <f t="shared" si="11"/>
        <v>0</v>
      </c>
      <c r="U40" s="157"/>
      <c r="V40" s="157">
        <f>SUM(C40:U40)</f>
        <v>-2991660</v>
      </c>
      <c r="W40" s="144"/>
      <c r="X40" s="152"/>
      <c r="Y40" s="144"/>
      <c r="Z40" s="152"/>
      <c r="AA40" s="152"/>
      <c r="AB40" s="152"/>
      <c r="AC40" s="152"/>
      <c r="AD40" s="152"/>
      <c r="AE40" s="152"/>
      <c r="AF40" s="152"/>
      <c r="AG40" s="152"/>
      <c r="AH40" s="152"/>
      <c r="AI40" s="144"/>
    </row>
    <row r="41" spans="1:35">
      <c r="A41" s="140">
        <f t="shared" si="0"/>
        <v>34</v>
      </c>
      <c r="B41" s="144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44"/>
      <c r="X41" s="144"/>
      <c r="Y41" s="144"/>
      <c r="Z41" s="152"/>
      <c r="AA41" s="152"/>
      <c r="AB41" s="152"/>
      <c r="AC41" s="152"/>
      <c r="AD41" s="152"/>
      <c r="AE41" s="152"/>
      <c r="AF41" s="152"/>
      <c r="AG41" s="152"/>
      <c r="AH41" s="152"/>
      <c r="AI41" s="144"/>
    </row>
    <row r="42" spans="1:35" ht="14.4" thickBot="1">
      <c r="A42" s="140">
        <f t="shared" si="0"/>
        <v>35</v>
      </c>
      <c r="B42" s="159" t="s">
        <v>39</v>
      </c>
      <c r="C42" s="160">
        <f t="shared" ref="C42:T42" si="13">+C33+C40</f>
        <v>-228043.33000000007</v>
      </c>
      <c r="D42" s="160">
        <f t="shared" si="13"/>
        <v>47117.220000000671</v>
      </c>
      <c r="E42" s="160">
        <f t="shared" si="13"/>
        <v>-510636.48369160038</v>
      </c>
      <c r="F42" s="160">
        <f t="shared" si="13"/>
        <v>47643.812299999947</v>
      </c>
      <c r="G42" s="160">
        <f t="shared" si="13"/>
        <v>-326888.64999999991</v>
      </c>
      <c r="H42" s="160">
        <f t="shared" si="13"/>
        <v>142656.66999999998</v>
      </c>
      <c r="I42" s="160">
        <f t="shared" si="13"/>
        <v>-2991660</v>
      </c>
      <c r="J42" s="160">
        <f t="shared" si="13"/>
        <v>191500.95</v>
      </c>
      <c r="K42" s="160">
        <f t="shared" si="13"/>
        <v>13188.619999999999</v>
      </c>
      <c r="L42" s="160">
        <f t="shared" si="13"/>
        <v>-41529.658656934393</v>
      </c>
      <c r="M42" s="160">
        <f t="shared" si="13"/>
        <v>35780.239999999998</v>
      </c>
      <c r="N42" s="160">
        <f t="shared" si="13"/>
        <v>-24457.541095838118</v>
      </c>
      <c r="O42" s="160">
        <f t="shared" si="13"/>
        <v>-48333.33</v>
      </c>
      <c r="P42" s="160">
        <f t="shared" si="13"/>
        <v>7503.2860445527976</v>
      </c>
      <c r="Q42" s="160">
        <f t="shared" ref="Q42" si="14">+Q33+Q40</f>
        <v>0</v>
      </c>
      <c r="R42" s="160">
        <f t="shared" si="13"/>
        <v>0</v>
      </c>
      <c r="S42" s="160">
        <f t="shared" si="13"/>
        <v>0</v>
      </c>
      <c r="T42" s="160">
        <f t="shared" si="13"/>
        <v>0</v>
      </c>
      <c r="U42" s="160"/>
      <c r="V42" s="160">
        <f>SUM(C42:U42)</f>
        <v>-3686158.1950998185</v>
      </c>
      <c r="W42" s="144"/>
      <c r="X42" s="152"/>
      <c r="Y42" s="144"/>
      <c r="Z42" s="152"/>
      <c r="AA42" s="152"/>
      <c r="AB42" s="152"/>
      <c r="AC42" s="152"/>
      <c r="AD42" s="152"/>
      <c r="AE42" s="152"/>
      <c r="AF42" s="152"/>
      <c r="AG42" s="152"/>
      <c r="AH42" s="152"/>
      <c r="AI42" s="144"/>
    </row>
    <row r="43" spans="1:35" ht="18" customHeight="1" thickTop="1">
      <c r="A43" s="140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</row>
    <row r="44" spans="1:35" ht="18" customHeight="1">
      <c r="A44" s="140"/>
      <c r="B44" s="144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44"/>
      <c r="X44" s="152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</row>
    <row r="45" spans="1:35" ht="18" customHeight="1">
      <c r="A45" s="140"/>
      <c r="B45" s="144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44"/>
      <c r="X45" s="152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</row>
    <row r="46" spans="1:35" ht="18" customHeight="1">
      <c r="A46" s="140"/>
      <c r="B46" s="144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44"/>
      <c r="X46" s="152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</row>
    <row r="47" spans="1:35" ht="18" customHeight="1">
      <c r="A47" s="140"/>
      <c r="B47" s="144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44"/>
      <c r="X47" s="152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</row>
    <row r="48" spans="1:35" ht="18" customHeight="1">
      <c r="A48" s="140"/>
      <c r="B48" s="14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</row>
    <row r="49" spans="1:35" ht="18" customHeight="1">
      <c r="A49" s="140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</row>
    <row r="50" spans="1:35" ht="18" customHeight="1">
      <c r="A50" s="140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</row>
    <row r="51" spans="1:35">
      <c r="A51" s="140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</row>
    <row r="52" spans="1:35">
      <c r="A52" s="140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</row>
    <row r="53" spans="1:35">
      <c r="A53" s="140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</row>
    <row r="54" spans="1:35">
      <c r="A54" s="140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</row>
    <row r="55" spans="1:35">
      <c r="A55" s="140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</row>
    <row r="56" spans="1:35">
      <c r="A56" s="140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</row>
    <row r="57" spans="1:35">
      <c r="A57" s="140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</row>
    <row r="58" spans="1:35">
      <c r="A58" s="140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</row>
    <row r="59" spans="1:35">
      <c r="A59" s="140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</row>
    <row r="60" spans="1:35">
      <c r="A60" s="140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</row>
    <row r="61" spans="1:35">
      <c r="A61" s="140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</row>
    <row r="62" spans="1:35">
      <c r="A62" s="140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</row>
    <row r="63" spans="1:35">
      <c r="A63" s="140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</row>
    <row r="64" spans="1:35">
      <c r="A64" s="140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</row>
    <row r="65" spans="1:35">
      <c r="A65" s="140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</row>
    <row r="66" spans="1:35">
      <c r="A66" s="140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</row>
    <row r="67" spans="1:35">
      <c r="A67" s="140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</row>
    <row r="68" spans="1:35">
      <c r="A68" s="140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</row>
    <row r="69" spans="1:35">
      <c r="A69" s="140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</row>
    <row r="70" spans="1:35">
      <c r="A70" s="140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</row>
    <row r="71" spans="1:35">
      <c r="A71" s="140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</row>
    <row r="72" spans="1:35">
      <c r="A72" s="140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</row>
    <row r="73" spans="1:35">
      <c r="A73" s="140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</row>
    <row r="74" spans="1:35">
      <c r="A74" s="140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</row>
    <row r="75" spans="1:35">
      <c r="A75" s="140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</row>
    <row r="76" spans="1:35">
      <c r="A76" s="140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</row>
    <row r="77" spans="1:35">
      <c r="A77" s="140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</row>
    <row r="78" spans="1:35">
      <c r="A78" s="140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</row>
    <row r="79" spans="1:35">
      <c r="A79" s="140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</row>
    <row r="80" spans="1:35">
      <c r="A80" s="140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</row>
    <row r="81" spans="1:35">
      <c r="A81" s="140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</row>
    <row r="82" spans="1:35">
      <c r="A82" s="140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</row>
    <row r="83" spans="1:35">
      <c r="A83" s="140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</row>
    <row r="84" spans="1:35">
      <c r="A84" s="140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</row>
    <row r="85" spans="1:35">
      <c r="A85" s="140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</row>
    <row r="86" spans="1:35">
      <c r="A86" s="140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</row>
    <row r="87" spans="1:35">
      <c r="A87" s="140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</row>
    <row r="88" spans="1:35">
      <c r="A88" s="140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</row>
    <row r="89" spans="1:35">
      <c r="A89" s="140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</row>
    <row r="90" spans="1:35">
      <c r="A90" s="140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</row>
    <row r="91" spans="1:35">
      <c r="A91" s="140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</row>
    <row r="92" spans="1:35">
      <c r="A92" s="140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</row>
    <row r="93" spans="1:35">
      <c r="A93" s="140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</row>
    <row r="94" spans="1:35">
      <c r="A94" s="140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</row>
    <row r="95" spans="1:35">
      <c r="A95" s="14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</row>
    <row r="96" spans="1:35">
      <c r="A96" s="140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</row>
    <row r="97" spans="1:35">
      <c r="A97" s="140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</row>
    <row r="98" spans="1:35">
      <c r="A98" s="140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</row>
    <row r="99" spans="1:35">
      <c r="A99" s="140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</row>
    <row r="100" spans="1:35">
      <c r="A100" s="140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</row>
    <row r="101" spans="1:35">
      <c r="A101" s="140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</row>
    <row r="102" spans="1:35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</row>
    <row r="103" spans="1:35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</row>
    <row r="104" spans="1:35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</row>
    <row r="105" spans="1:35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</row>
    <row r="106" spans="1:35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</row>
    <row r="107" spans="1:35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</row>
    <row r="108" spans="1:35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</row>
    <row r="109" spans="1:35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</row>
    <row r="110" spans="1:35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</row>
    <row r="111" spans="1:35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</row>
    <row r="112" spans="1:35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</row>
    <row r="113" spans="2:29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</row>
    <row r="114" spans="2:29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</row>
    <row r="115" spans="2:29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</row>
    <row r="116" spans="2:29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</row>
    <row r="117" spans="2:29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</row>
    <row r="118" spans="2:29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</row>
    <row r="119" spans="2:29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</row>
    <row r="120" spans="2:29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</row>
    <row r="121" spans="2:29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</row>
    <row r="122" spans="2:29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</row>
    <row r="123" spans="2:29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</row>
    <row r="124" spans="2:29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</row>
    <row r="125" spans="2:29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</row>
    <row r="126" spans="2:29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</row>
    <row r="127" spans="2:29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</row>
    <row r="128" spans="2:29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</row>
    <row r="129" spans="2:29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</row>
    <row r="130" spans="2:29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</row>
    <row r="131" spans="2:29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</row>
    <row r="132" spans="2:29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</row>
    <row r="133" spans="2:29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</row>
    <row r="134" spans="2:29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</row>
    <row r="135" spans="2:29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</row>
    <row r="136" spans="2:29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</row>
    <row r="137" spans="2:29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</row>
    <row r="138" spans="2:29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</row>
    <row r="139" spans="2:29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</row>
    <row r="140" spans="2:29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</row>
    <row r="141" spans="2:29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</row>
    <row r="142" spans="2:29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</row>
    <row r="143" spans="2:29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</row>
    <row r="144" spans="2:29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</row>
    <row r="145" spans="2:29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</row>
    <row r="146" spans="2:29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</row>
    <row r="147" spans="2:29">
      <c r="W147" s="144"/>
      <c r="X147" s="144"/>
      <c r="Y147" s="144"/>
      <c r="Z147" s="144"/>
      <c r="AA147" s="144"/>
      <c r="AB147" s="144"/>
      <c r="AC147" s="144"/>
    </row>
    <row r="148" spans="2:29">
      <c r="W148" s="144"/>
      <c r="X148" s="144"/>
      <c r="Y148" s="144"/>
      <c r="Z148" s="144"/>
      <c r="AA148" s="144"/>
      <c r="AB148" s="144"/>
      <c r="AC148" s="144"/>
    </row>
    <row r="149" spans="2:29">
      <c r="W149" s="144"/>
      <c r="X149" s="144"/>
      <c r="Y149" s="144"/>
      <c r="Z149" s="144"/>
      <c r="AA149" s="144"/>
      <c r="AB149" s="144"/>
      <c r="AC149" s="144"/>
    </row>
    <row r="150" spans="2:29">
      <c r="W150" s="144"/>
      <c r="X150" s="144"/>
      <c r="Y150" s="144"/>
      <c r="Z150" s="144"/>
      <c r="AA150" s="144"/>
      <c r="AB150" s="144"/>
      <c r="AC150" s="144"/>
    </row>
    <row r="151" spans="2:29">
      <c r="W151" s="144"/>
      <c r="X151" s="144"/>
      <c r="Y151" s="144"/>
      <c r="Z151" s="144"/>
      <c r="AA151" s="144"/>
      <c r="AB151" s="144"/>
      <c r="AC151" s="144"/>
    </row>
  </sheetData>
  <conditionalFormatting sqref="C48:V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X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X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X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X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X44:X47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scale="52" orientation="landscape" r:id="rId1"/>
  <headerFooter>
    <oddFooter>&amp;RExhibit  JW-2
Page &amp;P of &amp;N</oddFoot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O34"/>
  <sheetViews>
    <sheetView view="pageBreakPreview" zoomScale="60" zoomScaleNormal="100" workbookViewId="0">
      <selection activeCell="H2" sqref="H2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3" style="2" customWidth="1"/>
    <col min="6" max="6" width="15.33203125" style="2" customWidth="1"/>
    <col min="7" max="7" width="3.33203125" style="2" customWidth="1"/>
    <col min="8" max="8" width="15.6640625" style="2" customWidth="1"/>
    <col min="9" max="9" width="9.109375" style="2"/>
    <col min="10" max="10" width="11.21875" style="2" bestFit="1" customWidth="1"/>
    <col min="11" max="16384" width="9.109375" style="2"/>
  </cols>
  <sheetData>
    <row r="1" spans="1:15">
      <c r="G1" s="20"/>
      <c r="H1" s="20" t="s">
        <v>101</v>
      </c>
    </row>
    <row r="2" spans="1:15">
      <c r="G2" s="20"/>
      <c r="H2" s="284" t="s">
        <v>455</v>
      </c>
    </row>
    <row r="3" spans="1:15">
      <c r="G3" s="20"/>
      <c r="H3" s="20"/>
    </row>
    <row r="4" spans="1:15">
      <c r="A4" s="305" t="str">
        <f>RevReq!A1</f>
        <v>FLEMING-MASON ENERGY COOPERATIVE</v>
      </c>
      <c r="B4" s="305"/>
      <c r="C4" s="305"/>
      <c r="D4" s="305"/>
      <c r="E4" s="305"/>
      <c r="F4" s="305"/>
      <c r="G4" s="305"/>
      <c r="H4" s="305"/>
      <c r="J4" s="64"/>
      <c r="K4" s="64"/>
      <c r="L4" s="64"/>
      <c r="M4" s="64"/>
      <c r="N4" s="64"/>
      <c r="O4" s="64"/>
    </row>
    <row r="5" spans="1:15">
      <c r="A5" s="305" t="str">
        <f>RevReq!A3</f>
        <v>For the 12 Months Ended December 31, 2022</v>
      </c>
      <c r="B5" s="305"/>
      <c r="C5" s="305"/>
      <c r="D5" s="305"/>
      <c r="E5" s="305"/>
      <c r="F5" s="305"/>
      <c r="G5" s="305"/>
      <c r="H5" s="305"/>
    </row>
    <row r="7" spans="1:15" s="21" customFormat="1">
      <c r="A7" s="306" t="s">
        <v>102</v>
      </c>
      <c r="B7" s="306"/>
      <c r="C7" s="306"/>
      <c r="D7" s="306"/>
      <c r="E7" s="306"/>
      <c r="F7" s="306"/>
      <c r="G7" s="306"/>
      <c r="H7" s="306"/>
    </row>
    <row r="9" spans="1:15">
      <c r="A9" s="4" t="s">
        <v>5</v>
      </c>
      <c r="C9" s="4" t="s">
        <v>103</v>
      </c>
      <c r="D9" s="4" t="s">
        <v>104</v>
      </c>
      <c r="E9" s="4"/>
      <c r="F9" s="4" t="s">
        <v>105</v>
      </c>
      <c r="G9" s="4"/>
      <c r="H9" s="4" t="s">
        <v>106</v>
      </c>
    </row>
    <row r="10" spans="1:15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/>
      <c r="H10" s="65" t="s">
        <v>11</v>
      </c>
    </row>
    <row r="11" spans="1:15">
      <c r="A11" s="4"/>
    </row>
    <row r="12" spans="1:15">
      <c r="A12" s="4">
        <v>0</v>
      </c>
      <c r="C12" s="282">
        <v>2022</v>
      </c>
      <c r="D12" s="281" t="s">
        <v>454</v>
      </c>
      <c r="E12" s="281"/>
      <c r="F12" s="279">
        <f>-98232.67*1</f>
        <v>-98232.67</v>
      </c>
    </row>
    <row r="13" spans="1:15">
      <c r="A13" s="4">
        <v>1</v>
      </c>
      <c r="C13" s="4">
        <v>2022</v>
      </c>
      <c r="D13" s="4" t="s">
        <v>71</v>
      </c>
      <c r="E13" s="25"/>
      <c r="F13" s="25">
        <v>1425049.82</v>
      </c>
      <c r="G13" s="25"/>
      <c r="H13" s="25">
        <v>742838</v>
      </c>
    </row>
    <row r="14" spans="1:15">
      <c r="A14" s="4">
        <v>2</v>
      </c>
      <c r="C14" s="4">
        <f>C13</f>
        <v>2022</v>
      </c>
      <c r="D14" s="4" t="s">
        <v>72</v>
      </c>
      <c r="E14" s="25"/>
      <c r="F14" s="25">
        <v>648810.93000000005</v>
      </c>
      <c r="G14" s="25"/>
      <c r="H14" s="25">
        <v>792700</v>
      </c>
    </row>
    <row r="15" spans="1:15">
      <c r="A15" s="4">
        <v>3</v>
      </c>
      <c r="C15" s="4">
        <f t="shared" ref="C15:C24" si="0">C14</f>
        <v>2022</v>
      </c>
      <c r="D15" s="4" t="s">
        <v>73</v>
      </c>
      <c r="E15" s="25"/>
      <c r="F15" s="25">
        <v>521693.99000000005</v>
      </c>
      <c r="G15" s="25"/>
      <c r="H15" s="25">
        <v>748710</v>
      </c>
    </row>
    <row r="16" spans="1:15">
      <c r="A16" s="4">
        <v>4</v>
      </c>
      <c r="C16" s="4">
        <f t="shared" si="0"/>
        <v>2022</v>
      </c>
      <c r="D16" s="4" t="s">
        <v>74</v>
      </c>
      <c r="E16" s="25"/>
      <c r="F16" s="25">
        <v>638943.94000000006</v>
      </c>
      <c r="G16" s="25"/>
      <c r="H16" s="25">
        <v>468518</v>
      </c>
    </row>
    <row r="17" spans="1:8">
      <c r="A17" s="4">
        <v>5</v>
      </c>
      <c r="C17" s="4">
        <f t="shared" si="0"/>
        <v>2022</v>
      </c>
      <c r="D17" s="4" t="s">
        <v>75</v>
      </c>
      <c r="E17" s="25"/>
      <c r="F17" s="25">
        <v>504819.84000000008</v>
      </c>
      <c r="G17" s="25"/>
      <c r="H17" s="25">
        <v>451661</v>
      </c>
    </row>
    <row r="18" spans="1:8">
      <c r="A18" s="4">
        <v>6</v>
      </c>
      <c r="C18" s="4">
        <f t="shared" si="0"/>
        <v>2022</v>
      </c>
      <c r="D18" s="4" t="s">
        <v>76</v>
      </c>
      <c r="E18" s="25"/>
      <c r="F18" s="25">
        <v>602136.83000000007</v>
      </c>
      <c r="G18" s="25"/>
      <c r="H18" s="25">
        <v>607998</v>
      </c>
    </row>
    <row r="19" spans="1:8">
      <c r="A19" s="4">
        <v>7</v>
      </c>
      <c r="C19" s="4">
        <f t="shared" si="0"/>
        <v>2022</v>
      </c>
      <c r="D19" s="4" t="s">
        <v>77</v>
      </c>
      <c r="E19" s="25"/>
      <c r="F19" s="25">
        <v>890084.70000000007</v>
      </c>
      <c r="G19" s="25"/>
      <c r="H19" s="25">
        <v>1199026</v>
      </c>
    </row>
    <row r="20" spans="1:8">
      <c r="A20" s="4">
        <v>8</v>
      </c>
      <c r="C20" s="4">
        <f t="shared" si="0"/>
        <v>2022</v>
      </c>
      <c r="D20" s="4" t="s">
        <v>78</v>
      </c>
      <c r="E20" s="25"/>
      <c r="F20" s="25">
        <v>1128608.5399999998</v>
      </c>
      <c r="G20" s="25"/>
      <c r="H20" s="25">
        <v>1090144</v>
      </c>
    </row>
    <row r="21" spans="1:8">
      <c r="A21" s="4">
        <v>9</v>
      </c>
      <c r="C21" s="4">
        <f t="shared" si="0"/>
        <v>2022</v>
      </c>
      <c r="D21" s="4" t="s">
        <v>79</v>
      </c>
      <c r="E21" s="25"/>
      <c r="F21" s="25">
        <v>988718.11</v>
      </c>
      <c r="G21" s="25"/>
      <c r="H21" s="25">
        <v>1211465</v>
      </c>
    </row>
    <row r="22" spans="1:8">
      <c r="A22" s="4">
        <v>10</v>
      </c>
      <c r="C22" s="4">
        <f t="shared" si="0"/>
        <v>2022</v>
      </c>
      <c r="D22" s="4" t="s">
        <v>80</v>
      </c>
      <c r="E22" s="25"/>
      <c r="F22" s="25">
        <v>1320760.83</v>
      </c>
      <c r="G22" s="25"/>
      <c r="H22" s="25">
        <v>1387520</v>
      </c>
    </row>
    <row r="23" spans="1:8">
      <c r="A23" s="4">
        <v>11</v>
      </c>
      <c r="C23" s="4">
        <f t="shared" si="0"/>
        <v>2022</v>
      </c>
      <c r="D23" s="4" t="s">
        <v>81</v>
      </c>
      <c r="E23" s="25"/>
      <c r="F23" s="25">
        <v>1544012.9700000002</v>
      </c>
      <c r="G23" s="25"/>
      <c r="H23" s="25">
        <v>1114781</v>
      </c>
    </row>
    <row r="24" spans="1:8">
      <c r="A24" s="4">
        <v>12</v>
      </c>
      <c r="C24" s="4">
        <f t="shared" si="0"/>
        <v>2022</v>
      </c>
      <c r="D24" s="4" t="s">
        <v>82</v>
      </c>
      <c r="E24" s="25"/>
      <c r="F24" s="25">
        <v>1274908.4999999998</v>
      </c>
      <c r="G24" s="25"/>
      <c r="H24" s="25">
        <v>1346912</v>
      </c>
    </row>
    <row r="25" spans="1:8">
      <c r="A25" s="4">
        <v>13</v>
      </c>
      <c r="C25" s="8"/>
      <c r="D25" s="66" t="s">
        <v>107</v>
      </c>
      <c r="E25" s="67"/>
      <c r="F25" s="67">
        <f>SUM(F12:F24)</f>
        <v>11390316.330000002</v>
      </c>
      <c r="G25" s="67"/>
      <c r="H25" s="67">
        <f t="shared" ref="H25" si="1">SUM(H12:H24)</f>
        <v>11162273</v>
      </c>
    </row>
    <row r="26" spans="1:8">
      <c r="A26" s="4">
        <v>14</v>
      </c>
      <c r="E26" s="68"/>
      <c r="F26" s="68"/>
      <c r="G26" s="68"/>
    </row>
    <row r="27" spans="1:8">
      <c r="A27" s="4">
        <v>15</v>
      </c>
      <c r="C27" s="2" t="s">
        <v>108</v>
      </c>
      <c r="E27" s="68"/>
      <c r="F27" s="69">
        <f>F25</f>
        <v>11390316.330000002</v>
      </c>
      <c r="G27" s="69"/>
      <c r="H27" s="69">
        <f>H25</f>
        <v>11162273</v>
      </c>
    </row>
    <row r="28" spans="1:8">
      <c r="A28" s="4">
        <v>16</v>
      </c>
      <c r="E28" s="68"/>
      <c r="F28" s="68"/>
      <c r="G28" s="68"/>
    </row>
    <row r="29" spans="1:8">
      <c r="A29" s="4">
        <v>17</v>
      </c>
      <c r="C29" s="2" t="s">
        <v>109</v>
      </c>
      <c r="E29" s="25"/>
      <c r="F29" s="25">
        <v>0</v>
      </c>
      <c r="G29" s="25"/>
      <c r="H29" s="25">
        <v>0</v>
      </c>
    </row>
    <row r="30" spans="1:8">
      <c r="A30" s="4">
        <v>18</v>
      </c>
    </row>
    <row r="31" spans="1:8" ht="13.8" thickBot="1">
      <c r="A31" s="4">
        <v>19</v>
      </c>
      <c r="C31" s="13" t="s">
        <v>8</v>
      </c>
      <c r="D31" s="13"/>
      <c r="E31" s="70"/>
      <c r="F31" s="71">
        <f>ROUND(F29-F27,2)</f>
        <v>-11390316.33</v>
      </c>
      <c r="G31" s="70"/>
      <c r="H31" s="71">
        <f>ROUND(H29-H27,2)</f>
        <v>-11162273</v>
      </c>
    </row>
    <row r="32" spans="1:8" ht="13.8" thickTop="1"/>
    <row r="34" spans="3:8" ht="32.4" customHeight="1">
      <c r="C34" s="307" t="s">
        <v>110</v>
      </c>
      <c r="D34" s="307"/>
      <c r="E34" s="307"/>
      <c r="F34" s="307"/>
      <c r="G34" s="307"/>
      <c r="H34" s="307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L34"/>
  <sheetViews>
    <sheetView view="pageBreakPreview" zoomScale="60" zoomScaleNormal="100" workbookViewId="0">
      <selection activeCell="H2" sqref="H2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3.44140625" style="2" customWidth="1"/>
    <col min="6" max="6" width="15.33203125" style="2" customWidth="1"/>
    <col min="7" max="7" width="3.33203125" style="2" customWidth="1"/>
    <col min="8" max="8" width="14.44140625" style="2" customWidth="1"/>
    <col min="9" max="9" width="12" style="2" bestFit="1" customWidth="1"/>
    <col min="10" max="10" width="9.109375" style="2"/>
    <col min="11" max="11" width="10.109375" style="2" bestFit="1" customWidth="1"/>
    <col min="12" max="16384" width="9.109375" style="2"/>
  </cols>
  <sheetData>
    <row r="1" spans="1:12">
      <c r="G1" s="20"/>
      <c r="H1" s="20" t="s">
        <v>111</v>
      </c>
    </row>
    <row r="2" spans="1:12">
      <c r="G2" s="20"/>
      <c r="H2" s="284" t="s">
        <v>455</v>
      </c>
    </row>
    <row r="3" spans="1:12">
      <c r="G3" s="20"/>
      <c r="H3" s="20"/>
    </row>
    <row r="4" spans="1:12">
      <c r="A4" s="305" t="str">
        <f>RevReq!A1</f>
        <v>FLEMING-MASON ENERGY COOPERATIVE</v>
      </c>
      <c r="B4" s="305"/>
      <c r="C4" s="305"/>
      <c r="D4" s="305"/>
      <c r="E4" s="305"/>
      <c r="F4" s="305"/>
      <c r="G4" s="305"/>
      <c r="H4" s="305"/>
    </row>
    <row r="5" spans="1:12">
      <c r="A5" s="305" t="str">
        <f>RevReq!A3</f>
        <v>For the 12 Months Ended December 31, 2022</v>
      </c>
      <c r="B5" s="305"/>
      <c r="C5" s="305"/>
      <c r="D5" s="305"/>
      <c r="E5" s="305"/>
      <c r="F5" s="305"/>
      <c r="G5" s="305"/>
      <c r="H5" s="305"/>
    </row>
    <row r="7" spans="1:12" s="21" customFormat="1">
      <c r="A7" s="306" t="s">
        <v>112</v>
      </c>
      <c r="B7" s="306"/>
      <c r="C7" s="306"/>
      <c r="D7" s="306"/>
      <c r="E7" s="306"/>
      <c r="F7" s="306"/>
      <c r="G7" s="306"/>
      <c r="H7" s="306"/>
    </row>
    <row r="9" spans="1:12">
      <c r="A9" s="4" t="s">
        <v>5</v>
      </c>
      <c r="C9" s="4" t="s">
        <v>103</v>
      </c>
      <c r="D9" s="4" t="s">
        <v>104</v>
      </c>
      <c r="E9" s="4"/>
      <c r="F9" s="4" t="s">
        <v>105</v>
      </c>
      <c r="G9" s="4"/>
      <c r="H9" s="4" t="s">
        <v>106</v>
      </c>
    </row>
    <row r="10" spans="1:12">
      <c r="A10" s="23" t="s">
        <v>10</v>
      </c>
      <c r="C10" s="65" t="s">
        <v>63</v>
      </c>
      <c r="D10" s="65" t="s">
        <v>64</v>
      </c>
      <c r="E10" s="4"/>
      <c r="F10" s="65" t="s">
        <v>65</v>
      </c>
      <c r="G10" s="65"/>
      <c r="H10" s="65" t="s">
        <v>11</v>
      </c>
    </row>
    <row r="11" spans="1:12">
      <c r="A11" s="4"/>
    </row>
    <row r="12" spans="1:12">
      <c r="A12" s="4">
        <v>0</v>
      </c>
      <c r="C12" s="282">
        <v>2022</v>
      </c>
      <c r="D12" s="281" t="s">
        <v>454</v>
      </c>
      <c r="E12" s="281"/>
      <c r="F12" s="279">
        <f>1347119*1</f>
        <v>1347119</v>
      </c>
    </row>
    <row r="13" spans="1:12">
      <c r="A13" s="4">
        <v>1</v>
      </c>
      <c r="C13" s="4">
        <v>2022</v>
      </c>
      <c r="D13" s="4" t="s">
        <v>71</v>
      </c>
      <c r="E13" s="25"/>
      <c r="F13" s="25">
        <v>774773.13000000012</v>
      </c>
      <c r="G13" s="25"/>
      <c r="H13" s="25">
        <v>872070</v>
      </c>
      <c r="L13" s="15"/>
    </row>
    <row r="14" spans="1:12">
      <c r="A14" s="4">
        <v>2</v>
      </c>
      <c r="C14" s="4">
        <f>C13</f>
        <v>2022</v>
      </c>
      <c r="D14" s="4" t="s">
        <v>72</v>
      </c>
      <c r="E14" s="25"/>
      <c r="F14" s="25">
        <v>154636.98000000004</v>
      </c>
      <c r="G14" s="25"/>
      <c r="H14" s="25">
        <v>737328</v>
      </c>
      <c r="L14" s="15"/>
    </row>
    <row r="15" spans="1:12">
      <c r="A15" s="4">
        <v>3</v>
      </c>
      <c r="C15" s="4">
        <f t="shared" ref="C15:C24" si="0">C14</f>
        <v>2022</v>
      </c>
      <c r="D15" s="4" t="s">
        <v>73</v>
      </c>
      <c r="E15" s="25"/>
      <c r="F15" s="25">
        <v>475832.83</v>
      </c>
      <c r="G15" s="25"/>
      <c r="H15" s="25">
        <v>551074</v>
      </c>
      <c r="L15" s="15"/>
    </row>
    <row r="16" spans="1:12">
      <c r="A16" s="4">
        <v>4</v>
      </c>
      <c r="C16" s="4">
        <f t="shared" si="0"/>
        <v>2022</v>
      </c>
      <c r="D16" s="4" t="s">
        <v>74</v>
      </c>
      <c r="E16" s="25"/>
      <c r="F16" s="25">
        <v>427365.47</v>
      </c>
      <c r="G16" s="25"/>
      <c r="H16" s="25">
        <v>670819</v>
      </c>
      <c r="L16" s="15"/>
    </row>
    <row r="17" spans="1:12">
      <c r="A17" s="4">
        <v>5</v>
      </c>
      <c r="C17" s="4">
        <f t="shared" si="0"/>
        <v>2022</v>
      </c>
      <c r="D17" s="4" t="s">
        <v>75</v>
      </c>
      <c r="E17" s="25"/>
      <c r="F17" s="25">
        <v>751171.4299999997</v>
      </c>
      <c r="G17" s="25"/>
      <c r="H17" s="25">
        <v>722756</v>
      </c>
      <c r="L17" s="15"/>
    </row>
    <row r="18" spans="1:12">
      <c r="A18" s="4">
        <v>6</v>
      </c>
      <c r="C18" s="4">
        <f t="shared" si="0"/>
        <v>2022</v>
      </c>
      <c r="D18" s="4" t="s">
        <v>76</v>
      </c>
      <c r="E18" s="25"/>
      <c r="F18" s="25">
        <v>852239.49999999988</v>
      </c>
      <c r="G18" s="25"/>
      <c r="H18" s="25">
        <v>904394</v>
      </c>
      <c r="L18" s="15"/>
    </row>
    <row r="19" spans="1:12">
      <c r="A19" s="4">
        <v>7</v>
      </c>
      <c r="C19" s="4">
        <f t="shared" si="0"/>
        <v>2022</v>
      </c>
      <c r="D19" s="4" t="s">
        <v>77</v>
      </c>
      <c r="E19" s="25"/>
      <c r="F19" s="25">
        <v>1036717.21</v>
      </c>
      <c r="G19" s="25"/>
      <c r="H19" s="25">
        <v>1035657</v>
      </c>
      <c r="L19" s="15"/>
    </row>
    <row r="20" spans="1:12">
      <c r="A20" s="4">
        <v>8</v>
      </c>
      <c r="C20" s="4">
        <f t="shared" si="0"/>
        <v>2022</v>
      </c>
      <c r="D20" s="4" t="s">
        <v>78</v>
      </c>
      <c r="E20" s="25"/>
      <c r="F20" s="25">
        <v>893333.04999999993</v>
      </c>
      <c r="G20" s="25"/>
      <c r="H20" s="25">
        <v>832692</v>
      </c>
      <c r="L20" s="15"/>
    </row>
    <row r="21" spans="1:12">
      <c r="A21" s="4">
        <v>9</v>
      </c>
      <c r="C21" s="4">
        <f t="shared" si="0"/>
        <v>2022</v>
      </c>
      <c r="D21" s="4" t="s">
        <v>79</v>
      </c>
      <c r="E21" s="25"/>
      <c r="F21" s="25">
        <v>493087.08999999997</v>
      </c>
      <c r="G21" s="25"/>
      <c r="H21" s="25">
        <v>617442</v>
      </c>
      <c r="L21" s="15"/>
    </row>
    <row r="22" spans="1:12">
      <c r="A22" s="4">
        <v>10</v>
      </c>
      <c r="C22" s="4">
        <f t="shared" si="0"/>
        <v>2022</v>
      </c>
      <c r="D22" s="4" t="s">
        <v>80</v>
      </c>
      <c r="E22" s="25"/>
      <c r="F22" s="25">
        <v>524452.70000000007</v>
      </c>
      <c r="G22" s="25"/>
      <c r="H22" s="25">
        <v>744351</v>
      </c>
      <c r="L22" s="15"/>
    </row>
    <row r="23" spans="1:12">
      <c r="A23" s="4">
        <v>11</v>
      </c>
      <c r="C23" s="4">
        <f t="shared" si="0"/>
        <v>2022</v>
      </c>
      <c r="D23" s="4" t="s">
        <v>81</v>
      </c>
      <c r="E23" s="25"/>
      <c r="F23" s="25">
        <v>882167.83000000007</v>
      </c>
      <c r="G23" s="25"/>
      <c r="H23" s="25">
        <v>847825</v>
      </c>
      <c r="L23" s="15"/>
    </row>
    <row r="24" spans="1:12">
      <c r="A24" s="4">
        <v>12</v>
      </c>
      <c r="C24" s="4">
        <f t="shared" si="0"/>
        <v>2022</v>
      </c>
      <c r="D24" s="4" t="s">
        <v>82</v>
      </c>
      <c r="E24" s="25"/>
      <c r="F24" s="25">
        <v>953079.56</v>
      </c>
      <c r="G24" s="25"/>
      <c r="H24" s="25">
        <v>1076685</v>
      </c>
      <c r="L24" s="15"/>
    </row>
    <row r="25" spans="1:12">
      <c r="A25" s="4">
        <v>13</v>
      </c>
      <c r="C25" s="8"/>
      <c r="D25" s="66" t="s">
        <v>107</v>
      </c>
      <c r="E25" s="67"/>
      <c r="F25" s="67">
        <f>SUM(F12:F24)</f>
        <v>9565975.7799999993</v>
      </c>
      <c r="G25" s="67"/>
      <c r="H25" s="67">
        <f t="shared" ref="H25" si="1">SUM(H12:H24)</f>
        <v>9613093</v>
      </c>
    </row>
    <row r="26" spans="1:12">
      <c r="A26" s="4">
        <v>14</v>
      </c>
      <c r="E26" s="68"/>
      <c r="F26" s="68"/>
      <c r="G26" s="68"/>
    </row>
    <row r="27" spans="1:12">
      <c r="A27" s="4">
        <v>15</v>
      </c>
      <c r="C27" s="2" t="s">
        <v>108</v>
      </c>
      <c r="E27" s="68"/>
      <c r="F27" s="69">
        <f>F25</f>
        <v>9565975.7799999993</v>
      </c>
      <c r="G27" s="69"/>
      <c r="H27" s="69">
        <f>H25</f>
        <v>9613093</v>
      </c>
    </row>
    <row r="28" spans="1:12">
      <c r="A28" s="4">
        <v>16</v>
      </c>
      <c r="E28" s="68"/>
      <c r="F28" s="69"/>
      <c r="G28" s="69"/>
    </row>
    <row r="29" spans="1:12">
      <c r="A29" s="4">
        <v>17</v>
      </c>
      <c r="C29" s="2" t="s">
        <v>109</v>
      </c>
      <c r="E29" s="25"/>
      <c r="F29" s="25">
        <v>0</v>
      </c>
      <c r="G29" s="25"/>
      <c r="H29" s="25">
        <v>0</v>
      </c>
    </row>
    <row r="30" spans="1:12">
      <c r="A30" s="4">
        <v>18</v>
      </c>
    </row>
    <row r="31" spans="1:12" ht="13.8" thickBot="1">
      <c r="A31" s="4">
        <v>19</v>
      </c>
      <c r="C31" s="13" t="s">
        <v>8</v>
      </c>
      <c r="D31" s="13"/>
      <c r="E31" s="70"/>
      <c r="F31" s="71">
        <f>ROUND(F29-F27,2)</f>
        <v>-9565975.7799999993</v>
      </c>
      <c r="G31" s="70"/>
      <c r="H31" s="71">
        <f>ROUND(H29-H27,2)</f>
        <v>-9613093</v>
      </c>
    </row>
    <row r="32" spans="1:12" ht="13.8" thickTop="1"/>
    <row r="34" spans="3:8" ht="25.2" customHeight="1">
      <c r="C34" s="307" t="s">
        <v>113</v>
      </c>
      <c r="D34" s="307"/>
      <c r="E34" s="307"/>
      <c r="F34" s="307"/>
      <c r="G34" s="307"/>
      <c r="H34" s="307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7"/>
  <sheetViews>
    <sheetView view="pageBreakPreview" zoomScale="110" zoomScaleNormal="75" zoomScaleSheetLayoutView="110" workbookViewId="0">
      <selection activeCell="B64" sqref="B64"/>
    </sheetView>
  </sheetViews>
  <sheetFormatPr defaultColWidth="9.109375" defaultRowHeight="13.2"/>
  <cols>
    <col min="1" max="1" width="4" style="2" customWidth="1"/>
    <col min="2" max="2" width="23.6640625" style="2" bestFit="1" customWidth="1"/>
    <col min="3" max="3" width="20.6640625" style="2" customWidth="1"/>
    <col min="4" max="4" width="12.33203125" style="2" customWidth="1"/>
    <col min="5" max="5" width="11.5546875" style="4" customWidth="1"/>
    <col min="6" max="6" width="16.6640625" style="2" customWidth="1"/>
    <col min="7" max="12" width="18.109375" style="2" customWidth="1"/>
    <col min="13" max="13" width="10.5546875" style="2" bestFit="1" customWidth="1"/>
    <col min="14" max="16384" width="9.109375" style="2"/>
  </cols>
  <sheetData>
    <row r="1" spans="1:15" ht="15" customHeight="1">
      <c r="E1" s="214"/>
      <c r="F1" s="20" t="s">
        <v>123</v>
      </c>
      <c r="G1" s="20"/>
    </row>
    <row r="2" spans="1:15" ht="20.25" customHeight="1">
      <c r="F2" s="215"/>
      <c r="G2" s="20"/>
      <c r="H2" s="20"/>
    </row>
    <row r="3" spans="1:15">
      <c r="G3" s="20"/>
      <c r="H3" s="20"/>
    </row>
    <row r="4" spans="1:15">
      <c r="B4" s="305" t="s">
        <v>310</v>
      </c>
      <c r="C4" s="305"/>
      <c r="D4" s="305"/>
      <c r="E4" s="305"/>
      <c r="F4" s="305"/>
      <c r="G4" s="64"/>
      <c r="H4" s="64"/>
      <c r="I4" s="64"/>
      <c r="J4" s="64"/>
      <c r="K4" s="64"/>
      <c r="L4" s="64"/>
      <c r="M4" s="64"/>
      <c r="N4" s="64"/>
      <c r="O4" s="64"/>
    </row>
    <row r="5" spans="1:15">
      <c r="B5" s="305" t="s">
        <v>311</v>
      </c>
      <c r="C5" s="305"/>
      <c r="D5" s="305"/>
      <c r="E5" s="305"/>
      <c r="F5" s="305"/>
      <c r="G5" s="64"/>
      <c r="H5" s="64"/>
      <c r="I5" s="64"/>
      <c r="J5" s="64"/>
      <c r="K5" s="64"/>
      <c r="L5" s="64"/>
    </row>
    <row r="7" spans="1:15" s="21" customFormat="1" ht="15" customHeight="1">
      <c r="B7" s="306" t="s">
        <v>114</v>
      </c>
      <c r="C7" s="306"/>
      <c r="D7" s="306"/>
      <c r="E7" s="306"/>
      <c r="F7" s="306"/>
      <c r="G7" s="29"/>
      <c r="H7" s="29"/>
      <c r="I7" s="29"/>
      <c r="J7" s="29"/>
      <c r="K7" s="29"/>
      <c r="L7" s="29"/>
    </row>
    <row r="9" spans="1:15" ht="28.95" customHeight="1">
      <c r="A9" s="222" t="s">
        <v>10</v>
      </c>
      <c r="B9" s="227" t="s">
        <v>115</v>
      </c>
      <c r="C9" s="228" t="s">
        <v>312</v>
      </c>
      <c r="D9" s="229" t="s">
        <v>116</v>
      </c>
      <c r="E9" s="230" t="s">
        <v>117</v>
      </c>
      <c r="F9" s="231" t="s">
        <v>118</v>
      </c>
    </row>
    <row r="10" spans="1:15" ht="14.4">
      <c r="A10" s="90">
        <v>1</v>
      </c>
      <c r="B10" s="137" t="s">
        <v>313</v>
      </c>
      <c r="C10" s="232">
        <v>995783.9</v>
      </c>
      <c r="D10" s="233" t="s">
        <v>314</v>
      </c>
      <c r="E10" s="234">
        <v>4.3499999999999997E-2</v>
      </c>
      <c r="F10" s="235">
        <f>ROUND(C10*E10,20)</f>
        <v>43316.599649999996</v>
      </c>
      <c r="G10" s="236"/>
      <c r="H10" s="236"/>
      <c r="I10" s="236"/>
      <c r="J10" s="236"/>
      <c r="K10" s="236"/>
      <c r="L10" s="236"/>
    </row>
    <row r="11" spans="1:15" ht="14.4">
      <c r="A11" s="90">
        <f>A10+1</f>
        <v>2</v>
      </c>
      <c r="B11" s="137" t="s">
        <v>315</v>
      </c>
      <c r="C11" s="232">
        <v>536191.49</v>
      </c>
      <c r="D11" s="233" t="s">
        <v>314</v>
      </c>
      <c r="E11" s="234">
        <v>4.3499999999999997E-2</v>
      </c>
      <c r="F11" s="235">
        <f t="shared" ref="F11:F45" si="0">ROUND(C11*E11,20)</f>
        <v>23324.329815000001</v>
      </c>
      <c r="G11" s="237"/>
      <c r="H11" s="237"/>
      <c r="I11" s="237"/>
      <c r="J11" s="237"/>
      <c r="K11" s="237"/>
      <c r="L11" s="237"/>
    </row>
    <row r="12" spans="1:15" ht="14.4">
      <c r="A12" s="90">
        <f t="shared" ref="A12:A61" si="1">A11+1</f>
        <v>3</v>
      </c>
      <c r="B12" s="137" t="s">
        <v>316</v>
      </c>
      <c r="C12" s="232">
        <v>574490.71</v>
      </c>
      <c r="D12" s="233" t="s">
        <v>314</v>
      </c>
      <c r="E12" s="234">
        <v>4.3499999999999997E-2</v>
      </c>
      <c r="F12" s="235">
        <f t="shared" si="0"/>
        <v>24990.345884999999</v>
      </c>
      <c r="G12" s="232"/>
      <c r="H12" s="232"/>
      <c r="I12" s="232"/>
      <c r="J12" s="232"/>
      <c r="K12" s="232"/>
      <c r="L12" s="232"/>
      <c r="M12" s="232"/>
    </row>
    <row r="13" spans="1:15" ht="14.4">
      <c r="A13" s="90">
        <f t="shared" si="1"/>
        <v>4</v>
      </c>
      <c r="B13" s="137" t="s">
        <v>317</v>
      </c>
      <c r="C13" s="232">
        <v>842586.43</v>
      </c>
      <c r="D13" s="233" t="s">
        <v>314</v>
      </c>
      <c r="E13" s="234">
        <v>4.3499999999999997E-2</v>
      </c>
      <c r="F13" s="235">
        <f t="shared" si="0"/>
        <v>36652.509704999997</v>
      </c>
      <c r="G13" s="232"/>
      <c r="H13" s="232"/>
      <c r="I13" s="232"/>
      <c r="J13" s="232"/>
      <c r="K13" s="232"/>
      <c r="L13" s="232"/>
    </row>
    <row r="14" spans="1:15" ht="14.4">
      <c r="A14" s="90">
        <f t="shared" si="1"/>
        <v>5</v>
      </c>
      <c r="B14" s="137" t="s">
        <v>318</v>
      </c>
      <c r="C14" s="232">
        <v>536191.49</v>
      </c>
      <c r="D14" s="233" t="s">
        <v>314</v>
      </c>
      <c r="E14" s="234">
        <v>4.3499999999999997E-2</v>
      </c>
      <c r="F14" s="235">
        <f t="shared" si="0"/>
        <v>23324.329815000001</v>
      </c>
      <c r="G14" s="232"/>
      <c r="H14" s="232"/>
      <c r="I14" s="232"/>
      <c r="J14" s="232"/>
      <c r="K14" s="232"/>
      <c r="L14" s="232"/>
    </row>
    <row r="15" spans="1:15" ht="14.4">
      <c r="A15" s="90">
        <f t="shared" si="1"/>
        <v>6</v>
      </c>
      <c r="B15" s="137" t="s">
        <v>319</v>
      </c>
      <c r="C15" s="232">
        <v>1161615.53</v>
      </c>
      <c r="D15" s="233" t="s">
        <v>314</v>
      </c>
      <c r="E15" s="234">
        <v>4.419E-2</v>
      </c>
      <c r="F15" s="235">
        <f t="shared" si="0"/>
        <v>51331.790270700003</v>
      </c>
      <c r="G15" s="232"/>
      <c r="H15" s="232"/>
      <c r="I15" s="232"/>
      <c r="J15" s="232"/>
      <c r="K15" s="232"/>
      <c r="L15" s="232"/>
    </row>
    <row r="16" spans="1:15" ht="14.4">
      <c r="A16" s="90">
        <f t="shared" si="1"/>
        <v>7</v>
      </c>
      <c r="B16" s="137" t="s">
        <v>320</v>
      </c>
      <c r="C16" s="232">
        <v>1151171.04</v>
      </c>
      <c r="D16" s="233" t="s">
        <v>314</v>
      </c>
      <c r="E16" s="234">
        <v>4.1489999999999999E-2</v>
      </c>
      <c r="F16" s="235">
        <f t="shared" si="0"/>
        <v>47762.086449599999</v>
      </c>
      <c r="G16" s="232"/>
      <c r="H16" s="232"/>
      <c r="I16" s="232"/>
      <c r="J16" s="232"/>
      <c r="K16" s="232"/>
      <c r="L16" s="232"/>
    </row>
    <row r="17" spans="1:13" ht="14.4">
      <c r="A17" s="90">
        <f t="shared" si="1"/>
        <v>8</v>
      </c>
      <c r="B17" s="137" t="s">
        <v>321</v>
      </c>
      <c r="C17" s="232">
        <v>1216337.97</v>
      </c>
      <c r="D17" s="233" t="s">
        <v>314</v>
      </c>
      <c r="E17" s="234">
        <v>4.1489999999999999E-2</v>
      </c>
      <c r="F17" s="235">
        <f t="shared" si="0"/>
        <v>50465.862375299999</v>
      </c>
      <c r="G17" s="232"/>
      <c r="H17" s="232"/>
      <c r="I17" s="232"/>
      <c r="J17" s="232"/>
      <c r="K17" s="232"/>
      <c r="L17" s="232"/>
    </row>
    <row r="18" spans="1:13" ht="14.4">
      <c r="A18" s="90">
        <f t="shared" si="1"/>
        <v>9</v>
      </c>
      <c r="B18" s="137" t="s">
        <v>322</v>
      </c>
      <c r="C18" s="232">
        <v>990925.02</v>
      </c>
      <c r="D18" s="233" t="s">
        <v>314</v>
      </c>
      <c r="E18" s="234">
        <v>4.1489999999999999E-2</v>
      </c>
      <c r="F18" s="235">
        <f t="shared" si="0"/>
        <v>41113.479079800003</v>
      </c>
      <c r="G18" s="232"/>
      <c r="H18" s="232"/>
      <c r="I18" s="232"/>
      <c r="J18" s="232"/>
      <c r="K18" s="232"/>
      <c r="L18" s="232"/>
    </row>
    <row r="19" spans="1:13" ht="14.4">
      <c r="A19" s="90">
        <f t="shared" si="1"/>
        <v>10</v>
      </c>
      <c r="B19" s="137" t="s">
        <v>323</v>
      </c>
      <c r="C19" s="232">
        <v>1018074.25</v>
      </c>
      <c r="D19" s="233" t="s">
        <v>314</v>
      </c>
      <c r="E19" s="234">
        <v>4.1180000000000001E-2</v>
      </c>
      <c r="F19" s="235">
        <f t="shared" si="0"/>
        <v>41924.297615000003</v>
      </c>
      <c r="G19" s="232"/>
      <c r="H19" s="232"/>
      <c r="I19" s="232"/>
      <c r="J19" s="232"/>
      <c r="K19" s="232"/>
      <c r="L19" s="232"/>
    </row>
    <row r="20" spans="1:13" ht="14.4">
      <c r="A20" s="90">
        <f t="shared" si="1"/>
        <v>11</v>
      </c>
      <c r="B20" s="137" t="s">
        <v>324</v>
      </c>
      <c r="C20" s="232">
        <v>636406.19999999995</v>
      </c>
      <c r="D20" s="233" t="s">
        <v>314</v>
      </c>
      <c r="E20" s="234">
        <v>4.335E-2</v>
      </c>
      <c r="F20" s="235">
        <f t="shared" si="0"/>
        <v>27588.208770000001</v>
      </c>
      <c r="G20" s="232"/>
      <c r="H20" s="232"/>
      <c r="I20" s="232"/>
      <c r="J20" s="232"/>
      <c r="K20" s="232"/>
      <c r="L20" s="232"/>
    </row>
    <row r="21" spans="1:13" ht="14.4">
      <c r="A21" s="90">
        <f t="shared" si="1"/>
        <v>12</v>
      </c>
      <c r="B21" s="137" t="s">
        <v>325</v>
      </c>
      <c r="C21" s="238">
        <v>1272560.04</v>
      </c>
      <c r="D21" s="233" t="s">
        <v>314</v>
      </c>
      <c r="E21" s="239">
        <v>4.086E-2</v>
      </c>
      <c r="F21" s="235">
        <f t="shared" si="0"/>
        <v>51996.803234400002</v>
      </c>
      <c r="G21" s="232"/>
      <c r="H21" s="232"/>
      <c r="I21" s="232"/>
      <c r="J21" s="232"/>
      <c r="K21" s="232"/>
      <c r="L21" s="232"/>
    </row>
    <row r="22" spans="1:13" ht="14.4">
      <c r="A22" s="90">
        <f t="shared" si="1"/>
        <v>13</v>
      </c>
      <c r="B22" s="137" t="s">
        <v>326</v>
      </c>
      <c r="C22" s="238">
        <v>1312690.03</v>
      </c>
      <c r="D22" s="233" t="s">
        <v>314</v>
      </c>
      <c r="E22" s="239">
        <v>4.086E-2</v>
      </c>
      <c r="F22" s="235">
        <f t="shared" si="0"/>
        <v>53636.514625800002</v>
      </c>
      <c r="G22" s="232"/>
      <c r="H22" s="232"/>
      <c r="I22" s="232"/>
      <c r="J22" s="232"/>
      <c r="K22" s="232"/>
      <c r="L22" s="232"/>
    </row>
    <row r="23" spans="1:13" ht="14.4">
      <c r="A23" s="90">
        <f t="shared" si="1"/>
        <v>14</v>
      </c>
      <c r="B23" s="137" t="s">
        <v>327</v>
      </c>
      <c r="C23" s="238">
        <v>2913906.82</v>
      </c>
      <c r="D23" s="233" t="s">
        <v>314</v>
      </c>
      <c r="E23" s="239">
        <v>4.0149999999999998E-2</v>
      </c>
      <c r="F23" s="235">
        <f t="shared" si="0"/>
        <v>116993.358823</v>
      </c>
      <c r="G23" s="232"/>
      <c r="H23" s="232"/>
      <c r="I23" s="232"/>
      <c r="J23" s="232"/>
      <c r="K23" s="232"/>
      <c r="L23" s="232"/>
    </row>
    <row r="24" spans="1:13" ht="14.4">
      <c r="A24" s="90">
        <f t="shared" si="1"/>
        <v>15</v>
      </c>
      <c r="B24" s="137" t="s">
        <v>328</v>
      </c>
      <c r="C24" s="240">
        <v>1579172.5</v>
      </c>
      <c r="D24" s="233" t="s">
        <v>314</v>
      </c>
      <c r="E24" s="241">
        <v>4.0800000000000003E-2</v>
      </c>
      <c r="F24" s="235">
        <f t="shared" si="0"/>
        <v>64430.237999999998</v>
      </c>
      <c r="G24" s="232"/>
      <c r="H24" s="232"/>
      <c r="I24" s="232"/>
      <c r="J24" s="232"/>
      <c r="K24" s="232"/>
      <c r="L24" s="232"/>
    </row>
    <row r="25" spans="1:13" ht="14.4">
      <c r="A25" s="90">
        <f t="shared" si="1"/>
        <v>16</v>
      </c>
      <c r="B25" s="137" t="s">
        <v>329</v>
      </c>
      <c r="C25" s="240">
        <v>1089629.04</v>
      </c>
      <c r="D25" s="233" t="s">
        <v>314</v>
      </c>
      <c r="E25" s="241">
        <v>4.0800000000000003E-2</v>
      </c>
      <c r="F25" s="235">
        <f t="shared" si="0"/>
        <v>44456.864831999999</v>
      </c>
      <c r="G25" s="232"/>
      <c r="H25" s="232"/>
      <c r="I25" s="232"/>
      <c r="J25" s="232"/>
      <c r="K25" s="232"/>
      <c r="L25" s="232"/>
    </row>
    <row r="26" spans="1:13" ht="14.4">
      <c r="A26" s="90">
        <f t="shared" si="1"/>
        <v>17</v>
      </c>
      <c r="B26" s="137" t="s">
        <v>330</v>
      </c>
      <c r="C26" s="240">
        <v>1660746.05</v>
      </c>
      <c r="D26" s="233" t="s">
        <v>314</v>
      </c>
      <c r="E26" s="241">
        <v>2.317E-2</v>
      </c>
      <c r="F26" s="235">
        <f t="shared" si="0"/>
        <v>38479.485978500001</v>
      </c>
      <c r="G26" s="238"/>
      <c r="H26" s="238"/>
      <c r="I26" s="238"/>
      <c r="J26" s="232"/>
      <c r="K26" s="232"/>
      <c r="L26" s="232"/>
      <c r="M26" s="232"/>
    </row>
    <row r="27" spans="1:13" ht="14.4">
      <c r="A27" s="90">
        <f t="shared" si="1"/>
        <v>18</v>
      </c>
      <c r="B27" s="137" t="s">
        <v>331</v>
      </c>
      <c r="C27" s="240">
        <v>1641105.7</v>
      </c>
      <c r="D27" s="233" t="s">
        <v>314</v>
      </c>
      <c r="E27" s="242">
        <v>3.5200000000000002E-2</v>
      </c>
      <c r="F27" s="235">
        <f t="shared" si="0"/>
        <v>57766.920639999997</v>
      </c>
      <c r="G27" s="238"/>
      <c r="H27" s="238"/>
      <c r="I27" s="238"/>
      <c r="J27" s="232"/>
      <c r="K27" s="232"/>
      <c r="L27" s="232"/>
    </row>
    <row r="28" spans="1:13" ht="14.4">
      <c r="A28" s="90">
        <f t="shared" si="1"/>
        <v>19</v>
      </c>
      <c r="B28" s="137" t="s">
        <v>332</v>
      </c>
      <c r="C28" s="240">
        <v>4349218.0599999996</v>
      </c>
      <c r="D28" s="233" t="s">
        <v>314</v>
      </c>
      <c r="E28" s="242">
        <v>2.8979999999999999E-2</v>
      </c>
      <c r="F28" s="235">
        <f t="shared" si="0"/>
        <v>126040.3393788</v>
      </c>
      <c r="G28" s="238"/>
      <c r="H28" s="238"/>
      <c r="I28" s="238"/>
      <c r="J28" s="232"/>
      <c r="K28" s="232"/>
      <c r="L28" s="232"/>
    </row>
    <row r="29" spans="1:13" ht="14.4">
      <c r="A29" s="90">
        <f t="shared" si="1"/>
        <v>20</v>
      </c>
      <c r="B29" s="137" t="s">
        <v>333</v>
      </c>
      <c r="C29" s="240">
        <v>1058145.8400000001</v>
      </c>
      <c r="D29" s="233" t="s">
        <v>314</v>
      </c>
      <c r="E29" s="242">
        <v>2.2579999999999999E-2</v>
      </c>
      <c r="F29" s="235">
        <f t="shared" si="0"/>
        <v>23892.9330672</v>
      </c>
      <c r="G29" s="7"/>
      <c r="H29" s="7"/>
    </row>
    <row r="30" spans="1:13" ht="14.4">
      <c r="A30" s="90">
        <f t="shared" si="1"/>
        <v>21</v>
      </c>
      <c r="B30" s="137" t="s">
        <v>334</v>
      </c>
      <c r="C30" s="240">
        <v>2491613.25</v>
      </c>
      <c r="D30" s="233" t="s">
        <v>314</v>
      </c>
      <c r="E30" s="242">
        <v>1.719E-2</v>
      </c>
      <c r="F30" s="235">
        <f t="shared" si="0"/>
        <v>42830.8317675</v>
      </c>
      <c r="G30" s="7"/>
      <c r="H30" s="7"/>
    </row>
    <row r="31" spans="1:13" ht="14.4">
      <c r="A31" s="90">
        <f t="shared" si="1"/>
        <v>22</v>
      </c>
      <c r="B31" s="137" t="s">
        <v>335</v>
      </c>
      <c r="C31" s="240">
        <v>1435203.56</v>
      </c>
      <c r="D31" s="233" t="s">
        <v>314</v>
      </c>
      <c r="E31" s="242">
        <v>1.5049999999999999E-2</v>
      </c>
      <c r="F31" s="235">
        <f t="shared" si="0"/>
        <v>21599.813578000001</v>
      </c>
      <c r="G31" s="232"/>
      <c r="H31" s="232"/>
      <c r="I31" s="232"/>
      <c r="J31" s="232"/>
      <c r="K31" s="232"/>
      <c r="L31" s="232"/>
    </row>
    <row r="32" spans="1:13" ht="14.4">
      <c r="A32" s="90">
        <f t="shared" si="1"/>
        <v>23</v>
      </c>
      <c r="B32" s="137" t="s">
        <v>336</v>
      </c>
      <c r="C32" s="240">
        <v>961636.41</v>
      </c>
      <c r="D32" s="233" t="s">
        <v>314</v>
      </c>
      <c r="E32" s="242">
        <v>2.2100000000000002E-2</v>
      </c>
      <c r="F32" s="235">
        <f t="shared" si="0"/>
        <v>21252.164660999999</v>
      </c>
      <c r="G32" s="232"/>
      <c r="H32" s="232"/>
      <c r="I32" s="232"/>
      <c r="J32" s="232"/>
      <c r="K32" s="232"/>
      <c r="L32" s="232"/>
    </row>
    <row r="33" spans="1:13" ht="14.4">
      <c r="A33" s="90">
        <f t="shared" si="1"/>
        <v>24</v>
      </c>
      <c r="B33" s="137" t="s">
        <v>337</v>
      </c>
      <c r="C33" s="240">
        <v>3345669.66</v>
      </c>
      <c r="D33" s="233" t="s">
        <v>314</v>
      </c>
      <c r="E33" s="242">
        <v>3.5200000000000002E-2</v>
      </c>
      <c r="F33" s="235">
        <f t="shared" si="0"/>
        <v>117767.572032</v>
      </c>
      <c r="G33" s="232"/>
      <c r="H33" s="232"/>
      <c r="I33" s="232"/>
      <c r="J33" s="232"/>
      <c r="K33" s="232"/>
      <c r="L33" s="232"/>
    </row>
    <row r="34" spans="1:13" ht="14.4">
      <c r="A34" s="90">
        <f t="shared" si="1"/>
        <v>25</v>
      </c>
      <c r="B34" s="137" t="s">
        <v>338</v>
      </c>
      <c r="C34" s="240">
        <v>1478627.5</v>
      </c>
      <c r="D34" s="233" t="s">
        <v>314</v>
      </c>
      <c r="E34" s="242">
        <v>3.5200000000000002E-2</v>
      </c>
      <c r="F34" s="235">
        <f t="shared" si="0"/>
        <v>52047.688000000002</v>
      </c>
      <c r="G34" s="232"/>
      <c r="H34" s="232"/>
      <c r="I34" s="232"/>
      <c r="J34" s="232"/>
      <c r="K34" s="232"/>
      <c r="L34" s="232"/>
    </row>
    <row r="35" spans="1:13" ht="14.4">
      <c r="A35" s="90">
        <f t="shared" si="1"/>
        <v>26</v>
      </c>
      <c r="B35" s="137" t="s">
        <v>339</v>
      </c>
      <c r="C35" s="240">
        <v>34020.79</v>
      </c>
      <c r="D35" s="233" t="s">
        <v>340</v>
      </c>
      <c r="E35" s="242">
        <v>3.1E-2</v>
      </c>
      <c r="F35" s="235">
        <f t="shared" si="0"/>
        <v>1054.6444899999999</v>
      </c>
      <c r="G35" s="232"/>
      <c r="H35" s="232"/>
      <c r="I35" s="232"/>
      <c r="J35" s="232"/>
      <c r="K35" s="232"/>
      <c r="L35" s="232"/>
    </row>
    <row r="36" spans="1:13" ht="14.4">
      <c r="A36" s="90">
        <f t="shared" si="1"/>
        <v>27</v>
      </c>
      <c r="B36" s="137" t="s">
        <v>341</v>
      </c>
      <c r="C36" s="240">
        <v>217116.35</v>
      </c>
      <c r="D36" s="233" t="s">
        <v>340</v>
      </c>
      <c r="E36" s="242">
        <v>3.85E-2</v>
      </c>
      <c r="F36" s="235">
        <f t="shared" si="0"/>
        <v>8358.9794750000001</v>
      </c>
      <c r="G36" s="232"/>
      <c r="H36" s="232"/>
      <c r="I36" s="232"/>
      <c r="J36" s="232"/>
      <c r="K36" s="232"/>
      <c r="L36" s="232"/>
    </row>
    <row r="37" spans="1:13" ht="14.4">
      <c r="A37" s="90">
        <f t="shared" si="1"/>
        <v>28</v>
      </c>
      <c r="B37" s="137" t="s">
        <v>342</v>
      </c>
      <c r="C37" s="240">
        <v>305127.96999999997</v>
      </c>
      <c r="D37" s="233" t="s">
        <v>340</v>
      </c>
      <c r="E37" s="242">
        <v>2.4199999999999999E-2</v>
      </c>
      <c r="F37" s="235">
        <f t="shared" si="0"/>
        <v>7384.0968739999998</v>
      </c>
      <c r="G37" s="232"/>
      <c r="H37" s="232"/>
      <c r="I37" s="232"/>
      <c r="J37" s="232"/>
      <c r="K37" s="232"/>
      <c r="L37" s="232"/>
    </row>
    <row r="38" spans="1:13" ht="14.4">
      <c r="A38" s="90">
        <f t="shared" si="1"/>
        <v>29</v>
      </c>
      <c r="B38" s="137" t="s">
        <v>343</v>
      </c>
      <c r="C38" s="240">
        <v>223977.79</v>
      </c>
      <c r="D38" s="233" t="s">
        <v>340</v>
      </c>
      <c r="E38" s="242">
        <v>2.4199999999999999E-2</v>
      </c>
      <c r="F38" s="235">
        <f t="shared" si="0"/>
        <v>5420.2625179999995</v>
      </c>
      <c r="G38" s="232"/>
      <c r="H38" s="232"/>
      <c r="I38" s="232"/>
      <c r="J38" s="232"/>
      <c r="K38" s="232"/>
      <c r="L38" s="232"/>
    </row>
    <row r="39" spans="1:13">
      <c r="A39" s="90">
        <f t="shared" si="1"/>
        <v>30</v>
      </c>
      <c r="B39" s="243"/>
      <c r="C39" s="240"/>
      <c r="D39" s="233" t="s">
        <v>340</v>
      </c>
      <c r="E39" s="242">
        <v>3.7499999999999999E-2</v>
      </c>
      <c r="F39" s="235">
        <f t="shared" si="0"/>
        <v>0</v>
      </c>
      <c r="G39" s="238"/>
      <c r="H39" s="238"/>
      <c r="I39" s="238"/>
      <c r="J39" s="232"/>
      <c r="K39" s="232"/>
      <c r="L39" s="232"/>
      <c r="M39" s="232"/>
    </row>
    <row r="40" spans="1:13">
      <c r="A40" s="90">
        <f t="shared" si="1"/>
        <v>31</v>
      </c>
      <c r="B40" s="244" t="s">
        <v>344</v>
      </c>
      <c r="C40" s="240">
        <v>7697824.6100000003</v>
      </c>
      <c r="D40" s="233" t="s">
        <v>119</v>
      </c>
      <c r="E40" s="242">
        <v>3.2599999999999997E-2</v>
      </c>
      <c r="F40" s="235">
        <f t="shared" si="0"/>
        <v>250949.08228599999</v>
      </c>
      <c r="G40" s="238"/>
      <c r="H40" s="238"/>
      <c r="I40" s="238"/>
      <c r="J40" s="232"/>
      <c r="K40" s="232"/>
      <c r="L40" s="232"/>
    </row>
    <row r="41" spans="1:13">
      <c r="A41" s="90">
        <f t="shared" si="1"/>
        <v>32</v>
      </c>
      <c r="B41" s="4"/>
      <c r="C41" s="7"/>
      <c r="D41" s="233" t="s">
        <v>119</v>
      </c>
      <c r="E41" s="242">
        <v>2.53E-2</v>
      </c>
      <c r="F41" s="235">
        <f t="shared" si="0"/>
        <v>0</v>
      </c>
      <c r="G41" s="238"/>
      <c r="H41" s="238"/>
      <c r="I41" s="238"/>
      <c r="J41" s="232"/>
      <c r="K41" s="232"/>
      <c r="L41" s="232"/>
    </row>
    <row r="42" spans="1:13">
      <c r="A42" s="90">
        <f t="shared" si="1"/>
        <v>33</v>
      </c>
      <c r="B42" s="90" t="s">
        <v>345</v>
      </c>
      <c r="C42" s="240">
        <v>1000000</v>
      </c>
      <c r="D42" s="233" t="s">
        <v>119</v>
      </c>
      <c r="E42" s="242">
        <v>3.986E-2</v>
      </c>
      <c r="F42" s="235">
        <f t="shared" si="0"/>
        <v>39860</v>
      </c>
      <c r="G42" s="7"/>
      <c r="H42" s="7"/>
    </row>
    <row r="43" spans="1:13">
      <c r="A43" s="90">
        <f t="shared" si="1"/>
        <v>34</v>
      </c>
      <c r="B43" s="4"/>
      <c r="C43" s="7"/>
      <c r="D43" s="233" t="s">
        <v>119</v>
      </c>
      <c r="E43" s="242">
        <v>4.6899999999999997E-2</v>
      </c>
      <c r="F43" s="235">
        <f t="shared" si="0"/>
        <v>0</v>
      </c>
      <c r="G43" s="7"/>
      <c r="H43" s="7"/>
    </row>
    <row r="44" spans="1:13">
      <c r="A44" s="90">
        <f t="shared" si="1"/>
        <v>35</v>
      </c>
      <c r="B44" s="4"/>
      <c r="C44" s="7"/>
      <c r="D44" s="233" t="s">
        <v>119</v>
      </c>
      <c r="E44" s="242">
        <v>4.9000000000000002E-2</v>
      </c>
      <c r="F44" s="235">
        <f t="shared" si="0"/>
        <v>0</v>
      </c>
      <c r="G44" s="7"/>
      <c r="H44" s="7"/>
    </row>
    <row r="45" spans="1:13">
      <c r="A45" s="90">
        <f t="shared" si="1"/>
        <v>36</v>
      </c>
      <c r="B45" s="23"/>
      <c r="C45" s="245"/>
      <c r="D45" s="246" t="s">
        <v>119</v>
      </c>
      <c r="E45" s="247">
        <v>4.4999999999999998E-2</v>
      </c>
      <c r="F45" s="248">
        <f t="shared" si="0"/>
        <v>0</v>
      </c>
      <c r="G45" s="7"/>
      <c r="H45" s="7"/>
    </row>
    <row r="46" spans="1:13">
      <c r="A46" s="90">
        <f t="shared" si="1"/>
        <v>37</v>
      </c>
      <c r="B46" s="249" t="s">
        <v>120</v>
      </c>
      <c r="C46" s="250">
        <f>SUM(C10:C45)</f>
        <v>45727765.999999993</v>
      </c>
      <c r="D46" s="7"/>
      <c r="E46" s="251"/>
      <c r="F46" s="252">
        <f>SUM(F10:F45)</f>
        <v>1558012.4336916003</v>
      </c>
      <c r="G46" s="7"/>
      <c r="H46" s="7"/>
    </row>
    <row r="47" spans="1:13">
      <c r="A47" s="90">
        <f t="shared" si="1"/>
        <v>38</v>
      </c>
      <c r="B47" s="253"/>
      <c r="C47" s="7"/>
      <c r="D47" s="7"/>
      <c r="E47" s="251"/>
      <c r="F47" s="7"/>
      <c r="G47" s="7"/>
      <c r="H47" s="7"/>
    </row>
    <row r="48" spans="1:13">
      <c r="A48" s="90">
        <f t="shared" si="1"/>
        <v>39</v>
      </c>
      <c r="B48" s="251" t="s">
        <v>108</v>
      </c>
      <c r="F48" s="254">
        <v>1047375.95</v>
      </c>
    </row>
    <row r="49" spans="1:15">
      <c r="A49" s="90">
        <f t="shared" si="1"/>
        <v>40</v>
      </c>
      <c r="B49" s="251"/>
    </row>
    <row r="50" spans="1:15">
      <c r="A50" s="90">
        <f t="shared" si="1"/>
        <v>41</v>
      </c>
      <c r="B50" s="251" t="s">
        <v>109</v>
      </c>
      <c r="F50" s="252">
        <f>+F46</f>
        <v>1558012.4336916003</v>
      </c>
    </row>
    <row r="51" spans="1:15">
      <c r="A51" s="90">
        <f t="shared" si="1"/>
        <v>42</v>
      </c>
      <c r="B51" s="251"/>
    </row>
    <row r="52" spans="1:15" ht="13.8" thickBot="1">
      <c r="A52" s="90">
        <f t="shared" si="1"/>
        <v>43</v>
      </c>
      <c r="B52" s="255" t="s">
        <v>121</v>
      </c>
      <c r="C52" s="13"/>
      <c r="D52" s="13"/>
      <c r="E52" s="255"/>
      <c r="F52" s="256">
        <f>+F50-F48</f>
        <v>510636.48369160038</v>
      </c>
    </row>
    <row r="53" spans="1:15" ht="13.8" hidden="1" thickTop="1">
      <c r="A53" s="90">
        <f t="shared" si="1"/>
        <v>44</v>
      </c>
      <c r="B53" s="4"/>
      <c r="F53" s="252"/>
    </row>
    <row r="54" spans="1:15" hidden="1">
      <c r="A54" s="90">
        <f t="shared" si="1"/>
        <v>45</v>
      </c>
      <c r="B54" s="31" t="s">
        <v>346</v>
      </c>
      <c r="E54" s="2"/>
    </row>
    <row r="55" spans="1:15" hidden="1">
      <c r="A55" s="90">
        <f t="shared" si="1"/>
        <v>46</v>
      </c>
      <c r="B55" s="249" t="s">
        <v>347</v>
      </c>
      <c r="D55" s="2" t="s">
        <v>119</v>
      </c>
      <c r="F55" s="252"/>
    </row>
    <row r="56" spans="1:15" hidden="1">
      <c r="A56" s="90">
        <f t="shared" si="1"/>
        <v>47</v>
      </c>
      <c r="B56" s="4" t="s">
        <v>348</v>
      </c>
      <c r="D56" s="2" t="s">
        <v>340</v>
      </c>
      <c r="F56" s="252"/>
    </row>
    <row r="57" spans="1:15" hidden="1">
      <c r="A57" s="90">
        <f t="shared" si="1"/>
        <v>48</v>
      </c>
      <c r="B57" s="66" t="s">
        <v>349</v>
      </c>
      <c r="C57" s="8"/>
      <c r="D57" s="8"/>
      <c r="E57" s="66"/>
      <c r="F57" s="257">
        <f>F55+F56</f>
        <v>0</v>
      </c>
    </row>
    <row r="58" spans="1:15" hidden="1">
      <c r="A58" s="90">
        <f t="shared" si="1"/>
        <v>49</v>
      </c>
      <c r="B58" s="4"/>
      <c r="F58" s="252"/>
    </row>
    <row r="59" spans="1:15" hidden="1">
      <c r="A59" s="90">
        <f t="shared" si="1"/>
        <v>50</v>
      </c>
      <c r="B59" s="4" t="s">
        <v>109</v>
      </c>
      <c r="F59" s="252">
        <v>0</v>
      </c>
    </row>
    <row r="60" spans="1:15" hidden="1">
      <c r="A60" s="90">
        <f t="shared" si="1"/>
        <v>51</v>
      </c>
      <c r="B60" s="4"/>
      <c r="F60" s="252"/>
    </row>
    <row r="61" spans="1:15" ht="13.8" hidden="1" thickBot="1">
      <c r="A61" s="90">
        <f t="shared" si="1"/>
        <v>52</v>
      </c>
      <c r="B61" s="255" t="s">
        <v>350</v>
      </c>
      <c r="C61" s="13"/>
      <c r="D61" s="13"/>
      <c r="E61" s="255"/>
      <c r="F61" s="256">
        <f>F59-F57</f>
        <v>0</v>
      </c>
    </row>
    <row r="62" spans="1:15" ht="13.8" thickTop="1">
      <c r="A62" s="90"/>
      <c r="B62" s="253"/>
      <c r="C62" s="7"/>
      <c r="D62" s="7"/>
      <c r="E62" s="251"/>
      <c r="F62" s="7"/>
      <c r="G62" s="7"/>
      <c r="H62" s="7"/>
    </row>
    <row r="63" spans="1:15" ht="19.2" customHeight="1">
      <c r="B63" s="307" t="s">
        <v>122</v>
      </c>
      <c r="C63" s="307"/>
      <c r="D63" s="307"/>
      <c r="E63" s="307"/>
      <c r="F63" s="307"/>
      <c r="G63" s="258"/>
      <c r="H63" s="258"/>
      <c r="I63" s="258"/>
      <c r="J63" s="258"/>
      <c r="K63" s="258"/>
      <c r="L63" s="258"/>
      <c r="M63" s="258"/>
      <c r="N63" s="258"/>
      <c r="O63" s="258"/>
    </row>
    <row r="64" spans="1:15">
      <c r="B64" s="2" t="s">
        <v>351</v>
      </c>
      <c r="C64" s="7"/>
      <c r="D64" s="7"/>
      <c r="E64" s="251"/>
      <c r="F64" s="7"/>
      <c r="G64" s="7"/>
      <c r="H64" s="7"/>
    </row>
    <row r="65" spans="3:8">
      <c r="C65" s="7"/>
      <c r="D65" s="7"/>
      <c r="E65" s="251"/>
      <c r="F65" s="7"/>
      <c r="G65" s="7"/>
      <c r="H65" s="7"/>
    </row>
    <row r="66" spans="3:8">
      <c r="C66" s="7"/>
      <c r="D66" s="7"/>
      <c r="E66" s="251"/>
      <c r="F66" s="7"/>
      <c r="G66" s="7"/>
      <c r="H66" s="7"/>
    </row>
    <row r="67" spans="3:8">
      <c r="C67" s="7"/>
      <c r="D67" s="7"/>
      <c r="E67" s="251"/>
      <c r="F67" s="7"/>
      <c r="G67" s="7"/>
      <c r="H67" s="7"/>
    </row>
  </sheetData>
  <mergeCells count="4">
    <mergeCell ref="B4:F4"/>
    <mergeCell ref="B5:F5"/>
    <mergeCell ref="B7:F7"/>
    <mergeCell ref="B63:F63"/>
  </mergeCells>
  <printOptions horizontalCentered="1"/>
  <pageMargins left="0.7" right="0.7" top="0.75" bottom="0.75" header="0.3" footer="0.3"/>
  <pageSetup scale="85" orientation="portrait" r:id="rId1"/>
  <headerFooter>
    <oddFooter>&amp;RExhibit  JW-2
Page &amp;P of &amp;N</oddFooter>
  </headerFooter>
  <ignoredErrors>
    <ignoredError sqref="B55:B56" numberStoredAsText="1"/>
    <ignoredError sqref="F10:F4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4"/>
  <sheetViews>
    <sheetView view="pageBreakPreview" topLeftCell="A26" zoomScale="75" zoomScaleNormal="100" zoomScaleSheetLayoutView="75" workbookViewId="0">
      <selection activeCell="B64" sqref="B64"/>
    </sheetView>
  </sheetViews>
  <sheetFormatPr defaultColWidth="9.109375" defaultRowHeight="13.2"/>
  <cols>
    <col min="1" max="1" width="5.88671875" style="30" customWidth="1"/>
    <col min="2" max="2" width="2.33203125" style="30" customWidth="1"/>
    <col min="3" max="3" width="9.33203125" style="30" customWidth="1"/>
    <col min="4" max="4" width="30.5546875" style="30" bestFit="1" customWidth="1"/>
    <col min="5" max="5" width="16.5546875" style="30" bestFit="1" customWidth="1"/>
    <col min="6" max="6" width="11.33203125" style="30" bestFit="1" customWidth="1"/>
    <col min="7" max="7" width="9.6640625" style="2" customWidth="1"/>
    <col min="8" max="8" width="11.33203125" style="30" bestFit="1" customWidth="1"/>
    <col min="9" max="9" width="11.6640625" style="30" customWidth="1"/>
    <col min="10" max="10" width="12" style="30" customWidth="1"/>
    <col min="11" max="13" width="9.109375" style="30"/>
    <col min="14" max="14" width="10.44140625" style="30" bestFit="1" customWidth="1"/>
    <col min="15" max="16384" width="9.109375" style="30"/>
  </cols>
  <sheetData>
    <row r="1" spans="1:10">
      <c r="G1" s="20"/>
      <c r="J1" s="19" t="s">
        <v>149</v>
      </c>
    </row>
    <row r="2" spans="1:10" ht="14.25" customHeight="1">
      <c r="G2" s="20"/>
    </row>
    <row r="3" spans="1:10">
      <c r="A3" s="308" t="s">
        <v>310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0">
      <c r="A4" s="308" t="s">
        <v>311</v>
      </c>
      <c r="B4" s="308"/>
      <c r="C4" s="308"/>
      <c r="D4" s="308"/>
      <c r="E4" s="308"/>
      <c r="F4" s="308"/>
      <c r="G4" s="308"/>
      <c r="H4" s="308"/>
      <c r="I4" s="308"/>
      <c r="J4" s="308"/>
    </row>
    <row r="6" spans="1:10" s="28" customFormat="1" ht="15" customHeight="1">
      <c r="A6" s="306" t="s">
        <v>124</v>
      </c>
      <c r="B6" s="306"/>
      <c r="C6" s="306"/>
      <c r="D6" s="306"/>
      <c r="E6" s="306"/>
      <c r="F6" s="306"/>
      <c r="G6" s="306"/>
      <c r="H6" s="306"/>
      <c r="I6" s="306"/>
      <c r="J6" s="306"/>
    </row>
    <row r="8" spans="1:10" s="88" customFormat="1" ht="38.25" customHeight="1">
      <c r="A8" s="88" t="s">
        <v>5</v>
      </c>
      <c r="C8" s="88" t="s">
        <v>125</v>
      </c>
      <c r="D8" s="88" t="s">
        <v>6</v>
      </c>
      <c r="E8" s="88" t="s">
        <v>352</v>
      </c>
      <c r="F8" s="88" t="s">
        <v>126</v>
      </c>
      <c r="G8" s="22" t="s">
        <v>117</v>
      </c>
      <c r="H8" s="88" t="s">
        <v>127</v>
      </c>
      <c r="I8" s="88" t="s">
        <v>128</v>
      </c>
      <c r="J8" s="88" t="s">
        <v>129</v>
      </c>
    </row>
    <row r="9" spans="1:10">
      <c r="A9" s="82" t="s">
        <v>10</v>
      </c>
      <c r="B9" s="32"/>
      <c r="C9" s="60" t="s">
        <v>63</v>
      </c>
      <c r="D9" s="60" t="s">
        <v>64</v>
      </c>
      <c r="E9" s="60" t="s">
        <v>65</v>
      </c>
      <c r="F9" s="60" t="s">
        <v>11</v>
      </c>
      <c r="G9" s="65" t="s">
        <v>12</v>
      </c>
      <c r="H9" s="60" t="s">
        <v>46</v>
      </c>
      <c r="I9" s="60" t="s">
        <v>66</v>
      </c>
      <c r="J9" s="60" t="s">
        <v>67</v>
      </c>
    </row>
    <row r="10" spans="1:10">
      <c r="A10" s="32"/>
      <c r="B10" s="32"/>
    </row>
    <row r="11" spans="1:10">
      <c r="A11" s="32">
        <v>1</v>
      </c>
      <c r="B11" s="32"/>
      <c r="C11" s="89" t="s">
        <v>130</v>
      </c>
      <c r="G11" s="2" t="s">
        <v>353</v>
      </c>
    </row>
    <row r="12" spans="1:10">
      <c r="A12" s="32">
        <f>A11+1</f>
        <v>2</v>
      </c>
      <c r="B12" s="32"/>
      <c r="C12" s="43">
        <v>303</v>
      </c>
      <c r="D12" s="30" t="s">
        <v>354</v>
      </c>
      <c r="E12" s="91">
        <v>15634</v>
      </c>
      <c r="G12" s="259"/>
      <c r="H12" s="91"/>
      <c r="I12" s="91"/>
      <c r="J12" s="69"/>
    </row>
    <row r="13" spans="1:10">
      <c r="A13" s="32">
        <f t="shared" ref="A13:A50" si="0">A12+1</f>
        <v>3</v>
      </c>
      <c r="B13" s="32"/>
      <c r="C13" s="90">
        <v>364</v>
      </c>
      <c r="D13" s="2" t="s">
        <v>131</v>
      </c>
      <c r="E13" s="91">
        <v>39791928.43</v>
      </c>
      <c r="F13" s="91">
        <v>0</v>
      </c>
      <c r="G13" s="259">
        <v>3.6900000000000002E-2</v>
      </c>
      <c r="H13" s="91">
        <f t="shared" ref="H13:H19" si="1">ROUND(((+E13-F13)*G13),2)</f>
        <v>1468322.16</v>
      </c>
      <c r="I13" s="91">
        <v>1443500.57</v>
      </c>
      <c r="J13" s="68">
        <f t="shared" ref="J13:J19" si="2">+H13-I13</f>
        <v>24821.589999999851</v>
      </c>
    </row>
    <row r="14" spans="1:10">
      <c r="A14" s="32">
        <f t="shared" si="0"/>
        <v>4</v>
      </c>
      <c r="B14" s="32"/>
      <c r="C14" s="90">
        <v>365</v>
      </c>
      <c r="D14" s="2" t="s">
        <v>132</v>
      </c>
      <c r="E14" s="91">
        <v>31765974.359999999</v>
      </c>
      <c r="F14" s="91">
        <v>0</v>
      </c>
      <c r="G14" s="259">
        <v>3.2899999999999999E-2</v>
      </c>
      <c r="H14" s="91">
        <f t="shared" si="1"/>
        <v>1045100.56</v>
      </c>
      <c r="I14" s="91">
        <v>1035575.31</v>
      </c>
      <c r="J14" s="68">
        <f t="shared" si="2"/>
        <v>9525.25</v>
      </c>
    </row>
    <row r="15" spans="1:10">
      <c r="A15" s="32">
        <f t="shared" si="0"/>
        <v>5</v>
      </c>
      <c r="B15" s="32"/>
      <c r="C15" s="90">
        <v>367</v>
      </c>
      <c r="D15" s="2" t="s">
        <v>133</v>
      </c>
      <c r="E15" s="91">
        <v>2483104.73</v>
      </c>
      <c r="F15" s="91"/>
      <c r="G15" s="259">
        <v>2.7099999999999999E-2</v>
      </c>
      <c r="H15" s="91">
        <f t="shared" si="1"/>
        <v>67292.14</v>
      </c>
      <c r="I15" s="91">
        <v>65541.67</v>
      </c>
      <c r="J15" s="68">
        <f t="shared" si="2"/>
        <v>1750.4700000000012</v>
      </c>
    </row>
    <row r="16" spans="1:10">
      <c r="A16" s="32">
        <f t="shared" si="0"/>
        <v>6</v>
      </c>
      <c r="B16" s="32"/>
      <c r="C16" s="90">
        <v>368</v>
      </c>
      <c r="D16" s="2" t="s">
        <v>134</v>
      </c>
      <c r="E16" s="91">
        <v>20331914.600000001</v>
      </c>
      <c r="F16" s="91"/>
      <c r="G16" s="259">
        <v>3.0300000000000001E-2</v>
      </c>
      <c r="H16" s="91">
        <f t="shared" si="1"/>
        <v>616057.01</v>
      </c>
      <c r="I16" s="91">
        <v>609856.31999999995</v>
      </c>
      <c r="J16" s="68">
        <f t="shared" si="2"/>
        <v>6200.6900000000605</v>
      </c>
    </row>
    <row r="17" spans="1:14">
      <c r="A17" s="32">
        <f t="shared" si="0"/>
        <v>7</v>
      </c>
      <c r="B17" s="32"/>
      <c r="C17" s="90">
        <v>369</v>
      </c>
      <c r="D17" s="2" t="s">
        <v>135</v>
      </c>
      <c r="E17" s="91">
        <v>8334055.4000000004</v>
      </c>
      <c r="F17" s="91">
        <v>0</v>
      </c>
      <c r="G17" s="259">
        <v>2.7799999999999998E-2</v>
      </c>
      <c r="H17" s="91">
        <f t="shared" si="1"/>
        <v>231686.74</v>
      </c>
      <c r="I17" s="91">
        <v>227300.09</v>
      </c>
      <c r="J17" s="68">
        <f t="shared" si="2"/>
        <v>4386.6499999999942</v>
      </c>
    </row>
    <row r="18" spans="1:14">
      <c r="A18" s="32">
        <f t="shared" si="0"/>
        <v>8</v>
      </c>
      <c r="B18" s="32"/>
      <c r="C18" s="90">
        <v>370</v>
      </c>
      <c r="D18" s="2" t="s">
        <v>136</v>
      </c>
      <c r="E18" s="91">
        <v>6534821.8399999999</v>
      </c>
      <c r="F18" s="91">
        <v>0</v>
      </c>
      <c r="G18" s="259">
        <v>6.6600000000000006E-2</v>
      </c>
      <c r="H18" s="91">
        <f t="shared" si="1"/>
        <v>435219.13</v>
      </c>
      <c r="I18" s="91">
        <v>427496.48</v>
      </c>
      <c r="J18" s="68">
        <f t="shared" si="2"/>
        <v>7722.6500000000233</v>
      </c>
    </row>
    <row r="19" spans="1:14">
      <c r="A19" s="32">
        <f t="shared" si="0"/>
        <v>9</v>
      </c>
      <c r="B19" s="32"/>
      <c r="C19" s="90">
        <v>371</v>
      </c>
      <c r="D19" s="2" t="s">
        <v>355</v>
      </c>
      <c r="E19" s="91">
        <v>3743268.27</v>
      </c>
      <c r="F19" s="91">
        <v>0</v>
      </c>
      <c r="G19" s="259">
        <v>2.81E-2</v>
      </c>
      <c r="H19" s="91">
        <f t="shared" si="1"/>
        <v>105185.84</v>
      </c>
      <c r="I19" s="91">
        <v>103978.83</v>
      </c>
      <c r="J19" s="68">
        <f t="shared" si="2"/>
        <v>1207.0099999999948</v>
      </c>
    </row>
    <row r="20" spans="1:14">
      <c r="A20" s="32">
        <f t="shared" si="0"/>
        <v>10</v>
      </c>
      <c r="B20" s="32"/>
      <c r="E20" s="91"/>
      <c r="F20" s="91"/>
      <c r="G20" s="259"/>
      <c r="H20" s="91"/>
      <c r="I20" s="91"/>
      <c r="J20" s="68"/>
    </row>
    <row r="21" spans="1:14">
      <c r="A21" s="32">
        <f t="shared" si="0"/>
        <v>11</v>
      </c>
      <c r="D21" s="30" t="s">
        <v>356</v>
      </c>
      <c r="E21" s="91"/>
      <c r="F21" s="91"/>
      <c r="G21" s="259"/>
      <c r="H21" s="91"/>
      <c r="I21" s="91"/>
      <c r="J21" s="68"/>
    </row>
    <row r="22" spans="1:14">
      <c r="A22" s="32">
        <f t="shared" si="0"/>
        <v>12</v>
      </c>
      <c r="E22" s="91"/>
      <c r="F22" s="91"/>
      <c r="G22" s="259"/>
      <c r="H22" s="91"/>
      <c r="I22" s="91"/>
      <c r="J22" s="68"/>
    </row>
    <row r="23" spans="1:14">
      <c r="A23" s="32">
        <f t="shared" si="0"/>
        <v>13</v>
      </c>
      <c r="D23" s="92" t="s">
        <v>137</v>
      </c>
      <c r="E23" s="93">
        <f>SUM(E12:E22)</f>
        <v>113000701.63000001</v>
      </c>
      <c r="F23" s="93">
        <f>SUM(F13:F22)</f>
        <v>0</v>
      </c>
      <c r="G23" s="260"/>
      <c r="H23" s="93">
        <f>SUM(H13:H22)</f>
        <v>3968863.58</v>
      </c>
      <c r="I23" s="93">
        <f>SUM(I13:I22)</f>
        <v>3913249.2699999996</v>
      </c>
      <c r="J23" s="93">
        <f>SUM(J13:J22)</f>
        <v>55614.309999999925</v>
      </c>
    </row>
    <row r="24" spans="1:14">
      <c r="A24" s="32">
        <f t="shared" si="0"/>
        <v>14</v>
      </c>
    </row>
    <row r="25" spans="1:14">
      <c r="A25" s="32">
        <f t="shared" si="0"/>
        <v>15</v>
      </c>
      <c r="C25" s="89" t="s">
        <v>138</v>
      </c>
    </row>
    <row r="26" spans="1:14">
      <c r="A26" s="32">
        <f t="shared" si="0"/>
        <v>16</v>
      </c>
      <c r="C26" s="90">
        <v>389</v>
      </c>
      <c r="D26" s="2" t="s">
        <v>357</v>
      </c>
      <c r="E26" s="91">
        <v>20690.97</v>
      </c>
      <c r="F26" s="91"/>
      <c r="G26" s="259">
        <v>2.4999996000000003E-2</v>
      </c>
      <c r="H26" s="91">
        <f>ROUND(((+E26-F26)*G26),2)</f>
        <v>517.27</v>
      </c>
      <c r="I26" s="91"/>
      <c r="J26" s="94">
        <f>+H26-I26</f>
        <v>517.27</v>
      </c>
    </row>
    <row r="27" spans="1:14">
      <c r="A27" s="32">
        <f t="shared" si="0"/>
        <v>17</v>
      </c>
      <c r="C27" s="90">
        <v>390</v>
      </c>
      <c r="D27" s="2" t="s">
        <v>139</v>
      </c>
      <c r="E27" s="91">
        <v>5799943.0899999999</v>
      </c>
      <c r="F27" s="91">
        <v>2733499.88</v>
      </c>
      <c r="G27" s="259">
        <v>2.5000000000000001E-2</v>
      </c>
      <c r="H27" s="91">
        <f>ROUND(((+E27-F27)*G27),2)</f>
        <v>76661.08</v>
      </c>
      <c r="I27" s="91">
        <v>140566.24</v>
      </c>
      <c r="J27" s="94">
        <f>+H27-I27</f>
        <v>-63905.159999999989</v>
      </c>
      <c r="N27" s="95"/>
    </row>
    <row r="28" spans="1:14">
      <c r="A28" s="32">
        <f t="shared" si="0"/>
        <v>18</v>
      </c>
      <c r="C28" s="90">
        <v>391</v>
      </c>
      <c r="D28" s="2" t="s">
        <v>140</v>
      </c>
      <c r="E28" s="91">
        <v>1269606.71</v>
      </c>
      <c r="F28" s="91">
        <v>828412</v>
      </c>
      <c r="G28" s="259">
        <v>0.06</v>
      </c>
      <c r="H28" s="91">
        <f t="shared" ref="H28:H40" si="3">ROUND(((+E28-F28)*G28),2)</f>
        <v>26471.68</v>
      </c>
      <c r="I28" s="91">
        <v>77065.91</v>
      </c>
      <c r="J28" s="94">
        <f t="shared" ref="J28:J40" si="4">+H28-I28</f>
        <v>-50594.23</v>
      </c>
      <c r="N28" s="95"/>
    </row>
    <row r="29" spans="1:14">
      <c r="A29" s="32">
        <f t="shared" si="0"/>
        <v>19</v>
      </c>
      <c r="C29" s="90">
        <v>392</v>
      </c>
      <c r="D29" s="2" t="s">
        <v>358</v>
      </c>
      <c r="E29" s="91">
        <v>3559721.3</v>
      </c>
      <c r="F29" s="91">
        <v>1370396.64</v>
      </c>
      <c r="G29" s="259">
        <v>0.20000000400000001</v>
      </c>
      <c r="H29" s="91">
        <f>ROUND(((+E29-F29)*G29),2)*0.5</f>
        <v>218932.47</v>
      </c>
      <c r="I29" s="91">
        <f>297903.81*0.5</f>
        <v>148951.905</v>
      </c>
      <c r="J29" s="94">
        <f t="shared" si="4"/>
        <v>69980.565000000002</v>
      </c>
      <c r="N29" s="95"/>
    </row>
    <row r="30" spans="1:14">
      <c r="A30" s="32">
        <f t="shared" si="0"/>
        <v>20</v>
      </c>
      <c r="C30" s="90">
        <v>-2</v>
      </c>
      <c r="D30" s="2" t="s">
        <v>359</v>
      </c>
      <c r="E30" s="91"/>
      <c r="F30" s="91"/>
      <c r="G30" s="259">
        <v>0.2</v>
      </c>
      <c r="H30" s="91"/>
      <c r="I30" s="91"/>
      <c r="J30" s="94">
        <f t="shared" si="4"/>
        <v>0</v>
      </c>
      <c r="N30" s="95"/>
    </row>
    <row r="31" spans="1:14">
      <c r="A31" s="32">
        <f t="shared" si="0"/>
        <v>21</v>
      </c>
      <c r="C31" s="90">
        <v>-3</v>
      </c>
      <c r="D31" s="2" t="s">
        <v>360</v>
      </c>
      <c r="E31" s="91"/>
      <c r="F31" s="91"/>
      <c r="G31" s="259">
        <v>0.1</v>
      </c>
      <c r="H31" s="91">
        <f>ROUND(((+E29-F29)*G31),2)*0.48</f>
        <v>105087.58559999999</v>
      </c>
      <c r="I31" s="91">
        <f>297903.81*0.48</f>
        <v>142993.82879999999</v>
      </c>
      <c r="J31" s="94">
        <f t="shared" si="4"/>
        <v>-37906.243199999997</v>
      </c>
      <c r="N31" s="95"/>
    </row>
    <row r="32" spans="1:14">
      <c r="A32" s="32">
        <f t="shared" si="0"/>
        <v>22</v>
      </c>
      <c r="C32" s="90">
        <v>-4</v>
      </c>
      <c r="D32" s="2" t="s">
        <v>361</v>
      </c>
      <c r="E32" s="91"/>
      <c r="F32" s="91"/>
      <c r="G32" s="259">
        <v>7.1400000000000005E-2</v>
      </c>
      <c r="H32" s="91">
        <f>ROUND(((+E29-F29)*G32),2)*0.02</f>
        <v>3126.3555999999999</v>
      </c>
      <c r="I32" s="91">
        <f>297903.81*0.02</f>
        <v>5958.0762000000004</v>
      </c>
      <c r="J32" s="94">
        <f t="shared" si="4"/>
        <v>-2831.7206000000006</v>
      </c>
      <c r="N32" s="95"/>
    </row>
    <row r="33" spans="1:14">
      <c r="A33" s="32">
        <f t="shared" si="0"/>
        <v>23</v>
      </c>
      <c r="C33" s="90">
        <v>393</v>
      </c>
      <c r="D33" s="2" t="s">
        <v>362</v>
      </c>
      <c r="E33" s="91">
        <v>234451.58</v>
      </c>
      <c r="F33" s="91">
        <v>140778.94</v>
      </c>
      <c r="G33" s="259">
        <v>4.4999999999999998E-2</v>
      </c>
      <c r="H33" s="91">
        <f t="shared" si="3"/>
        <v>4215.2700000000004</v>
      </c>
      <c r="I33" s="91">
        <v>9672.9599999999991</v>
      </c>
      <c r="J33" s="94">
        <f t="shared" si="4"/>
        <v>-5457.6899999999987</v>
      </c>
      <c r="N33" s="95"/>
    </row>
    <row r="34" spans="1:14">
      <c r="A34" s="32">
        <f t="shared" si="0"/>
        <v>24</v>
      </c>
      <c r="C34" s="90">
        <v>394</v>
      </c>
      <c r="D34" s="2" t="s">
        <v>141</v>
      </c>
      <c r="E34" s="91">
        <v>11946.96</v>
      </c>
      <c r="F34" s="91">
        <v>11045.41</v>
      </c>
      <c r="G34" s="259">
        <v>4.9919999999999999E-2</v>
      </c>
      <c r="H34" s="91">
        <f t="shared" si="3"/>
        <v>45.01</v>
      </c>
      <c r="I34" s="91">
        <v>38.4</v>
      </c>
      <c r="J34" s="94">
        <f>+H34-I34</f>
        <v>6.6099999999999994</v>
      </c>
      <c r="N34" s="95"/>
    </row>
    <row r="35" spans="1:14">
      <c r="A35" s="32">
        <f t="shared" si="0"/>
        <v>25</v>
      </c>
      <c r="C35" s="43">
        <v>394.1</v>
      </c>
      <c r="D35" s="30" t="s">
        <v>363</v>
      </c>
      <c r="E35" s="91">
        <v>299776.8</v>
      </c>
      <c r="F35" s="91">
        <v>4136.66</v>
      </c>
      <c r="G35" s="259">
        <v>4.1599999999999998E-2</v>
      </c>
      <c r="H35" s="91">
        <f t="shared" si="3"/>
        <v>12298.63</v>
      </c>
      <c r="I35" s="91">
        <v>14958.92</v>
      </c>
      <c r="J35" s="94">
        <f>+H35-I35</f>
        <v>-2660.2900000000009</v>
      </c>
      <c r="N35" s="95"/>
    </row>
    <row r="36" spans="1:14">
      <c r="A36" s="32">
        <f t="shared" si="0"/>
        <v>26</v>
      </c>
      <c r="C36" s="90">
        <v>395</v>
      </c>
      <c r="D36" s="2" t="s">
        <v>142</v>
      </c>
      <c r="E36" s="91">
        <v>75058.42</v>
      </c>
      <c r="F36" s="91">
        <v>33710.769999999997</v>
      </c>
      <c r="G36" s="259">
        <v>3.9960000000000002E-2</v>
      </c>
      <c r="H36" s="91">
        <f t="shared" si="3"/>
        <v>1652.25</v>
      </c>
      <c r="I36" s="91">
        <v>1625.64</v>
      </c>
      <c r="J36" s="94">
        <f t="shared" si="4"/>
        <v>26.6099999999999</v>
      </c>
      <c r="N36" s="95"/>
    </row>
    <row r="37" spans="1:14">
      <c r="A37" s="32">
        <f t="shared" si="0"/>
        <v>27</v>
      </c>
      <c r="C37" s="90">
        <v>396</v>
      </c>
      <c r="D37" s="2" t="s">
        <v>143</v>
      </c>
      <c r="E37" s="91">
        <v>32080.880000000001</v>
      </c>
      <c r="F37" s="91">
        <v>17302</v>
      </c>
      <c r="G37" s="259">
        <v>0.14299999999999999</v>
      </c>
      <c r="H37" s="91">
        <f t="shared" si="3"/>
        <v>2113.38</v>
      </c>
      <c r="I37" s="91">
        <v>4584</v>
      </c>
      <c r="J37" s="94">
        <f t="shared" si="4"/>
        <v>-2470.62</v>
      </c>
      <c r="N37" s="95"/>
    </row>
    <row r="38" spans="1:14">
      <c r="A38" s="32">
        <f t="shared" si="0"/>
        <v>28</v>
      </c>
      <c r="C38" s="90">
        <v>397</v>
      </c>
      <c r="D38" s="2" t="s">
        <v>144</v>
      </c>
      <c r="E38" s="91">
        <v>309821.15000000002</v>
      </c>
      <c r="F38" s="91">
        <v>227192.42</v>
      </c>
      <c r="G38" s="259">
        <v>4.9919999999999999E-2</v>
      </c>
      <c r="H38" s="91">
        <f t="shared" si="3"/>
        <v>4124.83</v>
      </c>
      <c r="I38" s="91">
        <v>13707.19</v>
      </c>
      <c r="J38" s="94">
        <f t="shared" si="4"/>
        <v>-9582.36</v>
      </c>
      <c r="N38" s="95"/>
    </row>
    <row r="39" spans="1:14">
      <c r="A39" s="32">
        <f t="shared" si="0"/>
        <v>29</v>
      </c>
      <c r="C39" s="90">
        <v>398</v>
      </c>
      <c r="D39" s="2" t="s">
        <v>145</v>
      </c>
      <c r="E39" s="91">
        <v>90340.25</v>
      </c>
      <c r="F39" s="91">
        <v>53952.05</v>
      </c>
      <c r="G39" s="259">
        <v>3.9960000000000002E-2</v>
      </c>
      <c r="H39" s="91">
        <f t="shared" si="3"/>
        <v>1454.07</v>
      </c>
      <c r="I39" s="91">
        <v>3133.23</v>
      </c>
      <c r="J39" s="94">
        <f t="shared" si="4"/>
        <v>-1679.16</v>
      </c>
      <c r="N39" s="95"/>
    </row>
    <row r="40" spans="1:14">
      <c r="A40" s="32">
        <f t="shared" si="0"/>
        <v>30</v>
      </c>
      <c r="C40" s="90">
        <v>398.1</v>
      </c>
      <c r="D40" s="30" t="s">
        <v>364</v>
      </c>
      <c r="E40" s="91">
        <v>14689.46</v>
      </c>
      <c r="F40" s="91">
        <v>9827.17</v>
      </c>
      <c r="G40" s="259">
        <v>3.9960000000000002E-2</v>
      </c>
      <c r="H40" s="91">
        <f t="shared" si="3"/>
        <v>194.3</v>
      </c>
      <c r="I40" s="91">
        <v>546.12</v>
      </c>
      <c r="J40" s="94">
        <f t="shared" si="4"/>
        <v>-351.82</v>
      </c>
      <c r="N40" s="95"/>
    </row>
    <row r="41" spans="1:14">
      <c r="A41" s="32">
        <f t="shared" si="0"/>
        <v>31</v>
      </c>
      <c r="D41" s="92" t="s">
        <v>137</v>
      </c>
      <c r="E41" s="96">
        <f>SUM(E26:E40)</f>
        <v>11718127.570000004</v>
      </c>
      <c r="F41" s="96">
        <f>SUM(F26:F40)</f>
        <v>5430253.9399999995</v>
      </c>
      <c r="G41" s="261"/>
      <c r="H41" s="96">
        <f>SUM(H26:H40)</f>
        <v>456894.18120000005</v>
      </c>
      <c r="I41" s="96">
        <f>SUM(I27:I40)</f>
        <v>563802.41999999993</v>
      </c>
      <c r="J41" s="96">
        <f>+H41-I41</f>
        <v>-106908.23879999988</v>
      </c>
    </row>
    <row r="42" spans="1:14">
      <c r="A42" s="32">
        <f t="shared" si="0"/>
        <v>32</v>
      </c>
      <c r="C42" s="54"/>
      <c r="D42" s="92" t="s">
        <v>146</v>
      </c>
      <c r="E42" s="93">
        <f>E23+E41</f>
        <v>124718829.20000002</v>
      </c>
      <c r="F42" s="93">
        <f>F23+F41</f>
        <v>5430253.9399999995</v>
      </c>
      <c r="G42" s="260"/>
      <c r="H42" s="93">
        <f>H23+H41</f>
        <v>4425757.7612000005</v>
      </c>
      <c r="I42" s="93">
        <f>I23+I41</f>
        <v>4477051.6899999995</v>
      </c>
      <c r="J42" s="93">
        <f>J23+J41</f>
        <v>-51293.928799999951</v>
      </c>
    </row>
    <row r="43" spans="1:14">
      <c r="A43" s="32">
        <f t="shared" si="0"/>
        <v>33</v>
      </c>
      <c r="D43" s="97"/>
      <c r="E43" s="98"/>
      <c r="F43" s="98"/>
      <c r="G43" s="262"/>
      <c r="H43" s="98"/>
      <c r="I43" s="98"/>
      <c r="J43" s="98"/>
    </row>
    <row r="44" spans="1:14">
      <c r="A44" s="32">
        <f t="shared" si="0"/>
        <v>34</v>
      </c>
      <c r="D44" s="43" t="s">
        <v>365</v>
      </c>
      <c r="E44" s="95" t="s">
        <v>366</v>
      </c>
      <c r="F44" s="95"/>
      <c r="G44" s="91"/>
      <c r="H44" s="95"/>
      <c r="I44" s="95"/>
      <c r="J44" s="95">
        <f>+SUM(J33:J35)</f>
        <v>-8111.37</v>
      </c>
    </row>
    <row r="45" spans="1:14">
      <c r="A45" s="32">
        <f t="shared" si="0"/>
        <v>35</v>
      </c>
      <c r="N45" s="95"/>
    </row>
    <row r="46" spans="1:14" ht="27.6" customHeight="1">
      <c r="A46" s="32">
        <f t="shared" si="0"/>
        <v>36</v>
      </c>
      <c r="C46" s="307" t="s">
        <v>147</v>
      </c>
      <c r="D46" s="307"/>
      <c r="E46" s="307"/>
      <c r="F46" s="307"/>
      <c r="G46" s="307"/>
      <c r="H46" s="307"/>
      <c r="I46" s="307"/>
      <c r="J46" s="307"/>
      <c r="N46" s="95"/>
    </row>
    <row r="47" spans="1:14">
      <c r="A47" s="32">
        <f t="shared" si="0"/>
        <v>37</v>
      </c>
      <c r="C47" s="52"/>
      <c r="D47" s="52"/>
      <c r="E47" s="52"/>
      <c r="F47" s="52"/>
      <c r="G47" s="52"/>
      <c r="H47" s="52"/>
      <c r="I47" s="52"/>
      <c r="J47" s="52"/>
      <c r="N47" s="95"/>
    </row>
    <row r="48" spans="1:14">
      <c r="A48" s="32">
        <f t="shared" si="0"/>
        <v>38</v>
      </c>
      <c r="D48" s="30" t="s">
        <v>146</v>
      </c>
      <c r="E48" s="94" t="s">
        <v>367</v>
      </c>
      <c r="J48" s="99">
        <f>+J42-J44</f>
        <v>-43182.558799999948</v>
      </c>
      <c r="N48" s="95"/>
    </row>
    <row r="49" spans="1:10">
      <c r="A49" s="32">
        <f t="shared" si="0"/>
        <v>39</v>
      </c>
      <c r="D49" s="30" t="s">
        <v>368</v>
      </c>
      <c r="E49" s="94" t="s">
        <v>369</v>
      </c>
      <c r="I49" s="95"/>
      <c r="J49" s="99">
        <f>+J44*0.55</f>
        <v>-4461.2535000000007</v>
      </c>
    </row>
    <row r="50" spans="1:10">
      <c r="A50" s="32">
        <f t="shared" si="0"/>
        <v>40</v>
      </c>
      <c r="D50" s="30" t="s">
        <v>148</v>
      </c>
      <c r="E50" s="94" t="s">
        <v>370</v>
      </c>
      <c r="J50" s="100">
        <f>+J48+J49</f>
        <v>-47643.812299999947</v>
      </c>
    </row>
    <row r="51" spans="1:10">
      <c r="A51" s="32"/>
    </row>
    <row r="52" spans="1:10">
      <c r="A52" s="32"/>
      <c r="D52" s="101"/>
      <c r="E52" s="95"/>
      <c r="F52" s="95"/>
      <c r="G52" s="91"/>
      <c r="H52" s="95"/>
      <c r="I52" s="95"/>
      <c r="J52" s="95"/>
    </row>
    <row r="53" spans="1:10">
      <c r="A53" s="32"/>
    </row>
    <row r="54" spans="1:10">
      <c r="A54" s="32"/>
      <c r="D54" s="56"/>
      <c r="E54" s="95"/>
      <c r="F54" s="102"/>
      <c r="G54" s="1"/>
      <c r="H54" s="102"/>
      <c r="I54" s="102"/>
      <c r="J54" s="98"/>
    </row>
  </sheetData>
  <mergeCells count="4">
    <mergeCell ref="A3:J3"/>
    <mergeCell ref="A4:J4"/>
    <mergeCell ref="A6:J6"/>
    <mergeCell ref="C46:J46"/>
  </mergeCells>
  <printOptions horizontalCentered="1"/>
  <pageMargins left="1" right="0.75" top="0.75" bottom="0.5" header="0.5" footer="0.5"/>
  <pageSetup scale="71" orientation="portrait" r:id="rId1"/>
  <headerFooter alignWithMargins="0">
    <oddFooter>&amp;RExhibit  JW-2
Page &amp;P of &amp;N</oddFooter>
  </headerFooter>
  <ignoredErrors>
    <ignoredError sqref="C9:J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79998168889431442"/>
    <pageSetUpPr fitToPage="1"/>
  </sheetPr>
  <dimension ref="A1:L29"/>
  <sheetViews>
    <sheetView view="pageBreakPreview" zoomScaleNormal="100" zoomScaleSheetLayoutView="100" workbookViewId="0">
      <selection activeCell="C2" sqref="C2"/>
    </sheetView>
  </sheetViews>
  <sheetFormatPr defaultColWidth="8.88671875" defaultRowHeight="13.2"/>
  <cols>
    <col min="1" max="1" width="8.88671875" style="30"/>
    <col min="2" max="2" width="60.6640625" style="30" customWidth="1"/>
    <col min="3" max="3" width="23.5546875" style="30" customWidth="1"/>
    <col min="4" max="12" width="18.109375" style="30" customWidth="1"/>
    <col min="13" max="13" width="10.5546875" style="30" bestFit="1" customWidth="1"/>
    <col min="14" max="16384" width="8.88671875" style="30"/>
  </cols>
  <sheetData>
    <row r="1" spans="1:12">
      <c r="C1" s="19" t="s">
        <v>153</v>
      </c>
    </row>
    <row r="2" spans="1:12">
      <c r="C2" s="284" t="s">
        <v>455</v>
      </c>
      <c r="K2" s="19"/>
    </row>
    <row r="3" spans="1:12">
      <c r="K3" s="19"/>
    </row>
    <row r="4" spans="1:12">
      <c r="A4" s="308" t="s">
        <v>310</v>
      </c>
      <c r="B4" s="308"/>
      <c r="C4" s="308"/>
      <c r="D4" s="27"/>
      <c r="E4" s="27"/>
      <c r="F4" s="27"/>
      <c r="G4" s="27"/>
      <c r="H4" s="27"/>
      <c r="I4" s="27"/>
      <c r="J4" s="27"/>
      <c r="K4" s="27"/>
    </row>
    <row r="5" spans="1:12">
      <c r="A5" s="308" t="s">
        <v>284</v>
      </c>
      <c r="B5" s="308"/>
      <c r="C5" s="308"/>
      <c r="D5" s="27"/>
      <c r="E5" s="27"/>
      <c r="F5" s="27"/>
      <c r="G5" s="27"/>
      <c r="H5" s="27"/>
      <c r="I5" s="27"/>
      <c r="J5" s="27"/>
      <c r="K5" s="27"/>
      <c r="L5" s="27"/>
    </row>
    <row r="6" spans="1:1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>
      <c r="A7" s="306" t="s">
        <v>150</v>
      </c>
      <c r="B7" s="306"/>
      <c r="C7" s="306"/>
      <c r="D7" s="29"/>
      <c r="E7" s="29"/>
      <c r="F7" s="29"/>
      <c r="G7" s="29"/>
      <c r="H7" s="29"/>
      <c r="I7" s="29"/>
      <c r="J7" s="29"/>
      <c r="K7" s="29"/>
    </row>
    <row r="8" spans="1:12">
      <c r="A8" s="31"/>
      <c r="B8" s="31"/>
      <c r="C8" s="31"/>
      <c r="D8" s="29"/>
      <c r="E8" s="29"/>
      <c r="F8" s="29"/>
      <c r="G8" s="29"/>
      <c r="H8" s="29"/>
      <c r="I8" s="29"/>
      <c r="J8" s="29"/>
      <c r="K8" s="29"/>
    </row>
    <row r="9" spans="1:12">
      <c r="B9" s="32" t="s">
        <v>371</v>
      </c>
      <c r="C9" s="88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103" t="s">
        <v>10</v>
      </c>
      <c r="B10" s="82" t="s">
        <v>85</v>
      </c>
      <c r="C10" s="60" t="s">
        <v>151</v>
      </c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A11" s="43"/>
      <c r="B11" s="5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>
      <c r="A12" s="43">
        <v>1</v>
      </c>
      <c r="B12" s="43" t="s">
        <v>152</v>
      </c>
      <c r="C12" s="104">
        <v>1934951.35</v>
      </c>
      <c r="D12" s="77"/>
      <c r="E12" s="292"/>
      <c r="F12" s="76"/>
      <c r="G12" s="76"/>
      <c r="H12" s="76"/>
      <c r="I12" s="76"/>
      <c r="J12" s="76"/>
      <c r="K12" s="76"/>
      <c r="L12" s="76"/>
    </row>
    <row r="13" spans="1:12">
      <c r="A13" s="43">
        <f>A12+1</f>
        <v>2</v>
      </c>
      <c r="B13" s="43" t="s">
        <v>372</v>
      </c>
      <c r="C13" s="263">
        <v>2126357</v>
      </c>
      <c r="D13" s="77"/>
      <c r="E13" s="76"/>
      <c r="F13" s="76"/>
      <c r="G13" s="76"/>
      <c r="H13" s="76"/>
      <c r="I13" s="76"/>
      <c r="J13" s="76"/>
      <c r="K13" s="76"/>
      <c r="L13" s="76"/>
    </row>
    <row r="14" spans="1:12">
      <c r="A14" s="43">
        <f>A13+1</f>
        <v>3</v>
      </c>
      <c r="B14" s="105" t="s">
        <v>462</v>
      </c>
      <c r="C14" s="293">
        <f>+C13-C12</f>
        <v>191405.64999999991</v>
      </c>
      <c r="D14" s="77"/>
      <c r="E14" s="76"/>
      <c r="F14" s="76"/>
      <c r="G14" s="76"/>
      <c r="H14" s="76"/>
      <c r="I14" s="76"/>
      <c r="J14" s="76"/>
      <c r="K14" s="76"/>
      <c r="L14" s="76"/>
    </row>
    <row r="15" spans="1:12">
      <c r="A15" s="43"/>
      <c r="B15" s="32"/>
      <c r="C15" s="294"/>
      <c r="D15" s="77"/>
      <c r="E15" s="76"/>
      <c r="F15" s="76"/>
      <c r="G15" s="76"/>
      <c r="H15" s="76"/>
      <c r="I15" s="76"/>
      <c r="J15" s="76"/>
      <c r="K15" s="76"/>
      <c r="L15" s="76"/>
    </row>
    <row r="16" spans="1:12">
      <c r="A16" s="295">
        <f>A14+1</f>
        <v>4</v>
      </c>
      <c r="B16" s="295" t="s">
        <v>463</v>
      </c>
      <c r="C16" s="296">
        <v>354.9</v>
      </c>
      <c r="D16" s="77"/>
      <c r="E16" s="76"/>
      <c r="F16" s="76"/>
      <c r="G16" s="76"/>
      <c r="H16" s="76"/>
      <c r="I16" s="76"/>
      <c r="J16" s="76"/>
      <c r="K16" s="76"/>
      <c r="L16" s="76"/>
    </row>
    <row r="17" spans="1:12">
      <c r="A17" s="295">
        <f t="shared" ref="A17:A18" si="0">A16+1</f>
        <v>5</v>
      </c>
      <c r="B17" s="287" t="s">
        <v>464</v>
      </c>
      <c r="C17" s="297">
        <v>385</v>
      </c>
      <c r="D17" s="79"/>
      <c r="E17" s="79"/>
      <c r="F17" s="79"/>
      <c r="G17" s="79"/>
      <c r="H17" s="79"/>
      <c r="I17" s="79"/>
      <c r="J17" s="79"/>
      <c r="K17" s="79"/>
      <c r="L17" s="79"/>
    </row>
    <row r="18" spans="1:12">
      <c r="A18" s="295">
        <f t="shared" si="0"/>
        <v>6</v>
      </c>
      <c r="B18" s="298" t="s">
        <v>465</v>
      </c>
      <c r="C18" s="297">
        <f>C17-C16</f>
        <v>30.100000000000023</v>
      </c>
      <c r="D18" s="80"/>
      <c r="E18" s="80"/>
      <c r="F18" s="80"/>
      <c r="G18" s="80"/>
      <c r="H18" s="80"/>
    </row>
    <row r="19" spans="1:12">
      <c r="A19" s="295"/>
      <c r="B19" s="299" t="s">
        <v>466</v>
      </c>
      <c r="C19" s="300">
        <v>135483</v>
      </c>
      <c r="D19" s="57"/>
      <c r="E19" s="80"/>
      <c r="F19" s="80"/>
      <c r="G19" s="80"/>
      <c r="H19" s="80"/>
    </row>
    <row r="20" spans="1:12">
      <c r="A20" s="295"/>
      <c r="B20" s="301" t="s">
        <v>467</v>
      </c>
      <c r="C20" s="302">
        <f>C19+C14</f>
        <v>326888.64999999991</v>
      </c>
      <c r="D20" s="80"/>
      <c r="E20" s="80"/>
      <c r="F20" s="80"/>
      <c r="G20" s="80"/>
      <c r="H20" s="80"/>
    </row>
    <row r="21" spans="1:12">
      <c r="C21" s="80"/>
      <c r="D21" s="80"/>
      <c r="E21" s="80"/>
      <c r="F21" s="80"/>
      <c r="G21" s="80"/>
      <c r="H21" s="80"/>
    </row>
    <row r="22" spans="1:12">
      <c r="B22" s="30" t="s">
        <v>373</v>
      </c>
      <c r="C22" s="81"/>
      <c r="D22" s="81"/>
      <c r="E22" s="81"/>
      <c r="F22" s="81"/>
      <c r="G22" s="81"/>
      <c r="H22" s="81"/>
    </row>
    <row r="23" spans="1:12">
      <c r="C23" s="81"/>
      <c r="D23" s="81"/>
      <c r="E23" s="81"/>
      <c r="F23" s="81"/>
      <c r="G23" s="81"/>
      <c r="H23" s="81"/>
    </row>
    <row r="24" spans="1:12">
      <c r="C24" s="81"/>
      <c r="D24" s="81"/>
      <c r="E24" s="81"/>
      <c r="F24" s="81"/>
      <c r="G24" s="81"/>
      <c r="H24" s="81"/>
    </row>
    <row r="25" spans="1:12">
      <c r="C25" s="81"/>
      <c r="D25" s="81"/>
      <c r="E25" s="81"/>
      <c r="F25" s="81"/>
      <c r="G25" s="81"/>
      <c r="H25" s="45"/>
    </row>
    <row r="26" spans="1:12">
      <c r="C26" s="81"/>
      <c r="D26" s="81"/>
      <c r="E26" s="81"/>
      <c r="F26" s="81"/>
      <c r="G26" s="81"/>
      <c r="H26" s="81"/>
    </row>
    <row r="27" spans="1:12">
      <c r="C27" s="81"/>
      <c r="D27" s="81"/>
      <c r="E27" s="81"/>
      <c r="F27" s="81"/>
      <c r="G27" s="81"/>
      <c r="H27" s="81"/>
    </row>
    <row r="28" spans="1:12">
      <c r="C28" s="81"/>
      <c r="D28" s="81"/>
      <c r="E28" s="81"/>
      <c r="F28" s="81"/>
      <c r="G28" s="81"/>
      <c r="H28" s="81"/>
    </row>
    <row r="29" spans="1:12">
      <c r="C29" s="81"/>
      <c r="D29" s="81"/>
      <c r="E29" s="81"/>
      <c r="F29" s="81"/>
      <c r="G29" s="81"/>
      <c r="H29" s="81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RevReq</vt:lpstr>
      <vt:lpstr>Adj List</vt:lpstr>
      <vt:lpstr>Adj BS</vt:lpstr>
      <vt:lpstr>Adj IS</vt:lpstr>
      <vt:lpstr>1.01 FAC</vt:lpstr>
      <vt:lpstr>1.02 ES</vt:lpstr>
      <vt:lpstr>1.03 Int Exp</vt:lpstr>
      <vt:lpstr>1.04 Depr</vt:lpstr>
      <vt:lpstr>1.05 ROW</vt:lpstr>
      <vt:lpstr>1.06 YearEndCust</vt:lpstr>
      <vt:lpstr>1.07 GTCC</vt:lpstr>
      <vt:lpstr>1.08 DonAdsDues</vt:lpstr>
      <vt:lpstr>1.09 Dir</vt:lpstr>
      <vt:lpstr>1.10 Wages and Salaries</vt:lpstr>
      <vt:lpstr>1.11 401k</vt:lpstr>
      <vt:lpstr>1.12 Healthcare</vt:lpstr>
      <vt:lpstr>1.13 RateCase</vt:lpstr>
      <vt:lpstr>1.14 LifeInsur</vt:lpstr>
      <vt:lpstr>'1.01 FAC'!Print_Area</vt:lpstr>
      <vt:lpstr>'1.02 ES'!Print_Area</vt:lpstr>
      <vt:lpstr>'1.03 Int Exp'!Print_Area</vt:lpstr>
      <vt:lpstr>'1.04 Depr'!Print_Area</vt:lpstr>
      <vt:lpstr>'1.05 ROW'!Print_Area</vt:lpstr>
      <vt:lpstr>'1.07 GTCC'!Print_Area</vt:lpstr>
      <vt:lpstr>'1.08 DonAdsDues'!Print_Area</vt:lpstr>
      <vt:lpstr>'1.09 Dir'!Print_Area</vt:lpstr>
      <vt:lpstr>'1.10 Wages and Salaries'!Print_Area</vt:lpstr>
      <vt:lpstr>'1.11 401k'!Print_Area</vt:lpstr>
      <vt:lpstr>'1.12 Healthcare'!Print_Area</vt:lpstr>
      <vt:lpstr>'1.14 LifeInsur'!Print_Area</vt:lpstr>
      <vt:lpstr>'Adj IS'!Print_Area</vt:lpstr>
      <vt:lpstr>'Adj List'!Print_Area</vt:lpstr>
      <vt:lpstr>RevReq!Print_Area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2023-07-28T14:45:14Z</cp:lastPrinted>
  <dcterms:created xsi:type="dcterms:W3CDTF">2022-03-04T20:02:55Z</dcterms:created>
  <dcterms:modified xsi:type="dcterms:W3CDTF">2023-12-22T19:58:33Z</dcterms:modified>
</cp:coreProperties>
</file>