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leming Mason/2022 Rate Case 2023-00223/COS ^0 Rates/"/>
    </mc:Choice>
  </mc:AlternateContent>
  <xr:revisionPtr revIDLastSave="20" documentId="8_{1715ED60-E043-4CA9-B62C-8C893BE27618}" xr6:coauthVersionLast="47" xr6:coauthVersionMax="47" xr10:uidLastSave="{9987FEC0-6FF2-4D15-BA49-EDEC9F404A89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Detail'!$A$1:$K$237</definedName>
    <definedName name="_xlnm.Print_Area" localSheetId="2">'Notice Table'!$A$1:$G$96</definedName>
    <definedName name="_xlnm.Print_Area" localSheetId="0">Summary!$A$1:$H$25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iterate="1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H58" i="1"/>
  <c r="H60" i="1"/>
  <c r="H59" i="1"/>
  <c r="H74" i="1"/>
  <c r="H73" i="1"/>
  <c r="H72" i="1"/>
  <c r="G13" i="3" l="1"/>
  <c r="H13" i="3" s="1"/>
  <c r="F13" i="3"/>
  <c r="E13" i="3"/>
  <c r="H34" i="1"/>
  <c r="G34" i="1"/>
  <c r="E34" i="1"/>
  <c r="I151" i="1"/>
  <c r="F21" i="1"/>
  <c r="F15" i="3"/>
  <c r="F12" i="3"/>
  <c r="H177" i="1"/>
  <c r="H164" i="1"/>
  <c r="H149" i="1"/>
  <c r="G16" i="3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E16" i="3"/>
  <c r="F16" i="3"/>
  <c r="E17" i="3"/>
  <c r="F17" i="3"/>
  <c r="E15" i="3"/>
  <c r="D14" i="3"/>
  <c r="C14" i="3"/>
  <c r="C10" i="3"/>
  <c r="F23" i="2"/>
  <c r="E68" i="1"/>
  <c r="E84" i="3" s="1"/>
  <c r="E55" i="1"/>
  <c r="E83" i="3" s="1"/>
  <c r="E43" i="1"/>
  <c r="E82" i="3" s="1"/>
  <c r="E30" i="1"/>
  <c r="E81" i="3" s="1"/>
  <c r="H9" i="1"/>
  <c r="H47" i="1" s="1"/>
  <c r="G15" i="3"/>
  <c r="H46" i="1"/>
  <c r="H20" i="1"/>
  <c r="G21" i="1" l="1"/>
  <c r="I34" i="1"/>
  <c r="J34" i="1" s="1"/>
  <c r="K34" i="1" s="1"/>
  <c r="H21" i="1"/>
  <c r="I21" i="1" s="1"/>
  <c r="J21" i="1" s="1"/>
  <c r="K21" i="1" s="1"/>
  <c r="H16" i="3"/>
  <c r="H15" i="3"/>
  <c r="H35" i="1"/>
  <c r="G12" i="3" s="1"/>
  <c r="D80" i="3" l="1"/>
  <c r="C80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D58" i="3"/>
  <c r="C58" i="3"/>
  <c r="G103" i="1" l="1"/>
  <c r="G102" i="1"/>
  <c r="G229" i="1" s="1"/>
  <c r="E100" i="1"/>
  <c r="E99" i="1"/>
  <c r="E98" i="1"/>
  <c r="J232" i="1"/>
  <c r="G230" i="1"/>
  <c r="G231" i="1"/>
  <c r="G232" i="1"/>
  <c r="G203" i="1" l="1"/>
  <c r="G202" i="1"/>
  <c r="P202" i="1" s="1"/>
  <c r="G204" i="1"/>
  <c r="G149" i="1" l="1"/>
  <c r="H150" i="1"/>
  <c r="I150" i="1" s="1"/>
  <c r="G150" i="1"/>
  <c r="G59" i="1"/>
  <c r="F11" i="3"/>
  <c r="F20" i="1"/>
  <c r="E186" i="1"/>
  <c r="E92" i="3" s="1"/>
  <c r="G184" i="1"/>
  <c r="I183" i="1"/>
  <c r="I182" i="1"/>
  <c r="J182" i="1" s="1"/>
  <c r="I181" i="1"/>
  <c r="J181" i="1" s="1"/>
  <c r="I180" i="1"/>
  <c r="J180" i="1" s="1"/>
  <c r="H178" i="1"/>
  <c r="G177" i="1"/>
  <c r="H176" i="1"/>
  <c r="G176" i="1"/>
  <c r="E199" i="1"/>
  <c r="E93" i="3" s="1"/>
  <c r="G197" i="1"/>
  <c r="I196" i="1"/>
  <c r="I195" i="1"/>
  <c r="J195" i="1" s="1"/>
  <c r="I194" i="1"/>
  <c r="J194" i="1" s="1"/>
  <c r="I193" i="1"/>
  <c r="J193" i="1" s="1"/>
  <c r="G191" i="1"/>
  <c r="H190" i="1"/>
  <c r="I190" i="1" s="1"/>
  <c r="G190" i="1"/>
  <c r="H189" i="1"/>
  <c r="G189" i="1"/>
  <c r="E173" i="1"/>
  <c r="E91" i="3" s="1"/>
  <c r="G171" i="1"/>
  <c r="I170" i="1"/>
  <c r="I169" i="1"/>
  <c r="J169" i="1" s="1"/>
  <c r="I168" i="1"/>
  <c r="J168" i="1" s="1"/>
  <c r="I167" i="1"/>
  <c r="J167" i="1" s="1"/>
  <c r="G165" i="1"/>
  <c r="I164" i="1"/>
  <c r="G164" i="1"/>
  <c r="H163" i="1"/>
  <c r="G163" i="1"/>
  <c r="E160" i="1"/>
  <c r="E90" i="3" s="1"/>
  <c r="G158" i="1"/>
  <c r="I157" i="1"/>
  <c r="I156" i="1"/>
  <c r="J156" i="1" s="1"/>
  <c r="I155" i="1"/>
  <c r="J155" i="1" s="1"/>
  <c r="I154" i="1"/>
  <c r="J154" i="1" s="1"/>
  <c r="G152" i="1"/>
  <c r="H148" i="1"/>
  <c r="G148" i="1"/>
  <c r="G66" i="1"/>
  <c r="I65" i="1"/>
  <c r="I64" i="1"/>
  <c r="J64" i="1" s="1"/>
  <c r="I63" i="1"/>
  <c r="J63" i="1" s="1"/>
  <c r="I62" i="1"/>
  <c r="G60" i="1"/>
  <c r="I58" i="1"/>
  <c r="G58" i="1"/>
  <c r="G53" i="1"/>
  <c r="I52" i="1"/>
  <c r="I51" i="1"/>
  <c r="I50" i="1"/>
  <c r="J50" i="1" s="1"/>
  <c r="I49" i="1"/>
  <c r="J49" i="1" s="1"/>
  <c r="I47" i="1"/>
  <c r="G47" i="1"/>
  <c r="G46" i="1"/>
  <c r="G41" i="1"/>
  <c r="I40" i="1"/>
  <c r="I39" i="1"/>
  <c r="J39" i="1" s="1"/>
  <c r="I38" i="1"/>
  <c r="I37" i="1"/>
  <c r="J37" i="1" s="1"/>
  <c r="G35" i="1"/>
  <c r="H216" i="1"/>
  <c r="H215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204" i="1"/>
  <c r="H203" i="1"/>
  <c r="H202" i="1"/>
  <c r="H112" i="1"/>
  <c r="H111" i="1"/>
  <c r="H100" i="1"/>
  <c r="H99" i="1"/>
  <c r="H98" i="1"/>
  <c r="H87" i="1"/>
  <c r="H86" i="1"/>
  <c r="H85" i="1"/>
  <c r="H22" i="1"/>
  <c r="I60" i="1" l="1"/>
  <c r="J60" i="1" s="1"/>
  <c r="K60" i="1" s="1"/>
  <c r="G17" i="3"/>
  <c r="H17" i="3" s="1"/>
  <c r="G33" i="1"/>
  <c r="G36" i="1" s="1"/>
  <c r="G42" i="1" s="1"/>
  <c r="H33" i="1"/>
  <c r="G11" i="3" s="1"/>
  <c r="J150" i="1"/>
  <c r="K150" i="1" s="1"/>
  <c r="I149" i="1"/>
  <c r="J149" i="1" s="1"/>
  <c r="K149" i="1" s="1"/>
  <c r="J151" i="1"/>
  <c r="K151" i="1" s="1"/>
  <c r="G48" i="1"/>
  <c r="G54" i="1" s="1"/>
  <c r="G61" i="1"/>
  <c r="G67" i="1" s="1"/>
  <c r="G192" i="1"/>
  <c r="G198" i="1" s="1"/>
  <c r="I59" i="1"/>
  <c r="J59" i="1" s="1"/>
  <c r="K59" i="1" s="1"/>
  <c r="J190" i="1"/>
  <c r="K190" i="1" s="1"/>
  <c r="I176" i="1"/>
  <c r="J176" i="1" s="1"/>
  <c r="K176" i="1" s="1"/>
  <c r="H165" i="1"/>
  <c r="I165" i="1" s="1"/>
  <c r="J165" i="1" s="1"/>
  <c r="K165" i="1" s="1"/>
  <c r="G178" i="1"/>
  <c r="G179" i="1" s="1"/>
  <c r="G185" i="1" s="1"/>
  <c r="I184" i="1"/>
  <c r="J184" i="1" s="1"/>
  <c r="K184" i="1" s="1"/>
  <c r="H191" i="1"/>
  <c r="I191" i="1" s="1"/>
  <c r="J191" i="1" s="1"/>
  <c r="K191" i="1" s="1"/>
  <c r="I197" i="1"/>
  <c r="J197" i="1" s="1"/>
  <c r="K197" i="1" s="1"/>
  <c r="I177" i="1"/>
  <c r="J177" i="1" s="1"/>
  <c r="K177" i="1" s="1"/>
  <c r="I178" i="1"/>
  <c r="J164" i="1"/>
  <c r="K164" i="1" s="1"/>
  <c r="I189" i="1"/>
  <c r="I148" i="1"/>
  <c r="J148" i="1" s="1"/>
  <c r="K148" i="1" s="1"/>
  <c r="I171" i="1"/>
  <c r="J171" i="1" s="1"/>
  <c r="K171" i="1" s="1"/>
  <c r="H152" i="1"/>
  <c r="G166" i="1"/>
  <c r="G172" i="1" s="1"/>
  <c r="I163" i="1"/>
  <c r="I158" i="1"/>
  <c r="J158" i="1" s="1"/>
  <c r="K158" i="1" s="1"/>
  <c r="G153" i="1"/>
  <c r="G159" i="1" s="1"/>
  <c r="J58" i="1"/>
  <c r="K58" i="1" s="1"/>
  <c r="I35" i="1"/>
  <c r="J35" i="1" s="1"/>
  <c r="K35" i="1" s="1"/>
  <c r="I66" i="1"/>
  <c r="J66" i="1" s="1"/>
  <c r="K66" i="1" s="1"/>
  <c r="I46" i="1"/>
  <c r="J62" i="1"/>
  <c r="I53" i="1"/>
  <c r="J53" i="1" s="1"/>
  <c r="K53" i="1" s="1"/>
  <c r="J47" i="1"/>
  <c r="K47" i="1" s="1"/>
  <c r="J51" i="1"/>
  <c r="I41" i="1"/>
  <c r="J38" i="1"/>
  <c r="G20" i="1"/>
  <c r="D10" i="2" l="1"/>
  <c r="G68" i="1"/>
  <c r="D8" i="2"/>
  <c r="G43" i="1"/>
  <c r="D9" i="2"/>
  <c r="G55" i="1"/>
  <c r="I33" i="1"/>
  <c r="J33" i="1" s="1"/>
  <c r="K33" i="1" s="1"/>
  <c r="I61" i="1"/>
  <c r="J61" i="1" s="1"/>
  <c r="K61" i="1" s="1"/>
  <c r="L61" i="1" s="1"/>
  <c r="J46" i="1"/>
  <c r="K46" i="1" s="1"/>
  <c r="I48" i="1"/>
  <c r="J48" i="1" s="1"/>
  <c r="K48" i="1" s="1"/>
  <c r="L48" i="1" s="1"/>
  <c r="G186" i="1"/>
  <c r="D18" i="2"/>
  <c r="G173" i="1"/>
  <c r="D17" i="2"/>
  <c r="G199" i="1"/>
  <c r="D19" i="2"/>
  <c r="G160" i="1"/>
  <c r="D16" i="2"/>
  <c r="J178" i="1"/>
  <c r="K178" i="1" s="1"/>
  <c r="I179" i="1"/>
  <c r="I192" i="1"/>
  <c r="J189" i="1"/>
  <c r="K189" i="1" s="1"/>
  <c r="I152" i="1"/>
  <c r="J152" i="1" s="1"/>
  <c r="K152" i="1" s="1"/>
  <c r="I166" i="1"/>
  <c r="J163" i="1"/>
  <c r="K163" i="1" s="1"/>
  <c r="J41" i="1"/>
  <c r="K41" i="1" s="1"/>
  <c r="I67" i="1" l="1"/>
  <c r="J67" i="1" s="1"/>
  <c r="I36" i="1"/>
  <c r="J36" i="1" s="1"/>
  <c r="K36" i="1" s="1"/>
  <c r="L36" i="1" s="1"/>
  <c r="I54" i="1"/>
  <c r="J54" i="1" s="1"/>
  <c r="I153" i="1"/>
  <c r="I159" i="1" s="1"/>
  <c r="J179" i="1"/>
  <c r="K179" i="1" s="1"/>
  <c r="L179" i="1" s="1"/>
  <c r="I185" i="1"/>
  <c r="E18" i="2" s="1"/>
  <c r="J192" i="1"/>
  <c r="K192" i="1" s="1"/>
  <c r="L192" i="1" s="1"/>
  <c r="I198" i="1"/>
  <c r="E19" i="2" s="1"/>
  <c r="J166" i="1"/>
  <c r="K166" i="1" s="1"/>
  <c r="L166" i="1" s="1"/>
  <c r="I172" i="1"/>
  <c r="E17" i="2" s="1"/>
  <c r="E16" i="2" l="1"/>
  <c r="J159" i="1"/>
  <c r="F16" i="2" s="1"/>
  <c r="F68" i="3" s="1"/>
  <c r="F9" i="2"/>
  <c r="F61" i="3" s="1"/>
  <c r="I55" i="1"/>
  <c r="J55" i="1" s="1"/>
  <c r="E10" i="2"/>
  <c r="I68" i="1"/>
  <c r="J68" i="1" s="1"/>
  <c r="I42" i="1"/>
  <c r="J42" i="1" s="1"/>
  <c r="K67" i="1"/>
  <c r="J153" i="1"/>
  <c r="K153" i="1" s="1"/>
  <c r="L153" i="1" s="1"/>
  <c r="E9" i="2"/>
  <c r="J185" i="1"/>
  <c r="F18" i="2" s="1"/>
  <c r="F70" i="3" s="1"/>
  <c r="I186" i="1"/>
  <c r="J198" i="1"/>
  <c r="F19" i="2" s="1"/>
  <c r="F71" i="3" s="1"/>
  <c r="I199" i="1"/>
  <c r="J172" i="1"/>
  <c r="F17" i="2" s="1"/>
  <c r="F69" i="3" s="1"/>
  <c r="I173" i="1"/>
  <c r="I160" i="1"/>
  <c r="K54" i="1" l="1"/>
  <c r="L54" i="1" s="1"/>
  <c r="H10" i="2"/>
  <c r="F84" i="3" s="1"/>
  <c r="K68" i="1"/>
  <c r="F8" i="2"/>
  <c r="F60" i="3" s="1"/>
  <c r="I43" i="1"/>
  <c r="J43" i="1" s="1"/>
  <c r="K55" i="1"/>
  <c r="H9" i="2"/>
  <c r="F83" i="3" s="1"/>
  <c r="F10" i="2"/>
  <c r="F62" i="3" s="1"/>
  <c r="E8" i="2"/>
  <c r="K185" i="1"/>
  <c r="G18" i="2" s="1"/>
  <c r="J186" i="1"/>
  <c r="H18" i="2" s="1"/>
  <c r="F92" i="3" s="1"/>
  <c r="K198" i="1"/>
  <c r="G19" i="2" s="1"/>
  <c r="J199" i="1"/>
  <c r="H19" i="2" s="1"/>
  <c r="F93" i="3" s="1"/>
  <c r="K172" i="1"/>
  <c r="G17" i="2" s="1"/>
  <c r="J173" i="1"/>
  <c r="H17" i="2" s="1"/>
  <c r="F91" i="3" s="1"/>
  <c r="K159" i="1"/>
  <c r="G16" i="2" s="1"/>
  <c r="J160" i="1"/>
  <c r="H16" i="2" s="1"/>
  <c r="F90" i="3" s="1"/>
  <c r="L67" i="1"/>
  <c r="G10" i="2"/>
  <c r="E212" i="1"/>
  <c r="E94" i="3" s="1"/>
  <c r="E120" i="1"/>
  <c r="E88" i="3" s="1"/>
  <c r="E108" i="1"/>
  <c r="E87" i="3" s="1"/>
  <c r="E95" i="1"/>
  <c r="E86" i="3" s="1"/>
  <c r="E82" i="1"/>
  <c r="E85" i="3" s="1"/>
  <c r="G9" i="2" l="1"/>
  <c r="G61" i="3" s="1"/>
  <c r="K42" i="1"/>
  <c r="G8" i="2" s="1"/>
  <c r="G60" i="3" s="1"/>
  <c r="G68" i="3"/>
  <c r="G90" i="3"/>
  <c r="G69" i="3"/>
  <c r="G91" i="3"/>
  <c r="G71" i="3"/>
  <c r="G93" i="3"/>
  <c r="G70" i="3"/>
  <c r="G92" i="3"/>
  <c r="H8" i="2"/>
  <c r="F82" i="3" s="1"/>
  <c r="K43" i="1"/>
  <c r="G62" i="3"/>
  <c r="G84" i="3"/>
  <c r="K186" i="1"/>
  <c r="L185" i="1"/>
  <c r="L198" i="1"/>
  <c r="K199" i="1"/>
  <c r="L172" i="1"/>
  <c r="K173" i="1"/>
  <c r="K160" i="1"/>
  <c r="L159" i="1"/>
  <c r="D50" i="3"/>
  <c r="E50" i="3"/>
  <c r="F50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F35" i="3"/>
  <c r="E35" i="3"/>
  <c r="D35" i="3"/>
  <c r="C34" i="3"/>
  <c r="D34" i="3"/>
  <c r="E33" i="3"/>
  <c r="F33" i="3"/>
  <c r="F32" i="3"/>
  <c r="E32" i="3"/>
  <c r="C31" i="3"/>
  <c r="D31" i="3"/>
  <c r="E29" i="3"/>
  <c r="F29" i="3"/>
  <c r="E30" i="3"/>
  <c r="F30" i="3"/>
  <c r="F28" i="3"/>
  <c r="E28" i="3"/>
  <c r="C27" i="3"/>
  <c r="D27" i="3"/>
  <c r="E25" i="3"/>
  <c r="F25" i="3"/>
  <c r="E26" i="3"/>
  <c r="F26" i="3"/>
  <c r="F24" i="3"/>
  <c r="E24" i="3"/>
  <c r="C23" i="3"/>
  <c r="D23" i="3"/>
  <c r="E20" i="3"/>
  <c r="F20" i="3"/>
  <c r="E21" i="3"/>
  <c r="F21" i="3"/>
  <c r="E22" i="3"/>
  <c r="F22" i="3"/>
  <c r="F19" i="3"/>
  <c r="E19" i="3"/>
  <c r="C18" i="3"/>
  <c r="D18" i="3"/>
  <c r="F9" i="3"/>
  <c r="E9" i="3"/>
  <c r="C8" i="3"/>
  <c r="D8" i="3"/>
  <c r="F7" i="3"/>
  <c r="F6" i="3"/>
  <c r="E7" i="3"/>
  <c r="E12" i="3" s="1"/>
  <c r="E6" i="3"/>
  <c r="E11" i="3" s="1"/>
  <c r="C5" i="3"/>
  <c r="D5" i="3"/>
  <c r="A1" i="3"/>
  <c r="G83" i="3" l="1"/>
  <c r="G82" i="3"/>
  <c r="L42" i="1"/>
  <c r="E17" i="1"/>
  <c r="E80" i="3" s="1"/>
  <c r="G72" i="1"/>
  <c r="G73" i="1"/>
  <c r="G216" i="1" l="1"/>
  <c r="G112" i="1"/>
  <c r="G100" i="1"/>
  <c r="G99" i="1"/>
  <c r="G86" i="1" l="1"/>
  <c r="G22" i="1"/>
  <c r="G23" i="1" s="1"/>
  <c r="I105" i="1" l="1"/>
  <c r="I104" i="1"/>
  <c r="J104" i="1" s="1"/>
  <c r="I103" i="1"/>
  <c r="I102" i="1"/>
  <c r="G98" i="1"/>
  <c r="G74" i="1"/>
  <c r="J103" i="1" l="1"/>
  <c r="G101" i="1"/>
  <c r="J102" i="1"/>
  <c r="I106" i="1"/>
  <c r="G106" i="1"/>
  <c r="G107" i="1" l="1"/>
  <c r="J10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K106" i="1" l="1"/>
  <c r="G108" i="1"/>
  <c r="D13" i="2"/>
  <c r="A22" i="1"/>
  <c r="A23" i="1" s="1"/>
  <c r="A24" i="1" s="1"/>
  <c r="A25" i="1" s="1"/>
  <c r="A26" i="1" s="1"/>
  <c r="A27" i="1" s="1"/>
  <c r="A28" i="1" s="1"/>
  <c r="A29" i="1" s="1"/>
  <c r="A30" i="1" s="1"/>
  <c r="A31" i="1" s="1"/>
  <c r="A45" i="1" s="1"/>
  <c r="A20" i="1"/>
  <c r="I92" i="1"/>
  <c r="I91" i="1"/>
  <c r="I90" i="1"/>
  <c r="I221" i="1"/>
  <c r="I219" i="1"/>
  <c r="I209" i="1"/>
  <c r="I117" i="1"/>
  <c r="I115" i="1"/>
  <c r="I79" i="1"/>
  <c r="I78" i="1"/>
  <c r="I77" i="1"/>
  <c r="I27" i="1"/>
  <c r="I26" i="1"/>
  <c r="I25" i="1"/>
  <c r="A46" i="1" l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9" i="1" s="1"/>
  <c r="A32" i="1"/>
  <c r="I13" i="1"/>
  <c r="I12" i="1"/>
  <c r="I208" i="1"/>
  <c r="I14" i="1"/>
  <c r="I232" i="1" s="1"/>
  <c r="I207" i="1"/>
  <c r="I116" i="1"/>
  <c r="G28" i="1"/>
  <c r="G80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33" i="1"/>
  <c r="G210" i="1"/>
  <c r="G15" i="1"/>
  <c r="G93" i="1"/>
  <c r="G118" i="1"/>
  <c r="G222" i="1"/>
  <c r="I220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A57" i="1" l="1"/>
  <c r="J116" i="1"/>
  <c r="J115" i="1"/>
  <c r="I114" i="1"/>
  <c r="G111" i="1"/>
  <c r="J78" i="1"/>
  <c r="J77" i="1"/>
  <c r="I76" i="1"/>
  <c r="G71" i="1"/>
  <c r="J26" i="1"/>
  <c r="J25" i="1"/>
  <c r="I24" i="1"/>
  <c r="J208" i="1"/>
  <c r="J207" i="1"/>
  <c r="I206" i="1"/>
  <c r="J220" i="1"/>
  <c r="J219" i="1"/>
  <c r="I218" i="1"/>
  <c r="G215" i="1"/>
  <c r="J91" i="1"/>
  <c r="J90" i="1"/>
  <c r="I89" i="1"/>
  <c r="G87" i="1"/>
  <c r="G85" i="1"/>
  <c r="A58" i="1" l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J24" i="1"/>
  <c r="I28" i="1"/>
  <c r="J89" i="1"/>
  <c r="I93" i="1"/>
  <c r="J218" i="1"/>
  <c r="I222" i="1"/>
  <c r="J206" i="1"/>
  <c r="I210" i="1"/>
  <c r="J114" i="1"/>
  <c r="I118" i="1"/>
  <c r="J76" i="1"/>
  <c r="I80" i="1"/>
  <c r="G113" i="1"/>
  <c r="G75" i="1"/>
  <c r="G88" i="1"/>
  <c r="G205" i="1"/>
  <c r="G217" i="1"/>
  <c r="G123" i="1"/>
  <c r="I142" i="1"/>
  <c r="I231" i="1" s="1"/>
  <c r="I141" i="1"/>
  <c r="I230" i="1" s="1"/>
  <c r="I140" i="1"/>
  <c r="J140" i="1" s="1"/>
  <c r="H15" i="2" s="1"/>
  <c r="F89" i="3" s="1"/>
  <c r="I11" i="1"/>
  <c r="G9" i="1"/>
  <c r="G8" i="1"/>
  <c r="A2" i="1"/>
  <c r="A1" i="1"/>
  <c r="A7" i="2"/>
  <c r="I229" i="1" l="1"/>
  <c r="A201" i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8" i="2"/>
  <c r="A9" i="2" s="1"/>
  <c r="A10" i="2" s="1"/>
  <c r="A11" i="2" s="1"/>
  <c r="A12" i="2" s="1"/>
  <c r="A13" i="2" s="1"/>
  <c r="A14" i="2" s="1"/>
  <c r="I15" i="1"/>
  <c r="J141" i="1"/>
  <c r="J142" i="1"/>
  <c r="J12" i="1"/>
  <c r="J13" i="1"/>
  <c r="G81" i="1"/>
  <c r="G94" i="1"/>
  <c r="G211" i="1"/>
  <c r="G223" i="1"/>
  <c r="G29" i="1"/>
  <c r="G119" i="1"/>
  <c r="J80" i="1"/>
  <c r="K80" i="1" s="1"/>
  <c r="J118" i="1"/>
  <c r="K118" i="1" s="1"/>
  <c r="J28" i="1"/>
  <c r="K28" i="1" s="1"/>
  <c r="J210" i="1"/>
  <c r="K210" i="1" s="1"/>
  <c r="J222" i="1"/>
  <c r="K222" i="1" s="1"/>
  <c r="J93" i="1"/>
  <c r="K93" i="1" s="1"/>
  <c r="G10" i="1"/>
  <c r="G144" i="1"/>
  <c r="G233" i="1" s="1"/>
  <c r="G139" i="1"/>
  <c r="J11" i="1"/>
  <c r="J229" i="1" s="1"/>
  <c r="D7" i="2" l="1"/>
  <c r="G30" i="1"/>
  <c r="J231" i="1"/>
  <c r="J230" i="1"/>
  <c r="A237" i="1"/>
  <c r="G228" i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152" i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G212" i="1"/>
  <c r="D20" i="2"/>
  <c r="G224" i="1"/>
  <c r="D21" i="2"/>
  <c r="G82" i="1"/>
  <c r="D11" i="2"/>
  <c r="G120" i="1"/>
  <c r="D14" i="2"/>
  <c r="G95" i="1"/>
  <c r="D12" i="2"/>
  <c r="G145" i="1"/>
  <c r="D15" i="2" s="1"/>
  <c r="I144" i="1"/>
  <c r="I233" i="1" s="1"/>
  <c r="G16" i="1"/>
  <c r="J15" i="1"/>
  <c r="G234" i="1" l="1"/>
  <c r="D22" i="2" s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K15" i="1"/>
  <c r="G17" i="1"/>
  <c r="D6" i="2"/>
  <c r="I202" i="1"/>
  <c r="I203" i="1"/>
  <c r="I204" i="1"/>
  <c r="J144" i="1"/>
  <c r="J233" i="1" l="1"/>
  <c r="K233" i="1" s="1"/>
  <c r="J202" i="1"/>
  <c r="J204" i="1"/>
  <c r="K204" i="1" s="1"/>
  <c r="J203" i="1"/>
  <c r="K203" i="1" s="1"/>
  <c r="I205" i="1"/>
  <c r="K202" i="1" l="1"/>
  <c r="J205" i="1"/>
  <c r="I211" i="1"/>
  <c r="I212" i="1" l="1"/>
  <c r="E20" i="2"/>
  <c r="G26" i="3"/>
  <c r="H26" i="3" s="1"/>
  <c r="G22" i="3"/>
  <c r="H22" i="3" s="1"/>
  <c r="G20" i="3"/>
  <c r="H20" i="3" s="1"/>
  <c r="G24" i="3"/>
  <c r="H24" i="3" s="1"/>
  <c r="I99" i="1"/>
  <c r="G41" i="3"/>
  <c r="H41" i="3" s="1"/>
  <c r="G39" i="3"/>
  <c r="H39" i="3" s="1"/>
  <c r="G45" i="3"/>
  <c r="H45" i="3" s="1"/>
  <c r="G38" i="3"/>
  <c r="H38" i="3" s="1"/>
  <c r="G47" i="3"/>
  <c r="H47" i="3" s="1"/>
  <c r="G46" i="3"/>
  <c r="H46" i="3" s="1"/>
  <c r="G36" i="3"/>
  <c r="H36" i="3" s="1"/>
  <c r="G42" i="3"/>
  <c r="H42" i="3" s="1"/>
  <c r="G43" i="3"/>
  <c r="H43" i="3" s="1"/>
  <c r="G28" i="3"/>
  <c r="H28" i="3" s="1"/>
  <c r="G48" i="3"/>
  <c r="H48" i="3" s="1"/>
  <c r="I128" i="1"/>
  <c r="J128" i="1" s="1"/>
  <c r="K128" i="1" s="1"/>
  <c r="G30" i="3"/>
  <c r="H30" i="3" s="1"/>
  <c r="I71" i="1"/>
  <c r="J71" i="1" s="1"/>
  <c r="K71" i="1" s="1"/>
  <c r="I125" i="1"/>
  <c r="J125" i="1" s="1"/>
  <c r="K125" i="1" s="1"/>
  <c r="G37" i="3"/>
  <c r="H37" i="3" s="1"/>
  <c r="G44" i="3"/>
  <c r="H44" i="3" s="1"/>
  <c r="G49" i="3"/>
  <c r="H49" i="3" s="1"/>
  <c r="K205" i="1"/>
  <c r="L205" i="1" s="1"/>
  <c r="J211" i="1"/>
  <c r="F20" i="2" s="1"/>
  <c r="F72" i="3" s="1"/>
  <c r="G9" i="3" l="1"/>
  <c r="H9" i="3" s="1"/>
  <c r="G7" i="3"/>
  <c r="H7" i="3" s="1"/>
  <c r="G6" i="3"/>
  <c r="H6" i="3" s="1"/>
  <c r="G32" i="3"/>
  <c r="H32" i="3" s="1"/>
  <c r="G33" i="3"/>
  <c r="H33" i="3" s="1"/>
  <c r="G25" i="3"/>
  <c r="H25" i="3" s="1"/>
  <c r="I85" i="1"/>
  <c r="J85" i="1" s="1"/>
  <c r="K85" i="1" s="1"/>
  <c r="I22" i="1"/>
  <c r="I8" i="1"/>
  <c r="I123" i="1"/>
  <c r="J123" i="1" s="1"/>
  <c r="K123" i="1" s="1"/>
  <c r="I133" i="1"/>
  <c r="J133" i="1" s="1"/>
  <c r="K133" i="1" s="1"/>
  <c r="I138" i="1"/>
  <c r="J138" i="1" s="1"/>
  <c r="K138" i="1" s="1"/>
  <c r="G19" i="3"/>
  <c r="H19" i="3" s="1"/>
  <c r="G29" i="3"/>
  <c r="H29" i="3" s="1"/>
  <c r="G21" i="3"/>
  <c r="H21" i="3" s="1"/>
  <c r="I73" i="1"/>
  <c r="J73" i="1" s="1"/>
  <c r="K73" i="1" s="1"/>
  <c r="G40" i="3"/>
  <c r="H40" i="3" s="1"/>
  <c r="K211" i="1"/>
  <c r="J212" i="1"/>
  <c r="H20" i="2" s="1"/>
  <c r="F94" i="3" s="1"/>
  <c r="I124" i="1"/>
  <c r="J124" i="1" s="1"/>
  <c r="K124" i="1" s="1"/>
  <c r="I111" i="1"/>
  <c r="I74" i="1"/>
  <c r="J74" i="1" s="1"/>
  <c r="K74" i="1" s="1"/>
  <c r="I98" i="1"/>
  <c r="J98" i="1" s="1"/>
  <c r="K98" i="1" s="1"/>
  <c r="I137" i="1"/>
  <c r="J137" i="1" s="1"/>
  <c r="K137" i="1" s="1"/>
  <c r="I87" i="1"/>
  <c r="J87" i="1" s="1"/>
  <c r="K87" i="1" s="1"/>
  <c r="I130" i="1"/>
  <c r="J130" i="1" s="1"/>
  <c r="K130" i="1" s="1"/>
  <c r="G35" i="3"/>
  <c r="H35" i="3" s="1"/>
  <c r="I127" i="1"/>
  <c r="J127" i="1" s="1"/>
  <c r="K127" i="1" s="1"/>
  <c r="I126" i="1"/>
  <c r="J126" i="1" s="1"/>
  <c r="K126" i="1" s="1"/>
  <c r="G50" i="3"/>
  <c r="H50" i="3" s="1"/>
  <c r="I136" i="1"/>
  <c r="J136" i="1" s="1"/>
  <c r="K136" i="1" s="1"/>
  <c r="I135" i="1"/>
  <c r="J135" i="1" s="1"/>
  <c r="K135" i="1" s="1"/>
  <c r="I9" i="1"/>
  <c r="J9" i="1" s="1"/>
  <c r="K9" i="1" s="1"/>
  <c r="I129" i="1"/>
  <c r="J129" i="1" s="1"/>
  <c r="K129" i="1" s="1"/>
  <c r="I131" i="1"/>
  <c r="J131" i="1" s="1"/>
  <c r="K131" i="1" s="1"/>
  <c r="I72" i="1"/>
  <c r="J72" i="1" s="1"/>
  <c r="K72" i="1" s="1"/>
  <c r="I134" i="1"/>
  <c r="J134" i="1" s="1"/>
  <c r="K134" i="1" s="1"/>
  <c r="I100" i="1"/>
  <c r="J100" i="1" s="1"/>
  <c r="K100" i="1" s="1"/>
  <c r="I132" i="1"/>
  <c r="J132" i="1" s="1"/>
  <c r="K132" i="1" s="1"/>
  <c r="I216" i="1"/>
  <c r="J216" i="1" s="1"/>
  <c r="K216" i="1" s="1"/>
  <c r="I215" i="1"/>
  <c r="J99" i="1"/>
  <c r="K99" i="1" s="1"/>
  <c r="J8" i="1" l="1"/>
  <c r="K8" i="1" s="1"/>
  <c r="J22" i="1"/>
  <c r="K22" i="1" s="1"/>
  <c r="L211" i="1"/>
  <c r="G20" i="2"/>
  <c r="H11" i="3"/>
  <c r="I86" i="1"/>
  <c r="J86" i="1" s="1"/>
  <c r="K86" i="1" s="1"/>
  <c r="I112" i="1"/>
  <c r="J112" i="1" s="1"/>
  <c r="K112" i="1" s="1"/>
  <c r="H12" i="3"/>
  <c r="I20" i="1"/>
  <c r="J20" i="1" s="1"/>
  <c r="K20" i="1" s="1"/>
  <c r="J111" i="1"/>
  <c r="K111" i="1" s="1"/>
  <c r="K212" i="1"/>
  <c r="I75" i="1"/>
  <c r="J75" i="1" s="1"/>
  <c r="I139" i="1"/>
  <c r="J139" i="1" s="1"/>
  <c r="I10" i="1"/>
  <c r="I217" i="1"/>
  <c r="J215" i="1"/>
  <c r="K215" i="1" s="1"/>
  <c r="I101" i="1"/>
  <c r="G72" i="3" l="1"/>
  <c r="G94" i="3"/>
  <c r="I23" i="1"/>
  <c r="J23" i="1" s="1"/>
  <c r="K23" i="1" s="1"/>
  <c r="L23" i="1" s="1"/>
  <c r="I88" i="1"/>
  <c r="J88" i="1" s="1"/>
  <c r="K88" i="1" s="1"/>
  <c r="L88" i="1" s="1"/>
  <c r="I113" i="1"/>
  <c r="K75" i="1"/>
  <c r="L75" i="1" s="1"/>
  <c r="I81" i="1"/>
  <c r="J81" i="1" s="1"/>
  <c r="I223" i="1"/>
  <c r="J217" i="1"/>
  <c r="I145" i="1"/>
  <c r="I16" i="1"/>
  <c r="J16" i="1" s="1"/>
  <c r="K139" i="1"/>
  <c r="L139" i="1" s="1"/>
  <c r="J10" i="1"/>
  <c r="I107" i="1"/>
  <c r="J107" i="1" s="1"/>
  <c r="J101" i="1"/>
  <c r="I29" i="1" l="1"/>
  <c r="J29" i="1" s="1"/>
  <c r="K29" i="1" s="1"/>
  <c r="G7" i="2" s="1"/>
  <c r="I228" i="1"/>
  <c r="E13" i="2"/>
  <c r="I94" i="1"/>
  <c r="I224" i="1"/>
  <c r="J224" i="1" s="1"/>
  <c r="H21" i="2" s="1"/>
  <c r="F95" i="3" s="1"/>
  <c r="E21" i="2"/>
  <c r="I17" i="1"/>
  <c r="J17" i="1" s="1"/>
  <c r="H6" i="2" s="1"/>
  <c r="F80" i="3" s="1"/>
  <c r="E6" i="2"/>
  <c r="J145" i="1"/>
  <c r="E15" i="2"/>
  <c r="E11" i="2"/>
  <c r="J113" i="1"/>
  <c r="J228" i="1" s="1"/>
  <c r="I119" i="1"/>
  <c r="I82" i="1"/>
  <c r="J82" i="1" s="1"/>
  <c r="J223" i="1"/>
  <c r="K10" i="1"/>
  <c r="L10" i="1" s="1"/>
  <c r="K217" i="1"/>
  <c r="L217" i="1" s="1"/>
  <c r="K101" i="1"/>
  <c r="L101" i="1" s="1"/>
  <c r="I108" i="1"/>
  <c r="J108" i="1" s="1"/>
  <c r="H13" i="2" s="1"/>
  <c r="F87" i="3" s="1"/>
  <c r="I30" i="1" l="1"/>
  <c r="J30" i="1" s="1"/>
  <c r="K30" i="1" s="1"/>
  <c r="E7" i="2"/>
  <c r="E14" i="2"/>
  <c r="J119" i="1"/>
  <c r="I95" i="1"/>
  <c r="J95" i="1" s="1"/>
  <c r="H12" i="2" s="1"/>
  <c r="F86" i="3" s="1"/>
  <c r="J94" i="1"/>
  <c r="G59" i="3"/>
  <c r="G81" i="3"/>
  <c r="K82" i="1"/>
  <c r="H11" i="2"/>
  <c r="F85" i="3" s="1"/>
  <c r="K17" i="1"/>
  <c r="I234" i="1"/>
  <c r="E22" i="2" s="1"/>
  <c r="K224" i="1"/>
  <c r="F7" i="2"/>
  <c r="F59" i="3" s="1"/>
  <c r="K94" i="1"/>
  <c r="G12" i="2" s="1"/>
  <c r="E12" i="2"/>
  <c r="K223" i="1"/>
  <c r="G21" i="2" s="1"/>
  <c r="F21" i="2"/>
  <c r="F73" i="3" s="1"/>
  <c r="L29" i="1"/>
  <c r="K107" i="1"/>
  <c r="G13" i="2" s="1"/>
  <c r="F13" i="2"/>
  <c r="F65" i="3" s="1"/>
  <c r="K145" i="1"/>
  <c r="G15" i="2" s="1"/>
  <c r="F15" i="2"/>
  <c r="F67" i="3" s="1"/>
  <c r="K81" i="1"/>
  <c r="F11" i="2"/>
  <c r="F63" i="3" s="1"/>
  <c r="K16" i="1"/>
  <c r="F6" i="2"/>
  <c r="F58" i="3" s="1"/>
  <c r="I120" i="1"/>
  <c r="J120" i="1" s="1"/>
  <c r="H14" i="2" s="1"/>
  <c r="F88" i="3" s="1"/>
  <c r="K113" i="1"/>
  <c r="L113" i="1" s="1"/>
  <c r="K228" i="1"/>
  <c r="K108" i="1"/>
  <c r="K95" i="1" l="1"/>
  <c r="H7" i="2"/>
  <c r="F81" i="3" s="1"/>
  <c r="G65" i="3"/>
  <c r="G87" i="3"/>
  <c r="G73" i="3"/>
  <c r="G95" i="3"/>
  <c r="G67" i="3"/>
  <c r="G89" i="3"/>
  <c r="G64" i="3"/>
  <c r="G86" i="3"/>
  <c r="J234" i="1"/>
  <c r="J237" i="1" s="1"/>
  <c r="L223" i="1"/>
  <c r="F12" i="2"/>
  <c r="F64" i="3" s="1"/>
  <c r="L107" i="1"/>
  <c r="L94" i="1"/>
  <c r="L145" i="1"/>
  <c r="K119" i="1"/>
  <c r="G14" i="2" s="1"/>
  <c r="F14" i="2"/>
  <c r="F66" i="3" s="1"/>
  <c r="L16" i="1"/>
  <c r="G6" i="2"/>
  <c r="G11" i="2"/>
  <c r="L81" i="1"/>
  <c r="L228" i="1"/>
  <c r="K120" i="1"/>
  <c r="G66" i="3" l="1"/>
  <c r="G88" i="3"/>
  <c r="G58" i="3"/>
  <c r="G80" i="3"/>
  <c r="G63" i="3"/>
  <c r="G85" i="3"/>
  <c r="F22" i="2"/>
  <c r="L3" i="1"/>
  <c r="K234" i="1"/>
  <c r="G22" i="2" s="1"/>
  <c r="G74" i="3" s="1"/>
  <c r="G96" i="3" s="1"/>
  <c r="L119" i="1"/>
  <c r="F74" i="3" l="1"/>
  <c r="F24" i="2"/>
  <c r="F25" i="2" s="1"/>
  <c r="L234" i="1"/>
</calcChain>
</file>

<file path=xl/sharedStrings.xml><?xml version="1.0" encoding="utf-8"?>
<sst xmlns="http://schemas.openxmlformats.org/spreadsheetml/2006/main" count="330" uniqueCount="112">
  <si>
    <t>#</t>
  </si>
  <si>
    <t>Item</t>
  </si>
  <si>
    <t>Present Revenue</t>
  </si>
  <si>
    <t>Proposed Revenue</t>
  </si>
  <si>
    <t>Total Base Rates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</si>
  <si>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</si>
  <si>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</si>
  <si>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</si>
  <si>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</si>
  <si>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</si>
  <si>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</si>
  <si>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</si>
  <si>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</si>
  <si>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</si>
  <si>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</si>
  <si>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</si>
  <si>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</si>
  <si>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</si>
  <si>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</si>
  <si>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</si>
  <si>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</si>
  <si>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</si>
  <si>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</si>
  <si>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 xml:space="preserve">    Misc Adj</t>
  </si>
  <si>
    <t>Rate Rounding Variance</t>
  </si>
  <si>
    <t xml:space="preserve">    Other</t>
  </si>
  <si>
    <t>Fleming-Mason RECC</t>
  </si>
  <si>
    <t>RSP</t>
  </si>
  <si>
    <t>SGS</t>
  </si>
  <si>
    <t>LGS</t>
  </si>
  <si>
    <t>Contract</t>
  </si>
  <si>
    <t>RSP-IB</t>
  </si>
  <si>
    <t>AES</t>
  </si>
  <si>
    <t>20,000 Lumens Standard Service</t>
  </si>
  <si>
    <t>9500 Lumens Standard</t>
  </si>
  <si>
    <t>9500 Lumens Ornamental</t>
  </si>
  <si>
    <t>9500 Lumens Directional</t>
  </si>
  <si>
    <t>22,000 Lumens Standard</t>
  </si>
  <si>
    <t>22,000 Lumens Directional</t>
  </si>
  <si>
    <t>50,000 Lumens Standard</t>
  </si>
  <si>
    <t>50,000 Lumens Ornamental</t>
  </si>
  <si>
    <t>50,000 Lumens Directional</t>
  </si>
  <si>
    <t>6100 Lumens Standard</t>
  </si>
  <si>
    <t>23,000 Lumens Directional Floodlight</t>
  </si>
  <si>
    <t>MV</t>
  </si>
  <si>
    <t>HPS</t>
  </si>
  <si>
    <t>LED</t>
  </si>
  <si>
    <t>Residential &amp; Small Power (1)</t>
  </si>
  <si>
    <t>Residential &amp; Small Power ETS (11)</t>
  </si>
  <si>
    <t>Inclining Block Rate (8)</t>
  </si>
  <si>
    <t>Small General Service (2)</t>
  </si>
  <si>
    <t>Large General Service (3)</t>
  </si>
  <si>
    <t>All Electric School (4)</t>
  </si>
  <si>
    <t>22,000 Lumens Ornamental</t>
  </si>
  <si>
    <t>7000 Lumens Ornatmental Service</t>
  </si>
  <si>
    <t>20,000 Lumens Ornamental Service</t>
  </si>
  <si>
    <t>Present</t>
  </si>
  <si>
    <t>Rate</t>
  </si>
  <si>
    <t>Proposed</t>
  </si>
  <si>
    <t>Energy Charge per kWh</t>
  </si>
  <si>
    <t>Energy Charge - Off Peak per kWh</t>
  </si>
  <si>
    <t>Energy Charge 0-300 per kWh</t>
  </si>
  <si>
    <t>Energy Charge 301-500 per kWh</t>
  </si>
  <si>
    <t>Energy Charge Over 500 per kWh</t>
  </si>
  <si>
    <t>Demand Charge per kW</t>
  </si>
  <si>
    <t>7000 Lumens Standard Service</t>
  </si>
  <si>
    <t>Demand Charge per MMBTU</t>
  </si>
  <si>
    <t>Energy Charge per MMBTU</t>
  </si>
  <si>
    <t>Tennessee Gas</t>
  </si>
  <si>
    <t>The amount of the change requested in both dollar amounts and percentage change for each customer classification to which the proposed rates will apply is set forth below:</t>
  </si>
  <si>
    <t>Increase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</si>
  <si>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</si>
  <si>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</si>
  <si>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</si>
  <si>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</si>
  <si>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</si>
  <si>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RSP-TOD</t>
  </si>
  <si>
    <t>Energy Charge On Peak per kWh</t>
  </si>
  <si>
    <t>Energy Charge Off Peak per kWh</t>
  </si>
  <si>
    <t>Prepay Service</t>
  </si>
  <si>
    <t>Steam</t>
  </si>
  <si>
    <t>Present &amp; Proposed Rates</t>
  </si>
  <si>
    <t>Increase %</t>
  </si>
  <si>
    <t>RSP-ETS</t>
  </si>
  <si>
    <t>Prepay (80)</t>
  </si>
  <si>
    <t>RSP-PPM</t>
  </si>
  <si>
    <t>Net Metering (100)</t>
  </si>
  <si>
    <t>NM</t>
  </si>
  <si>
    <t>Time of Day (110)</t>
  </si>
  <si>
    <t>Security Lights (20)</t>
  </si>
  <si>
    <t>OLS</t>
  </si>
  <si>
    <t>Dravo (14 now 18)</t>
  </si>
  <si>
    <t>Guardian Industries (16)</t>
  </si>
  <si>
    <t>Int'l Paper (12)</t>
  </si>
  <si>
    <t>Tennessee Gas (17)</t>
  </si>
  <si>
    <t>AppHarvest (70)</t>
  </si>
  <si>
    <t xml:space="preserve">Int'l Paper </t>
  </si>
  <si>
    <t>Incr(Decr)</t>
  </si>
  <si>
    <t xml:space="preserve">    Solar Credits</t>
  </si>
  <si>
    <t xml:space="preserve">    Green Power</t>
  </si>
  <si>
    <t>Demand Charge Contract per kW</t>
  </si>
  <si>
    <t>Demand Charge Interrup per kW</t>
  </si>
  <si>
    <t>EDR</t>
  </si>
  <si>
    <t xml:space="preserve">    Buy Through Net</t>
  </si>
  <si>
    <t>TOTAL</t>
  </si>
  <si>
    <t>Target:</t>
  </si>
  <si>
    <t>Variance:</t>
  </si>
  <si>
    <t>Average Bill Incr(Decr) $</t>
  </si>
  <si>
    <t>No revisions to other rates or special contracts are proposed.</t>
  </si>
  <si>
    <t>Prepay Service Fee</t>
  </si>
  <si>
    <t xml:space="preserve">LED 6,000 Lumens Direction Floodlight   </t>
  </si>
  <si>
    <t>Billing Analysis of Present and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</si>
</sst>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&quot;$&quot;#,##0.00"/>
    <numFmt numFmtId="173" formatCode="0.00000000"/>
    <numFmt numFmtId="174" formatCode="_(* #,##0.000_);_(* \(#,##0.000\);_(* &quot;-&quot;??_);_(@_)"/>
    <numFmt numFmtId="17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4" fillId="0" borderId="4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0" fontId="4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0" xfId="0" applyFont="1"/>
    <xf numFmtId="43" fontId="4" fillId="0" borderId="0" xfId="1" applyFont="1" applyAlignment="1">
      <alignment horizontal="center"/>
    </xf>
    <xf numFmtId="172" fontId="3" fillId="0" borderId="0" xfId="0" applyNumberFormat="1" applyFont="1"/>
    <xf numFmtId="164" fontId="4" fillId="0" borderId="0" xfId="1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43" fontId="4" fillId="0" borderId="0" xfId="1" applyFont="1" applyFill="1"/>
    <xf numFmtId="10" fontId="4" fillId="0" borderId="0" xfId="3" applyNumberFormat="1" applyFont="1" applyFill="1"/>
    <xf numFmtId="167" fontId="4" fillId="0" borderId="0" xfId="1" applyNumberFormat="1" applyFont="1" applyFill="1"/>
    <xf numFmtId="0" fontId="4" fillId="0" borderId="2" xfId="0" applyFont="1" applyBorder="1" applyAlignment="1">
      <alignment vertical="center"/>
    </xf>
    <xf numFmtId="165" fontId="4" fillId="0" borderId="0" xfId="0" applyNumberFormat="1" applyFont="1"/>
    <xf numFmtId="168" fontId="4" fillId="0" borderId="0" xfId="1" applyNumberFormat="1" applyFont="1" applyFill="1"/>
    <xf numFmtId="164" fontId="4" fillId="0" borderId="0" xfId="1" applyNumberFormat="1" applyFont="1" applyFill="1"/>
    <xf numFmtId="165" fontId="4" fillId="0" borderId="0" xfId="2" applyNumberFormat="1" applyFont="1" applyFill="1"/>
    <xf numFmtId="10" fontId="4" fillId="0" borderId="4" xfId="3" applyNumberFormat="1" applyFont="1" applyFill="1" applyBorder="1" applyAlignment="1">
      <alignment vertical="center"/>
    </xf>
    <xf numFmtId="165" fontId="4" fillId="0" borderId="4" xfId="2" applyNumberFormat="1" applyFont="1" applyFill="1" applyBorder="1"/>
    <xf numFmtId="43" fontId="4" fillId="0" borderId="4" xfId="1" applyFont="1" applyFill="1" applyBorder="1"/>
    <xf numFmtId="165" fontId="4" fillId="0" borderId="2" xfId="2" applyNumberFormat="1" applyFont="1" applyFill="1" applyBorder="1" applyAlignment="1">
      <alignment vertical="center"/>
    </xf>
    <xf numFmtId="10" fontId="4" fillId="0" borderId="2" xfId="3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10" fontId="9" fillId="0" borderId="0" xfId="3" applyNumberFormat="1" applyFont="1" applyAlignment="1"/>
    <xf numFmtId="0" fontId="4" fillId="0" borderId="1" xfId="0" applyFont="1" applyBorder="1"/>
    <xf numFmtId="165" fontId="4" fillId="0" borderId="0" xfId="2" applyNumberFormat="1" applyFont="1" applyAlignment="1"/>
    <xf numFmtId="165" fontId="4" fillId="0" borderId="0" xfId="2" applyNumberFormat="1" applyFont="1" applyBorder="1" applyAlignment="1"/>
    <xf numFmtId="10" fontId="4" fillId="0" borderId="0" xfId="3" applyNumberFormat="1" applyFont="1" applyFill="1" applyBorder="1" applyAlignment="1">
      <alignment vertical="center"/>
    </xf>
    <xf numFmtId="165" fontId="3" fillId="0" borderId="0" xfId="2" applyNumberFormat="1" applyFont="1" applyAlignment="1"/>
    <xf numFmtId="0" fontId="9" fillId="0" borderId="2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65" fontId="4" fillId="0" borderId="0" xfId="2" applyNumberFormat="1" applyFont="1"/>
    <xf numFmtId="174" fontId="4" fillId="0" borderId="0" xfId="1" applyNumberFormat="1" applyFont="1" applyFill="1"/>
    <xf numFmtId="9" fontId="4" fillId="0" borderId="0" xfId="3" applyFont="1" applyFill="1"/>
    <xf numFmtId="165" fontId="3" fillId="0" borderId="1" xfId="2" applyNumberFormat="1" applyFont="1" applyBorder="1" applyAlignment="1">
      <alignment horizontal="right"/>
    </xf>
    <xf numFmtId="10" fontId="3" fillId="0" borderId="1" xfId="3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170" fontId="4" fillId="0" borderId="0" xfId="1" applyNumberFormat="1" applyFont="1" applyFill="1"/>
    <xf numFmtId="44" fontId="3" fillId="0" borderId="0" xfId="2" applyFont="1" applyAlignment="1"/>
    <xf numFmtId="164" fontId="3" fillId="0" borderId="2" xfId="1" applyNumberFormat="1" applyFont="1" applyBorder="1" applyAlignment="1">
      <alignment horizontal="right" vertical="center"/>
    </xf>
    <xf numFmtId="175" fontId="3" fillId="0" borderId="0" xfId="3" applyNumberFormat="1" applyFont="1" applyAlignment="1">
      <alignment horizontal="right"/>
    </xf>
    <xf numFmtId="175" fontId="3" fillId="0" borderId="2" xfId="3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vertical="center"/>
    </xf>
    <xf numFmtId="165" fontId="9" fillId="0" borderId="6" xfId="2" applyNumberFormat="1" applyFont="1" applyBorder="1" applyAlignment="1">
      <alignment vertical="center"/>
    </xf>
    <xf numFmtId="165" fontId="9" fillId="0" borderId="0" xfId="2" applyNumberFormat="1" applyFont="1" applyBorder="1" applyAlignment="1"/>
    <xf numFmtId="0" fontId="4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165" fontId="4" fillId="0" borderId="6" xfId="2" applyNumberFormat="1" applyFont="1" applyBorder="1" applyAlignment="1"/>
    <xf numFmtId="10" fontId="4" fillId="0" borderId="0" xfId="3" applyNumberFormat="1" applyFont="1" applyAlignment="1"/>
    <xf numFmtId="10" fontId="4" fillId="0" borderId="0" xfId="3" applyNumberFormat="1" applyFont="1"/>
    <xf numFmtId="0" fontId="9" fillId="0" borderId="1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172" fontId="3" fillId="0" borderId="1" xfId="0" applyNumberFormat="1" applyFont="1" applyBorder="1"/>
    <xf numFmtId="10" fontId="4" fillId="0" borderId="1" xfId="3" applyNumberFormat="1" applyFont="1" applyBorder="1"/>
    <xf numFmtId="172" fontId="4" fillId="0" borderId="0" xfId="0" applyNumberFormat="1" applyFont="1"/>
    <xf numFmtId="164" fontId="4" fillId="0" borderId="0" xfId="1" applyNumberFormat="1" applyFont="1" applyAlignment="1">
      <alignment horizontal="center"/>
    </xf>
    <xf numFmtId="43" fontId="4" fillId="0" borderId="0" xfId="1" applyFont="1" applyAlignment="1">
      <alignment horizontal="right"/>
    </xf>
    <xf numFmtId="0" fontId="7" fillId="0" borderId="0" xfId="0" applyFont="1" applyAlignment="1">
      <alignment vertical="top" wrapText="1"/>
    </xf>
    <xf numFmtId="44" fontId="3" fillId="0" borderId="0" xfId="2" applyFont="1" applyAlignment="1">
      <alignment horizontal="right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4" fillId="0" borderId="5" xfId="0" applyFont="1" applyBorder="1"/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5" fontId="4" fillId="0" borderId="2" xfId="0" applyNumberFormat="1" applyFont="1" applyBorder="1" applyAlignment="1">
      <alignment vertical="center"/>
    </xf>
    <xf numFmtId="44" fontId="4" fillId="0" borderId="0" xfId="0" applyNumberFormat="1" applyFont="1"/>
    <xf numFmtId="166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4" xfId="0" applyNumberFormat="1" applyFont="1" applyBorder="1" applyAlignment="1">
      <alignment vertical="center"/>
    </xf>
    <xf numFmtId="165" fontId="4" fillId="0" borderId="4" xfId="0" applyNumberFormat="1" applyFont="1" applyBorder="1"/>
    <xf numFmtId="165" fontId="4" fillId="0" borderId="0" xfId="0" applyNumberFormat="1" applyFont="1" applyAlignment="1">
      <alignment vertical="center"/>
    </xf>
    <xf numFmtId="10" fontId="4" fillId="0" borderId="0" xfId="0" applyNumberFormat="1" applyFont="1"/>
    <xf numFmtId="9" fontId="4" fillId="0" borderId="0" xfId="0" applyNumberFormat="1" applyFont="1"/>
    <xf numFmtId="169" fontId="4" fillId="0" borderId="0" xfId="0" applyNumberFormat="1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9" fontId="4" fillId="0" borderId="0" xfId="3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43" fontId="4" fillId="0" borderId="0" xfId="1" applyFont="1" applyFill="1" applyAlignment="1">
      <alignment vertical="center"/>
    </xf>
    <xf numFmtId="0" fontId="4" fillId="0" borderId="0" xfId="0" applyFont="1" applyAlignment="1">
      <alignment horizontal="right"/>
    </xf>
    <xf numFmtId="43" fontId="4" fillId="0" borderId="0" xfId="0" applyNumberFormat="1" applyFont="1" applyAlignment="1">
      <alignment vertical="center"/>
    </xf>
    <xf numFmtId="173" fontId="4" fillId="0" borderId="0" xfId="0" applyNumberFormat="1" applyFont="1"/>
    <xf numFmtId="6" fontId="4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B3B3"/>
      <color rgb="FF0000FF"/>
      <color rgb="FFFFFFCC"/>
      <color rgb="FF00FFFF"/>
      <color rgb="FFFFCCFF"/>
      <color rgb="FFF7635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K49"/>
  <sheetViews>
    <sheetView tabSelected="1" view="pageBreakPreview" zoomScaleNormal="75" zoomScaleSheetLayoutView="100" workbookViewId="0">
      <selection activeCell="F6" sqref="F6"/>
    </sheetView>
  </sheetViews>
  <sheetFormatPr defaultRowHeight="13.2" x14ac:dyDescent="0.25"/>
  <cols>
    <col min="1" max="1" width="9" style="2" bestFit="1" customWidth="1"/>
    <col min="2" max="2" width="30.5546875" style="2" bestFit="1" customWidth="1"/>
    <col min="3" max="3" width="9.21875" style="10" bestFit="1" customWidth="1"/>
    <col min="4" max="4" width="16" style="2" bestFit="1" customWidth="1"/>
    <col min="5" max="5" width="14.109375" style="2" bestFit="1" customWidth="1"/>
    <col min="6" max="7" width="12.44140625" style="2" bestFit="1" customWidth="1"/>
    <col min="8" max="8" width="12.77734375" style="2" customWidth="1"/>
    <col min="9" max="9" width="11.109375" style="2" bestFit="1" customWidth="1"/>
    <col min="10" max="10" width="14.5546875" style="2" customWidth="1"/>
    <col min="11" max="11" width="8.88671875" style="14"/>
    <col min="12" max="12" width="12.6640625" style="2" bestFit="1" customWidth="1"/>
    <col min="13" max="16384" width="8.88671875" style="2"/>
  </cols>
  <sheetData>
    <row r="1" spans="1:11" x14ac:dyDescent="0.25">
      <c r="A1" s="1" t="s">
        <v>26</v>
      </c>
    </row>
    <row r="2" spans="1:11" x14ac:dyDescent="0.25">
      <c r="A2" s="1" t="s">
        <v>111</v>
      </c>
    </row>
    <row r="3" spans="1:11" x14ac:dyDescent="0.25">
      <c r="A3" s="1"/>
    </row>
    <row r="4" spans="1:11" x14ac:dyDescent="0.25">
      <c r="K4" s="2"/>
    </row>
    <row r="5" spans="1:11" s="8" customFormat="1" ht="31.8" customHeight="1" x14ac:dyDescent="0.25">
      <c r="A5" s="6" t="s">
        <v>0</v>
      </c>
      <c r="B5" s="6" t="s">
        <v>1</v>
      </c>
      <c r="C5" s="7" t="s">
        <v>8</v>
      </c>
      <c r="D5" s="9" t="s">
        <v>2</v>
      </c>
      <c r="E5" s="9" t="s">
        <v>3</v>
      </c>
      <c r="F5" s="9" t="s">
        <v>12</v>
      </c>
      <c r="G5" s="9" t="s">
        <v>82</v>
      </c>
      <c r="H5" s="9" t="s">
        <v>107</v>
      </c>
      <c r="I5" s="2"/>
    </row>
    <row r="6" spans="1:11" ht="13.5" customHeight="1" x14ac:dyDescent="0.25">
      <c r="A6" s="3">
        <v>1</v>
      </c>
      <c r="B6" s="2" t="s">
        <v>47</v>
      </c>
      <c r="C6" s="10" t="s">
        <v>27</v>
      </c>
      <c r="D6" s="57">
        <f>'Billing Detail'!G16</f>
        <v>37106020.504100002</v>
      </c>
      <c r="E6" s="57">
        <f>'Billing Detail'!I16</f>
        <v>38994754.227750003</v>
      </c>
      <c r="F6" s="57">
        <f>'Billing Detail'!J16</f>
        <v>1888733.72</v>
      </c>
      <c r="G6" s="70">
        <f>'Billing Detail'!K16</f>
        <v>5.0901004590112424E-2</v>
      </c>
      <c r="H6" s="68">
        <f>'Billing Detail'!J17</f>
        <v>6.5467600360833273</v>
      </c>
      <c r="K6" s="2"/>
    </row>
    <row r="7" spans="1:11" ht="13.5" customHeight="1" x14ac:dyDescent="0.25">
      <c r="A7" s="3">
        <f>A6+1</f>
        <v>2</v>
      </c>
      <c r="B7" s="2" t="s">
        <v>48</v>
      </c>
      <c r="C7" s="10" t="s">
        <v>83</v>
      </c>
      <c r="D7" s="54">
        <f>'Billing Detail'!G29</f>
        <v>94414.225190000012</v>
      </c>
      <c r="E7" s="54">
        <f>'Billing Detail'!I29</f>
        <v>98296.938740000012</v>
      </c>
      <c r="F7" s="57">
        <f>'Billing Detail'!J29</f>
        <v>3882.71</v>
      </c>
      <c r="G7" s="70">
        <f>'Billing Detail'!K29</f>
        <v>4.1124205512319788E-2</v>
      </c>
      <c r="H7" s="68">
        <f>'Billing Detail'!J30</f>
        <v>6.3339535889070078</v>
      </c>
      <c r="K7" s="2"/>
    </row>
    <row r="8" spans="1:11" ht="13.5" customHeight="1" x14ac:dyDescent="0.25">
      <c r="A8" s="3">
        <f t="shared" ref="A8:A25" si="0">A7+1</f>
        <v>3</v>
      </c>
      <c r="B8" s="2" t="s">
        <v>84</v>
      </c>
      <c r="C8" s="10" t="s">
        <v>85</v>
      </c>
      <c r="D8" s="54">
        <f>'Billing Detail'!G42</f>
        <v>967744.53850000002</v>
      </c>
      <c r="E8" s="54">
        <f>'Billing Detail'!I42</f>
        <v>1011782.70375</v>
      </c>
      <c r="F8" s="57">
        <f>'Billing Detail'!J42</f>
        <v>44038.17</v>
      </c>
      <c r="G8" s="70">
        <f>'Billing Detail'!K42</f>
        <v>4.5505986598755675E-2</v>
      </c>
      <c r="H8" s="68">
        <f>'Billing Detail'!J43</f>
        <v>7.0169160691523302</v>
      </c>
      <c r="K8" s="2"/>
    </row>
    <row r="9" spans="1:11" ht="13.5" customHeight="1" x14ac:dyDescent="0.25">
      <c r="A9" s="3">
        <f t="shared" si="0"/>
        <v>4</v>
      </c>
      <c r="B9" s="2" t="s">
        <v>86</v>
      </c>
      <c r="C9" s="10" t="s">
        <v>87</v>
      </c>
      <c r="D9" s="54">
        <f>'Billing Detail'!G54</f>
        <v>90876.947</v>
      </c>
      <c r="E9" s="54">
        <f>'Billing Detail'!I54</f>
        <v>95709.527500000011</v>
      </c>
      <c r="F9" s="57">
        <f>'Billing Detail'!J54</f>
        <v>4832.58</v>
      </c>
      <c r="G9" s="70">
        <f>'Billing Detail'!K54</f>
        <v>5.3177182547736776E-2</v>
      </c>
      <c r="H9" s="68">
        <f>'Billing Detail'!J55</f>
        <v>6.5928792633015121</v>
      </c>
      <c r="K9" s="2"/>
    </row>
    <row r="10" spans="1:11" ht="13.5" customHeight="1" x14ac:dyDescent="0.25">
      <c r="A10" s="3">
        <f t="shared" si="0"/>
        <v>5</v>
      </c>
      <c r="B10" s="2" t="s">
        <v>88</v>
      </c>
      <c r="C10" s="10" t="s">
        <v>76</v>
      </c>
      <c r="D10" s="54">
        <f>'Billing Detail'!G67</f>
        <v>122127.43601409</v>
      </c>
      <c r="E10" s="54">
        <f>'Billing Detail'!I67</f>
        <v>122127.43601409</v>
      </c>
      <c r="F10" s="57">
        <f>'Billing Detail'!J67</f>
        <v>0</v>
      </c>
      <c r="G10" s="70">
        <f>'Billing Detail'!K67</f>
        <v>0</v>
      </c>
      <c r="H10" s="68">
        <f>'Billing Detail'!J68</f>
        <v>0</v>
      </c>
      <c r="K10" s="2"/>
    </row>
    <row r="11" spans="1:11" ht="13.5" customHeight="1" x14ac:dyDescent="0.25">
      <c r="A11" s="3">
        <f t="shared" si="0"/>
        <v>6</v>
      </c>
      <c r="B11" s="2" t="s">
        <v>49</v>
      </c>
      <c r="C11" s="10" t="s">
        <v>31</v>
      </c>
      <c r="D11" s="54">
        <f>'Billing Detail'!G81</f>
        <v>156428.78482</v>
      </c>
      <c r="E11" s="54">
        <f>'Billing Detail'!I81</f>
        <v>156428.78482</v>
      </c>
      <c r="F11" s="57">
        <f>'Billing Detail'!J81</f>
        <v>0</v>
      </c>
      <c r="G11" s="70">
        <f>'Billing Detail'!K81</f>
        <v>0</v>
      </c>
      <c r="H11" s="68">
        <f>'Billing Detail'!J82</f>
        <v>0</v>
      </c>
      <c r="K11" s="2"/>
    </row>
    <row r="12" spans="1:11" ht="13.5" customHeight="1" x14ac:dyDescent="0.25">
      <c r="A12" s="3">
        <f t="shared" si="0"/>
        <v>7</v>
      </c>
      <c r="B12" s="2" t="s">
        <v>50</v>
      </c>
      <c r="C12" s="10" t="s">
        <v>28</v>
      </c>
      <c r="D12" s="54">
        <f>'Billing Detail'!G94</f>
        <v>2255698.5595</v>
      </c>
      <c r="E12" s="54">
        <f>'Billing Detail'!I94</f>
        <v>2255698.5595</v>
      </c>
      <c r="F12" s="57">
        <f>'Billing Detail'!J94</f>
        <v>0</v>
      </c>
      <c r="G12" s="70">
        <f>'Billing Detail'!K94</f>
        <v>0</v>
      </c>
      <c r="H12" s="68">
        <f>'Billing Detail'!J95</f>
        <v>0</v>
      </c>
      <c r="K12" s="2"/>
    </row>
    <row r="13" spans="1:11" ht="13.5" customHeight="1" x14ac:dyDescent="0.25">
      <c r="A13" s="3">
        <f t="shared" si="0"/>
        <v>8</v>
      </c>
      <c r="B13" s="2" t="s">
        <v>51</v>
      </c>
      <c r="C13" s="10" t="s">
        <v>29</v>
      </c>
      <c r="D13" s="54">
        <f>'Billing Detail'!G107</f>
        <v>9558455.38992</v>
      </c>
      <c r="E13" s="54">
        <f>'Billing Detail'!I107</f>
        <v>9558455.38992</v>
      </c>
      <c r="F13" s="57">
        <f>'Billing Detail'!J107</f>
        <v>0</v>
      </c>
      <c r="G13" s="70">
        <f>'Billing Detail'!K107</f>
        <v>0</v>
      </c>
      <c r="H13" s="68">
        <f>'Billing Detail'!J108</f>
        <v>0</v>
      </c>
      <c r="K13" s="2"/>
    </row>
    <row r="14" spans="1:11" ht="13.5" customHeight="1" x14ac:dyDescent="0.25">
      <c r="A14" s="3">
        <f t="shared" si="0"/>
        <v>9</v>
      </c>
      <c r="B14" s="2" t="s">
        <v>52</v>
      </c>
      <c r="C14" s="10" t="s">
        <v>32</v>
      </c>
      <c r="D14" s="54">
        <f>'Billing Detail'!G119</f>
        <v>66590.194400000008</v>
      </c>
      <c r="E14" s="54">
        <f>'Billing Detail'!I119</f>
        <v>66590.194400000008</v>
      </c>
      <c r="F14" s="57">
        <f>'Billing Detail'!J119</f>
        <v>0</v>
      </c>
      <c r="G14" s="70">
        <f>'Billing Detail'!K119</f>
        <v>0</v>
      </c>
      <c r="H14" s="68">
        <f>'Billing Detail'!J120</f>
        <v>0</v>
      </c>
      <c r="K14" s="2"/>
    </row>
    <row r="15" spans="1:11" ht="13.5" customHeight="1" x14ac:dyDescent="0.25">
      <c r="A15" s="3">
        <f t="shared" si="0"/>
        <v>10</v>
      </c>
      <c r="B15" s="2" t="s">
        <v>89</v>
      </c>
      <c r="C15" s="10" t="s">
        <v>90</v>
      </c>
      <c r="D15" s="54">
        <f>'Billing Detail'!G145</f>
        <v>961312.67999999993</v>
      </c>
      <c r="E15" s="54">
        <f>'Billing Detail'!I145</f>
        <v>961312.67999999993</v>
      </c>
      <c r="F15" s="57">
        <f>'Billing Detail'!J145</f>
        <v>0</v>
      </c>
      <c r="G15" s="70">
        <f>'Billing Detail'!K145</f>
        <v>0</v>
      </c>
      <c r="H15" s="68">
        <f>'Billing Detail'!J140</f>
        <v>0</v>
      </c>
      <c r="K15" s="2"/>
    </row>
    <row r="16" spans="1:11" ht="13.5" customHeight="1" x14ac:dyDescent="0.25">
      <c r="A16" s="3">
        <f t="shared" si="0"/>
        <v>11</v>
      </c>
      <c r="B16" s="2" t="s">
        <v>95</v>
      </c>
      <c r="C16" s="10" t="s">
        <v>30</v>
      </c>
      <c r="D16" s="54">
        <f>'Billing Detail'!G159</f>
        <v>3332511.80198</v>
      </c>
      <c r="E16" s="54">
        <f>'Billing Detail'!I159</f>
        <v>3332511.80198</v>
      </c>
      <c r="F16" s="57">
        <f>'Billing Detail'!J159</f>
        <v>0</v>
      </c>
      <c r="G16" s="70">
        <f>'Billing Detail'!K159</f>
        <v>0</v>
      </c>
      <c r="H16" s="68">
        <f>'Billing Detail'!J160</f>
        <v>0</v>
      </c>
      <c r="K16" s="2"/>
    </row>
    <row r="17" spans="1:11" ht="13.5" customHeight="1" x14ac:dyDescent="0.25">
      <c r="A17" s="3">
        <f t="shared" si="0"/>
        <v>12</v>
      </c>
      <c r="B17" s="2" t="s">
        <v>91</v>
      </c>
      <c r="C17" s="10" t="s">
        <v>30</v>
      </c>
      <c r="D17" s="61">
        <f>'Billing Detail'!G172</f>
        <v>4613438.51547</v>
      </c>
      <c r="E17" s="61">
        <f>'Billing Detail'!I172</f>
        <v>4613438.51547</v>
      </c>
      <c r="F17" s="57">
        <f>'Billing Detail'!J172</f>
        <v>0</v>
      </c>
      <c r="G17" s="70">
        <f>'Billing Detail'!K172</f>
        <v>0</v>
      </c>
      <c r="H17" s="68">
        <f>'Billing Detail'!J173</f>
        <v>0</v>
      </c>
      <c r="K17" s="2"/>
    </row>
    <row r="18" spans="1:11" ht="13.5" customHeight="1" x14ac:dyDescent="0.25">
      <c r="A18" s="3">
        <f t="shared" si="0"/>
        <v>13</v>
      </c>
      <c r="B18" s="2" t="s">
        <v>92</v>
      </c>
      <c r="C18" s="10" t="s">
        <v>30</v>
      </c>
      <c r="D18" s="54">
        <f>'Billing Detail'!G185</f>
        <v>4382407.7282999996</v>
      </c>
      <c r="E18" s="54">
        <f>'Billing Detail'!I185</f>
        <v>4382407.7282999996</v>
      </c>
      <c r="F18" s="57">
        <f>'Billing Detail'!J185</f>
        <v>0</v>
      </c>
      <c r="G18" s="70">
        <f>'Billing Detail'!K185</f>
        <v>0</v>
      </c>
      <c r="H18" s="68">
        <f>'Billing Detail'!J186</f>
        <v>0</v>
      </c>
      <c r="K18" s="2"/>
    </row>
    <row r="19" spans="1:11" ht="13.5" customHeight="1" x14ac:dyDescent="0.25">
      <c r="A19" s="3">
        <f t="shared" si="0"/>
        <v>14</v>
      </c>
      <c r="B19" s="2" t="s">
        <v>93</v>
      </c>
      <c r="C19" s="10" t="s">
        <v>30</v>
      </c>
      <c r="D19" s="54">
        <f>'Billing Detail'!G198</f>
        <v>19055593.76574</v>
      </c>
      <c r="E19" s="54">
        <f>'Billing Detail'!I198</f>
        <v>19055593.76574</v>
      </c>
      <c r="F19" s="57">
        <f>'Billing Detail'!J198</f>
        <v>0</v>
      </c>
      <c r="G19" s="70">
        <f>'Billing Detail'!K198</f>
        <v>0</v>
      </c>
      <c r="H19" s="68">
        <f>'Billing Detail'!J199</f>
        <v>0</v>
      </c>
      <c r="K19" s="2"/>
    </row>
    <row r="20" spans="1:11" ht="13.5" customHeight="1" x14ac:dyDescent="0.25">
      <c r="A20" s="3">
        <f t="shared" si="0"/>
        <v>15</v>
      </c>
      <c r="B20" s="2" t="s">
        <v>94</v>
      </c>
      <c r="C20" s="10" t="s">
        <v>30</v>
      </c>
      <c r="D20" s="61">
        <f>'Billing Detail'!G211</f>
        <v>10013262.772220001</v>
      </c>
      <c r="E20" s="61">
        <f>'Billing Detail'!I211</f>
        <v>10013262.772220001</v>
      </c>
      <c r="F20" s="57">
        <f>'Billing Detail'!J211</f>
        <v>0</v>
      </c>
      <c r="G20" s="70">
        <f>'Billing Detail'!K211</f>
        <v>0</v>
      </c>
      <c r="H20" s="68">
        <f>'Billing Detail'!J212</f>
        <v>0</v>
      </c>
      <c r="K20" s="2"/>
    </row>
    <row r="21" spans="1:11" ht="13.5" customHeight="1" x14ac:dyDescent="0.25">
      <c r="A21" s="3">
        <f t="shared" si="0"/>
        <v>16</v>
      </c>
      <c r="B21" s="2" t="s">
        <v>80</v>
      </c>
      <c r="C21" s="10" t="s">
        <v>80</v>
      </c>
      <c r="D21" s="55">
        <f>'Billing Detail'!G223</f>
        <v>14523271.839400001</v>
      </c>
      <c r="E21" s="55">
        <f>'Billing Detail'!I223</f>
        <v>14523271.839400001</v>
      </c>
      <c r="F21" s="57">
        <f>'Billing Detail'!J223</f>
        <v>0</v>
      </c>
      <c r="G21" s="70">
        <f>'Billing Detail'!K223</f>
        <v>0</v>
      </c>
      <c r="H21" s="68">
        <f>'Billing Detail'!J224</f>
        <v>0</v>
      </c>
      <c r="K21" s="2"/>
    </row>
    <row r="22" spans="1:11" s="5" customFormat="1" ht="25.2" customHeight="1" thickBot="1" x14ac:dyDescent="0.3">
      <c r="A22" s="12">
        <f t="shared" si="0"/>
        <v>17</v>
      </c>
      <c r="B22" s="40" t="s">
        <v>6</v>
      </c>
      <c r="C22" s="58"/>
      <c r="D22" s="59">
        <f>'Billing Detail'!G234</f>
        <v>107300155.6825541</v>
      </c>
      <c r="E22" s="59">
        <f>'Billing Detail'!I234</f>
        <v>109241642.86550409</v>
      </c>
      <c r="F22" s="72">
        <f>'Billing Detail'!J234</f>
        <v>1941487.18</v>
      </c>
      <c r="G22" s="71">
        <f>'Billing Detail'!K234</f>
        <v>1.8093982880545492E-2</v>
      </c>
      <c r="H22" s="69" t="s">
        <v>75</v>
      </c>
      <c r="I22" s="2"/>
      <c r="K22" s="60"/>
    </row>
    <row r="23" spans="1:11" s="5" customFormat="1" ht="13.5" customHeight="1" thickTop="1" x14ac:dyDescent="0.25">
      <c r="A23" s="3">
        <f t="shared" si="0"/>
        <v>18</v>
      </c>
      <c r="B23" s="75" t="s">
        <v>7</v>
      </c>
      <c r="C23" s="76"/>
      <c r="D23" s="77"/>
      <c r="E23" s="77"/>
      <c r="F23" s="78">
        <f>'Billing Detail'!J236</f>
        <v>1943724.1962376919</v>
      </c>
      <c r="G23" s="73"/>
      <c r="K23" s="60"/>
    </row>
    <row r="24" spans="1:11" ht="13.5" customHeight="1" x14ac:dyDescent="0.25">
      <c r="A24" s="3">
        <f t="shared" si="0"/>
        <v>19</v>
      </c>
      <c r="B24" s="30" t="s">
        <v>24</v>
      </c>
      <c r="C24" s="51"/>
      <c r="D24" s="50"/>
      <c r="E24" s="50"/>
      <c r="F24" s="41">
        <f>F22-F23</f>
        <v>-2237.0162376919761</v>
      </c>
      <c r="G24" s="74"/>
    </row>
    <row r="25" spans="1:11" ht="13.5" customHeight="1" x14ac:dyDescent="0.25">
      <c r="A25" s="3">
        <f t="shared" si="0"/>
        <v>20</v>
      </c>
      <c r="B25" s="30" t="s">
        <v>24</v>
      </c>
      <c r="C25" s="51"/>
      <c r="D25" s="50"/>
      <c r="E25" s="50"/>
      <c r="F25" s="79">
        <f>F24/F23</f>
        <v>-1.150891799372558E-3</v>
      </c>
      <c r="G25" s="52"/>
    </row>
    <row r="26" spans="1:11" ht="16.2" customHeight="1" x14ac:dyDescent="0.25">
      <c r="A26" s="3"/>
      <c r="B26" s="30"/>
      <c r="C26" s="51"/>
      <c r="D26" s="50"/>
      <c r="E26" s="50"/>
      <c r="F26" s="50"/>
      <c r="G26" s="52"/>
    </row>
    <row r="27" spans="1:11" ht="16.2" customHeight="1" x14ac:dyDescent="0.25">
      <c r="A27" s="3"/>
      <c r="B27" s="30"/>
      <c r="C27" s="51"/>
      <c r="D27" s="50"/>
      <c r="E27" s="50"/>
      <c r="F27" s="50"/>
      <c r="G27" s="52"/>
    </row>
    <row r="28" spans="1:11" x14ac:dyDescent="0.25">
      <c r="A28" s="3"/>
      <c r="B28" s="30"/>
      <c r="C28" s="51"/>
      <c r="D28" s="50"/>
      <c r="E28" s="50"/>
      <c r="F28" s="50"/>
      <c r="G28" s="52"/>
    </row>
    <row r="29" spans="1:11" x14ac:dyDescent="0.25">
      <c r="B29" s="30"/>
      <c r="C29" s="51"/>
      <c r="D29" s="50"/>
      <c r="E29" s="50"/>
      <c r="F29" s="50"/>
      <c r="G29" s="52"/>
    </row>
    <row r="30" spans="1:11" x14ac:dyDescent="0.25">
      <c r="B30" s="30"/>
      <c r="C30" s="51"/>
      <c r="D30" s="50"/>
      <c r="E30" s="50"/>
      <c r="F30" s="50"/>
      <c r="G30" s="52"/>
    </row>
    <row r="31" spans="1:11" x14ac:dyDescent="0.25">
      <c r="B31" s="30"/>
      <c r="C31" s="51"/>
      <c r="D31" s="50"/>
      <c r="E31" s="50"/>
      <c r="F31" s="50"/>
      <c r="G31" s="52"/>
    </row>
    <row r="32" spans="1:11" x14ac:dyDescent="0.25">
      <c r="B32" s="30"/>
      <c r="C32" s="51"/>
      <c r="D32" s="50"/>
      <c r="E32" s="50"/>
      <c r="F32" s="50"/>
      <c r="G32" s="52"/>
    </row>
    <row r="33" spans="2:7" x14ac:dyDescent="0.25">
      <c r="B33" s="30"/>
      <c r="C33" s="51"/>
      <c r="D33" s="50"/>
      <c r="E33" s="50"/>
      <c r="F33" s="50"/>
      <c r="G33" s="52"/>
    </row>
    <row r="34" spans="2:7" x14ac:dyDescent="0.25">
      <c r="B34" s="30"/>
      <c r="C34" s="51"/>
      <c r="D34" s="50"/>
      <c r="E34" s="50"/>
      <c r="F34" s="50"/>
      <c r="G34" s="52"/>
    </row>
    <row r="35" spans="2:7" x14ac:dyDescent="0.25">
      <c r="B35" s="30"/>
      <c r="C35" s="51"/>
      <c r="D35" s="50"/>
      <c r="E35" s="50"/>
      <c r="F35" s="50"/>
      <c r="G35" s="52"/>
    </row>
    <row r="36" spans="2:7" x14ac:dyDescent="0.25">
      <c r="B36" s="30"/>
      <c r="C36" s="51"/>
      <c r="D36" s="50"/>
      <c r="E36" s="50"/>
      <c r="F36" s="50"/>
      <c r="G36" s="52"/>
    </row>
    <row r="37" spans="2:7" x14ac:dyDescent="0.25">
      <c r="B37" s="30"/>
      <c r="C37" s="51"/>
      <c r="D37" s="50"/>
      <c r="E37" s="50"/>
      <c r="F37" s="50"/>
      <c r="G37" s="52"/>
    </row>
    <row r="38" spans="2:7" x14ac:dyDescent="0.25">
      <c r="B38" s="30"/>
      <c r="C38" s="51"/>
      <c r="D38" s="50"/>
      <c r="E38" s="50"/>
      <c r="F38" s="50"/>
      <c r="G38" s="52"/>
    </row>
    <row r="39" spans="2:7" x14ac:dyDescent="0.25">
      <c r="B39" s="30"/>
      <c r="C39" s="51"/>
      <c r="D39" s="50"/>
      <c r="E39" s="50"/>
      <c r="F39" s="50"/>
      <c r="G39" s="52"/>
    </row>
    <row r="40" spans="2:7" x14ac:dyDescent="0.25">
      <c r="B40" s="30"/>
      <c r="C40" s="51"/>
      <c r="D40" s="50"/>
      <c r="E40" s="50"/>
      <c r="F40" s="50"/>
      <c r="G40" s="52"/>
    </row>
    <row r="41" spans="2:7" x14ac:dyDescent="0.25">
      <c r="B41" s="30"/>
      <c r="C41" s="51"/>
      <c r="D41" s="50"/>
      <c r="E41" s="50"/>
      <c r="F41" s="50"/>
      <c r="G41" s="52"/>
    </row>
    <row r="42" spans="2:7" x14ac:dyDescent="0.25">
      <c r="B42" s="30"/>
      <c r="C42" s="51"/>
      <c r="D42" s="50"/>
      <c r="E42" s="50"/>
      <c r="F42" s="50"/>
      <c r="G42" s="52"/>
    </row>
    <row r="43" spans="2:7" x14ac:dyDescent="0.25">
      <c r="B43" s="30"/>
      <c r="C43" s="51"/>
      <c r="D43" s="50"/>
      <c r="E43" s="50"/>
      <c r="F43" s="50"/>
      <c r="G43" s="52"/>
    </row>
    <row r="44" spans="2:7" x14ac:dyDescent="0.25">
      <c r="B44" s="30"/>
      <c r="C44" s="51"/>
      <c r="D44" s="50"/>
      <c r="E44" s="50"/>
      <c r="F44" s="50"/>
      <c r="G44" s="52"/>
    </row>
    <row r="45" spans="2:7" x14ac:dyDescent="0.25">
      <c r="B45" s="30"/>
      <c r="C45" s="51"/>
      <c r="D45" s="50"/>
      <c r="E45" s="50"/>
      <c r="F45" s="50"/>
      <c r="G45" s="52"/>
    </row>
    <row r="46" spans="2:7" x14ac:dyDescent="0.25">
      <c r="B46" s="30"/>
      <c r="C46" s="51"/>
      <c r="D46" s="50"/>
      <c r="E46" s="50"/>
      <c r="F46" s="50"/>
      <c r="G46" s="52"/>
    </row>
    <row r="47" spans="2:7" x14ac:dyDescent="0.25">
      <c r="B47" s="30"/>
      <c r="C47" s="51"/>
      <c r="D47" s="50"/>
      <c r="E47" s="50"/>
      <c r="F47" s="50"/>
      <c r="G47" s="52"/>
    </row>
    <row r="48" spans="2:7" x14ac:dyDescent="0.25">
      <c r="B48" s="30"/>
      <c r="C48" s="51"/>
      <c r="D48" s="50"/>
      <c r="E48" s="50"/>
      <c r="F48" s="50"/>
      <c r="G48" s="52"/>
    </row>
    <row r="49" spans="2:7" x14ac:dyDescent="0.25">
      <c r="B49" s="30"/>
      <c r="C49" s="51"/>
      <c r="D49" s="50"/>
      <c r="E49" s="50"/>
      <c r="F49" s="50"/>
      <c r="G49" s="52"/>
    </row>
  </sheetData>
  <printOptions horizontalCentered="1"/>
  <pageMargins left="0.7" right="0.7" top="0.75" bottom="0.75" header="0.3" footer="0.3"/>
  <pageSetup orientation="landscape" r:id="rId1"/>
  <headerFooter>
    <oddHeader>&amp;R&amp;"Arial,Bold"&amp;10Exhibit JW-9
 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R300"/>
  <sheetViews>
    <sheetView view="pageBreakPreview" zoomScale="75" zoomScaleNormal="65" zoomScaleSheetLayoutView="75" workbookViewId="0">
      <pane xSplit="4" ySplit="5" topLeftCell="E13" activePane="bottomRight" state="frozen"/>
      <selection activeCell="D3" sqref="D3"/>
      <selection pane="topRight" activeCell="D3" sqref="D3"/>
      <selection pane="bottomLeft" activeCell="D3" sqref="D3"/>
      <selection pane="bottomRight" activeCell="G21" sqref="G21"/>
    </sheetView>
  </sheetViews>
  <sheetFormatPr defaultRowHeight="13.2" x14ac:dyDescent="0.25"/>
  <cols>
    <col min="1" max="1" width="9.6640625" style="108" customWidth="1"/>
    <col min="2" max="2" width="32" style="30" customWidth="1"/>
    <col min="3" max="3" width="11.88671875" style="104" customWidth="1"/>
    <col min="4" max="4" width="31.5546875" style="30" bestFit="1" customWidth="1"/>
    <col min="5" max="5" width="14.44140625" style="30" bestFit="1" customWidth="1"/>
    <col min="6" max="6" width="10" style="30" bestFit="1" customWidth="1"/>
    <col min="7" max="7" width="15.33203125" style="30" bestFit="1" customWidth="1"/>
    <col min="8" max="8" width="10" style="30" bestFit="1" customWidth="1"/>
    <col min="9" max="9" width="14.44140625" style="30" bestFit="1" customWidth="1"/>
    <col min="10" max="10" width="13.109375" style="30" customWidth="1"/>
    <col min="11" max="11" width="7.88671875" style="30" customWidth="1"/>
    <col min="12" max="12" width="10.5546875" style="30" bestFit="1" customWidth="1"/>
    <col min="13" max="13" width="14.109375" style="30" customWidth="1"/>
    <col min="14" max="14" width="8.88671875" style="30"/>
    <col min="15" max="15" width="9.33203125" style="30" bestFit="1" customWidth="1"/>
    <col min="16" max="16" width="15.33203125" style="30" customWidth="1"/>
    <col min="17" max="16384" width="8.88671875" style="30"/>
  </cols>
  <sheetData>
    <row r="1" spans="1:17" x14ac:dyDescent="0.25">
      <c r="A1" s="116" t="str">
        <f>Summary!A1</f>
        <v>Fleming-Mason RECC</v>
      </c>
    </row>
    <row r="2" spans="1:17" ht="14.4" customHeight="1" x14ac:dyDescent="0.25">
      <c r="A2" s="116" t="str">
        <f>Summary!A2</f>
        <v>Billing Analysis of Present and Proposed Rates</v>
      </c>
      <c r="G2" s="42"/>
    </row>
    <row r="3" spans="1:17" x14ac:dyDescent="0.25">
      <c r="L3" s="41">
        <f>J237</f>
        <v>-2237.0162376919761</v>
      </c>
    </row>
    <row r="5" spans="1:17" ht="38.4" customHeight="1" x14ac:dyDescent="0.25">
      <c r="A5" s="117" t="s">
        <v>0</v>
      </c>
      <c r="B5" s="117" t="s">
        <v>9</v>
      </c>
      <c r="C5" s="91" t="s">
        <v>8</v>
      </c>
      <c r="D5" s="117" t="s">
        <v>10</v>
      </c>
      <c r="E5" s="90" t="s">
        <v>11</v>
      </c>
      <c r="F5" s="90" t="s">
        <v>18</v>
      </c>
      <c r="G5" s="90" t="s">
        <v>19</v>
      </c>
      <c r="H5" s="90" t="s">
        <v>17</v>
      </c>
      <c r="I5" s="90" t="s">
        <v>3</v>
      </c>
      <c r="J5" s="90" t="s">
        <v>12</v>
      </c>
      <c r="K5" s="91" t="s">
        <v>13</v>
      </c>
    </row>
    <row r="6" spans="1:17" ht="30.6" customHeight="1" thickBot="1" x14ac:dyDescent="0.3">
      <c r="A6" s="118"/>
      <c r="B6" s="119"/>
      <c r="C6" s="93"/>
      <c r="D6" s="119"/>
      <c r="E6" s="92"/>
      <c r="F6" s="92"/>
      <c r="G6" s="92"/>
      <c r="H6" s="92"/>
      <c r="I6" s="92"/>
      <c r="J6" s="92"/>
      <c r="K6" s="93"/>
    </row>
    <row r="7" spans="1:17" x14ac:dyDescent="0.25">
      <c r="A7" s="120">
        <v>1</v>
      </c>
      <c r="B7" s="94" t="s">
        <v>47</v>
      </c>
      <c r="C7" s="121" t="s">
        <v>27</v>
      </c>
      <c r="D7" s="94"/>
      <c r="E7" s="94"/>
      <c r="F7" s="94"/>
      <c r="G7" s="94"/>
      <c r="H7" s="94"/>
      <c r="I7" s="94"/>
      <c r="J7" s="94"/>
      <c r="K7" s="94"/>
    </row>
    <row r="8" spans="1:17" x14ac:dyDescent="0.25">
      <c r="A8" s="120">
        <f>A7+1</f>
        <v>2</v>
      </c>
      <c r="D8" s="30" t="s">
        <v>14</v>
      </c>
      <c r="E8" s="43">
        <v>288499</v>
      </c>
      <c r="F8" s="37">
        <v>15.57</v>
      </c>
      <c r="G8" s="44">
        <f>F8*E8</f>
        <v>4491929.43</v>
      </c>
      <c r="H8" s="37">
        <v>19.5</v>
      </c>
      <c r="I8" s="44">
        <f>H8*E8</f>
        <v>5625730.5</v>
      </c>
      <c r="J8" s="44">
        <f t="shared" ref="J8:J13" si="0">I8-G8</f>
        <v>1133801.0700000003</v>
      </c>
      <c r="K8" s="38">
        <f>IF(G8=0,0,J8/G8)</f>
        <v>0.25240847784200393</v>
      </c>
    </row>
    <row r="9" spans="1:17" x14ac:dyDescent="0.25">
      <c r="A9" s="120">
        <f t="shared" ref="A9:A112" si="1">A8+1</f>
        <v>3</v>
      </c>
      <c r="B9" s="37"/>
      <c r="D9" s="30" t="s">
        <v>59</v>
      </c>
      <c r="E9" s="43">
        <v>308135777</v>
      </c>
      <c r="F9" s="99">
        <v>8.3299999999999999E-2</v>
      </c>
      <c r="G9" s="44">
        <f>F9*E9</f>
        <v>25667710.224100001</v>
      </c>
      <c r="H9" s="99">
        <f>ROUND(F9*L9,5)</f>
        <v>8.5750000000000007E-2</v>
      </c>
      <c r="I9" s="44">
        <f>H9*E9</f>
        <v>26422642.877750002</v>
      </c>
      <c r="J9" s="44">
        <f t="shared" si="0"/>
        <v>754932.65365000069</v>
      </c>
      <c r="K9" s="38">
        <f>IF(G9=0,0,J9/G9)</f>
        <v>2.941176470588238E-2</v>
      </c>
      <c r="L9" s="39">
        <v>1.0294700000000001</v>
      </c>
    </row>
    <row r="10" spans="1:17" s="108" customFormat="1" ht="20.399999999999999" customHeight="1" x14ac:dyDescent="0.25">
      <c r="A10" s="120">
        <f t="shared" si="1"/>
        <v>4</v>
      </c>
      <c r="C10" s="109"/>
      <c r="D10" s="95" t="s">
        <v>4</v>
      </c>
      <c r="E10" s="95"/>
      <c r="F10" s="95"/>
      <c r="G10" s="11">
        <f>SUM(G8:G9)</f>
        <v>30159639.654100001</v>
      </c>
      <c r="H10" s="95"/>
      <c r="I10" s="11">
        <f>SUM(I8:I9)</f>
        <v>32048373.377750002</v>
      </c>
      <c r="J10" s="11">
        <f t="shared" si="0"/>
        <v>1888733.723650001</v>
      </c>
      <c r="K10" s="45">
        <f>J10/G10</f>
        <v>6.2624545429316503E-2</v>
      </c>
      <c r="L10" s="122">
        <f>K10/G10</f>
        <v>2.0764354663237205E-9</v>
      </c>
      <c r="M10" s="30"/>
      <c r="O10" s="30"/>
      <c r="P10" s="30"/>
      <c r="Q10" s="30"/>
    </row>
    <row r="11" spans="1:17" x14ac:dyDescent="0.25">
      <c r="A11" s="120">
        <f t="shared" si="1"/>
        <v>5</v>
      </c>
      <c r="D11" s="30" t="s">
        <v>20</v>
      </c>
      <c r="G11" s="41">
        <v>4192666.4299999997</v>
      </c>
      <c r="I11" s="44">
        <f>G11</f>
        <v>4192666.4299999997</v>
      </c>
      <c r="J11" s="44">
        <f t="shared" si="0"/>
        <v>0</v>
      </c>
      <c r="K11" s="37">
        <v>0</v>
      </c>
      <c r="O11" s="123"/>
      <c r="P11" s="124"/>
      <c r="Q11" s="108"/>
    </row>
    <row r="12" spans="1:17" x14ac:dyDescent="0.25">
      <c r="A12" s="120">
        <f t="shared" si="1"/>
        <v>6</v>
      </c>
      <c r="D12" s="30" t="s">
        <v>21</v>
      </c>
      <c r="G12" s="41">
        <v>2756531.79</v>
      </c>
      <c r="I12" s="44">
        <f>G12</f>
        <v>2756531.79</v>
      </c>
      <c r="J12" s="44">
        <f t="shared" si="0"/>
        <v>0</v>
      </c>
      <c r="K12" s="37">
        <v>0</v>
      </c>
      <c r="O12" s="114"/>
      <c r="P12" s="37"/>
    </row>
    <row r="13" spans="1:17" x14ac:dyDescent="0.25">
      <c r="A13" s="120">
        <f t="shared" si="1"/>
        <v>7</v>
      </c>
      <c r="D13" s="30" t="s">
        <v>98</v>
      </c>
      <c r="E13" s="43"/>
      <c r="G13" s="41">
        <v>-3279.37</v>
      </c>
      <c r="I13" s="44">
        <f>G13</f>
        <v>-3279.37</v>
      </c>
      <c r="J13" s="44">
        <f t="shared" si="0"/>
        <v>0</v>
      </c>
      <c r="K13" s="37">
        <v>0</v>
      </c>
      <c r="O13" s="63"/>
      <c r="P13" s="37"/>
    </row>
    <row r="14" spans="1:17" x14ac:dyDescent="0.25">
      <c r="A14" s="120">
        <f t="shared" si="1"/>
        <v>8</v>
      </c>
      <c r="B14" s="125"/>
      <c r="D14" s="30" t="s">
        <v>99</v>
      </c>
      <c r="G14" s="41">
        <v>462</v>
      </c>
      <c r="I14" s="44">
        <f>G14</f>
        <v>462</v>
      </c>
      <c r="J14" s="44"/>
      <c r="K14" s="37">
        <v>0</v>
      </c>
      <c r="O14" s="63"/>
      <c r="P14" s="37"/>
    </row>
    <row r="15" spans="1:17" x14ac:dyDescent="0.25">
      <c r="A15" s="120">
        <f t="shared" si="1"/>
        <v>9</v>
      </c>
      <c r="D15" s="96" t="s">
        <v>5</v>
      </c>
      <c r="E15" s="96"/>
      <c r="F15" s="96"/>
      <c r="G15" s="46">
        <f>SUM(G11:G14)</f>
        <v>6946380.8499999996</v>
      </c>
      <c r="H15" s="96"/>
      <c r="I15" s="46">
        <f>SUM(I11:I14)</f>
        <v>6946380.8499999996</v>
      </c>
      <c r="J15" s="46">
        <f>I15-G15</f>
        <v>0</v>
      </c>
      <c r="K15" s="47">
        <f>J15/G15</f>
        <v>0</v>
      </c>
      <c r="O15" s="122"/>
      <c r="P15" s="124"/>
    </row>
    <row r="16" spans="1:17" s="108" customFormat="1" ht="26.4" customHeight="1" thickBot="1" x14ac:dyDescent="0.3">
      <c r="A16" s="120">
        <f t="shared" si="1"/>
        <v>10</v>
      </c>
      <c r="C16" s="109"/>
      <c r="D16" s="40" t="s">
        <v>16</v>
      </c>
      <c r="E16" s="40"/>
      <c r="F16" s="40"/>
      <c r="G16" s="97">
        <f>G15+G10</f>
        <v>37106020.504100002</v>
      </c>
      <c r="H16" s="40"/>
      <c r="I16" s="48">
        <f>I15+I10</f>
        <v>38994754.227750003</v>
      </c>
      <c r="J16" s="48">
        <f>ROUND(I16-G16,2)</f>
        <v>1888733.72</v>
      </c>
      <c r="K16" s="49">
        <f>J16/G16</f>
        <v>5.0901004590112424E-2</v>
      </c>
      <c r="L16" s="122">
        <f>K16/G16</f>
        <v>1.3717721248089148E-9</v>
      </c>
      <c r="M16" s="30"/>
      <c r="O16" s="114"/>
      <c r="P16" s="37"/>
      <c r="Q16" s="30"/>
    </row>
    <row r="17" spans="1:17" ht="13.8" thickTop="1" x14ac:dyDescent="0.25">
      <c r="A17" s="120">
        <f t="shared" si="1"/>
        <v>11</v>
      </c>
      <c r="D17" s="30" t="s">
        <v>15</v>
      </c>
      <c r="E17" s="43">
        <f>E9/E8</f>
        <v>1068.0653208503322</v>
      </c>
      <c r="G17" s="98">
        <f>G16/E8</f>
        <v>128.61750128804607</v>
      </c>
      <c r="I17" s="98">
        <f>I16/E8</f>
        <v>135.1642613241294</v>
      </c>
      <c r="J17" s="98">
        <f>I17-G17</f>
        <v>6.5467600360833273</v>
      </c>
      <c r="K17" s="38">
        <f>J17/G17</f>
        <v>5.0901004688479315E-2</v>
      </c>
      <c r="O17" s="122"/>
      <c r="P17" s="126"/>
      <c r="Q17" s="108"/>
    </row>
    <row r="18" spans="1:17" ht="13.8" thickBot="1" x14ac:dyDescent="0.3">
      <c r="A18" s="120">
        <f t="shared" si="1"/>
        <v>12</v>
      </c>
    </row>
    <row r="19" spans="1:17" x14ac:dyDescent="0.25">
      <c r="A19" s="120">
        <f t="shared" si="1"/>
        <v>13</v>
      </c>
      <c r="B19" s="94" t="s">
        <v>48</v>
      </c>
      <c r="C19" s="121" t="s">
        <v>83</v>
      </c>
      <c r="D19" s="94"/>
      <c r="E19" s="94"/>
      <c r="F19" s="94"/>
      <c r="G19" s="94"/>
      <c r="H19" s="94"/>
      <c r="I19" s="94"/>
      <c r="J19" s="94"/>
      <c r="K19" s="94"/>
    </row>
    <row r="20" spans="1:17" x14ac:dyDescent="0.25">
      <c r="A20" s="120">
        <f>A19+1</f>
        <v>14</v>
      </c>
      <c r="D20" s="30" t="s">
        <v>14</v>
      </c>
      <c r="E20" s="43">
        <v>613</v>
      </c>
      <c r="F20" s="37">
        <f>15.57</f>
        <v>15.57</v>
      </c>
      <c r="G20" s="44">
        <f>F20*E20</f>
        <v>9544.41</v>
      </c>
      <c r="H20" s="37">
        <f>H8</f>
        <v>19.5</v>
      </c>
      <c r="I20" s="44">
        <f>H20*E20</f>
        <v>11953.5</v>
      </c>
      <c r="J20" s="44">
        <f t="shared" ref="J20:J26" si="2">I20-G20</f>
        <v>2409.09</v>
      </c>
      <c r="K20" s="38">
        <f>IF(G20=0,0,J20/G20)</f>
        <v>0.25240847784200388</v>
      </c>
    </row>
    <row r="21" spans="1:17" x14ac:dyDescent="0.25">
      <c r="A21" s="120"/>
      <c r="D21" s="30" t="s">
        <v>59</v>
      </c>
      <c r="E21" s="43">
        <v>601479</v>
      </c>
      <c r="F21" s="39">
        <f>F9</f>
        <v>8.3299999999999999E-2</v>
      </c>
      <c r="G21" s="44">
        <f>F21*E21</f>
        <v>50103.200700000001</v>
      </c>
      <c r="H21" s="39">
        <f>H9</f>
        <v>8.5750000000000007E-2</v>
      </c>
      <c r="I21" s="44">
        <f>H21*E21</f>
        <v>51576.824250000005</v>
      </c>
      <c r="J21" s="44">
        <f t="shared" ref="J21" si="3">I21-G21</f>
        <v>1473.6235500000039</v>
      </c>
      <c r="K21" s="38">
        <f>IF(G21=0,0,J21/G21)</f>
        <v>2.9411764705882429E-2</v>
      </c>
    </row>
    <row r="22" spans="1:17" x14ac:dyDescent="0.25">
      <c r="A22" s="120">
        <f>A19+1</f>
        <v>14</v>
      </c>
      <c r="C22" s="43"/>
      <c r="D22" s="30" t="s">
        <v>60</v>
      </c>
      <c r="E22" s="43">
        <v>308031</v>
      </c>
      <c r="F22" s="99">
        <v>5.0790000000000002E-2</v>
      </c>
      <c r="G22" s="44">
        <f>F22*E22</f>
        <v>15644.894490000001</v>
      </c>
      <c r="H22" s="99">
        <f>F22</f>
        <v>5.0790000000000002E-2</v>
      </c>
      <c r="I22" s="44">
        <f>H22*E22</f>
        <v>15644.894490000001</v>
      </c>
      <c r="J22" s="44">
        <f t="shared" si="2"/>
        <v>0</v>
      </c>
      <c r="K22" s="38">
        <f>IF(G22=0,0,J22/G22)</f>
        <v>0</v>
      </c>
    </row>
    <row r="23" spans="1:17" s="108" customFormat="1" ht="20.399999999999999" customHeight="1" x14ac:dyDescent="0.25">
      <c r="A23" s="120">
        <f t="shared" si="1"/>
        <v>15</v>
      </c>
      <c r="C23" s="109"/>
      <c r="D23" s="95" t="s">
        <v>4</v>
      </c>
      <c r="E23" s="95"/>
      <c r="F23" s="95"/>
      <c r="G23" s="11">
        <f>SUM(G20:G22)</f>
        <v>75292.505190000011</v>
      </c>
      <c r="H23" s="95"/>
      <c r="I23" s="11">
        <f>SUM(I20:I22)</f>
        <v>79175.218740000011</v>
      </c>
      <c r="J23" s="11">
        <f t="shared" si="2"/>
        <v>3882.7135500000004</v>
      </c>
      <c r="K23" s="45">
        <f>J23/G23</f>
        <v>5.1568393696052546E-2</v>
      </c>
      <c r="L23" s="122">
        <f>K23/G23</f>
        <v>6.8490739637258898E-7</v>
      </c>
      <c r="M23" s="30"/>
      <c r="O23" s="30"/>
    </row>
    <row r="24" spans="1:17" x14ac:dyDescent="0.25">
      <c r="A24" s="120">
        <f t="shared" si="1"/>
        <v>16</v>
      </c>
      <c r="B24" s="108"/>
      <c r="D24" s="30" t="s">
        <v>20</v>
      </c>
      <c r="G24" s="41">
        <v>12488.68</v>
      </c>
      <c r="I24" s="44">
        <f>G24</f>
        <v>12488.68</v>
      </c>
      <c r="J24" s="44">
        <f t="shared" si="2"/>
        <v>0</v>
      </c>
      <c r="K24" s="37">
        <v>0</v>
      </c>
    </row>
    <row r="25" spans="1:17" x14ac:dyDescent="0.25">
      <c r="A25" s="120">
        <f t="shared" si="1"/>
        <v>17</v>
      </c>
      <c r="B25" s="108"/>
      <c r="C25" s="30"/>
      <c r="D25" s="30" t="s">
        <v>21</v>
      </c>
      <c r="G25" s="41">
        <v>6633.0399999999991</v>
      </c>
      <c r="I25" s="44">
        <f>G25</f>
        <v>6633.0399999999991</v>
      </c>
      <c r="J25" s="44">
        <f t="shared" si="2"/>
        <v>0</v>
      </c>
      <c r="K25" s="37">
        <v>0</v>
      </c>
    </row>
    <row r="26" spans="1:17" x14ac:dyDescent="0.25">
      <c r="A26" s="120">
        <f t="shared" si="1"/>
        <v>18</v>
      </c>
      <c r="B26" s="108"/>
      <c r="D26" s="30" t="s">
        <v>23</v>
      </c>
      <c r="G26" s="41">
        <v>0</v>
      </c>
      <c r="I26" s="44">
        <f>G26</f>
        <v>0</v>
      </c>
      <c r="J26" s="44">
        <f t="shared" si="2"/>
        <v>0</v>
      </c>
      <c r="K26" s="37">
        <v>0</v>
      </c>
    </row>
    <row r="27" spans="1:17" x14ac:dyDescent="0.25">
      <c r="A27" s="120">
        <f t="shared" si="1"/>
        <v>19</v>
      </c>
      <c r="D27" s="30" t="s">
        <v>25</v>
      </c>
      <c r="G27" s="41">
        <v>0</v>
      </c>
      <c r="I27" s="44">
        <f>G27</f>
        <v>0</v>
      </c>
      <c r="J27" s="44"/>
      <c r="K27" s="37"/>
    </row>
    <row r="28" spans="1:17" x14ac:dyDescent="0.25">
      <c r="A28" s="120">
        <f t="shared" si="1"/>
        <v>20</v>
      </c>
      <c r="D28" s="96" t="s">
        <v>5</v>
      </c>
      <c r="E28" s="96"/>
      <c r="F28" s="96"/>
      <c r="G28" s="46">
        <f>SUM(G24:G27)</f>
        <v>19121.72</v>
      </c>
      <c r="H28" s="96"/>
      <c r="I28" s="46">
        <f>SUM(I24:I27)</f>
        <v>19121.72</v>
      </c>
      <c r="J28" s="46">
        <f>I28-G28</f>
        <v>0</v>
      </c>
      <c r="K28" s="47">
        <f>J28/G28</f>
        <v>0</v>
      </c>
    </row>
    <row r="29" spans="1:17" s="108" customFormat="1" ht="26.4" customHeight="1" thickBot="1" x14ac:dyDescent="0.3">
      <c r="A29" s="120">
        <f t="shared" si="1"/>
        <v>21</v>
      </c>
      <c r="C29" s="109"/>
      <c r="D29" s="40" t="s">
        <v>16</v>
      </c>
      <c r="E29" s="40"/>
      <c r="F29" s="40"/>
      <c r="G29" s="97">
        <f>G28+G23</f>
        <v>94414.225190000012</v>
      </c>
      <c r="H29" s="40"/>
      <c r="I29" s="48">
        <f>I28+I23</f>
        <v>98296.938740000012</v>
      </c>
      <c r="J29" s="48">
        <f>ROUND(I29-G29,2)</f>
        <v>3882.71</v>
      </c>
      <c r="K29" s="49">
        <f>J29/G29</f>
        <v>4.1124205512319788E-2</v>
      </c>
      <c r="L29" s="122">
        <f>K29/G29</f>
        <v>4.3557213364364401E-7</v>
      </c>
      <c r="M29" s="30"/>
    </row>
    <row r="30" spans="1:17" ht="13.8" thickTop="1" x14ac:dyDescent="0.25">
      <c r="A30" s="120">
        <f t="shared" si="1"/>
        <v>22</v>
      </c>
      <c r="D30" s="30" t="s">
        <v>15</v>
      </c>
      <c r="E30" s="43">
        <f>E22/E20</f>
        <v>502.49755301794454</v>
      </c>
      <c r="G30" s="98">
        <f>G29/E20</f>
        <v>154.01994321370313</v>
      </c>
      <c r="I30" s="98">
        <f>I29/E20</f>
        <v>160.35389680261014</v>
      </c>
      <c r="J30" s="98">
        <f>I30-G30</f>
        <v>6.3339535889070078</v>
      </c>
      <c r="K30" s="38">
        <f>J30/G30</f>
        <v>4.1124243112585938E-2</v>
      </c>
    </row>
    <row r="31" spans="1:17" ht="13.8" thickBot="1" x14ac:dyDescent="0.3">
      <c r="A31" s="120">
        <f t="shared" si="1"/>
        <v>23</v>
      </c>
    </row>
    <row r="32" spans="1:17" x14ac:dyDescent="0.25">
      <c r="A32" s="120">
        <f t="shared" si="1"/>
        <v>24</v>
      </c>
      <c r="B32" s="94" t="s">
        <v>84</v>
      </c>
      <c r="C32" s="121" t="s">
        <v>85</v>
      </c>
      <c r="D32" s="94"/>
      <c r="E32" s="94"/>
      <c r="F32" s="94"/>
      <c r="G32" s="94"/>
      <c r="H32" s="94"/>
      <c r="I32" s="94"/>
      <c r="J32" s="94"/>
      <c r="K32" s="94"/>
    </row>
    <row r="33" spans="1:13" x14ac:dyDescent="0.25">
      <c r="A33" s="120">
        <f>A32+1</f>
        <v>25</v>
      </c>
      <c r="D33" s="30" t="s">
        <v>14</v>
      </c>
      <c r="E33" s="43">
        <v>6276</v>
      </c>
      <c r="F33" s="37">
        <v>15.57</v>
      </c>
      <c r="G33" s="44">
        <f>F33*E33</f>
        <v>97717.32</v>
      </c>
      <c r="H33" s="37">
        <f>F33+(H8-F8)</f>
        <v>19.5</v>
      </c>
      <c r="I33" s="44">
        <f>H33*E33</f>
        <v>122382</v>
      </c>
      <c r="J33" s="44">
        <f t="shared" ref="J33:J39" si="4">I33-G33</f>
        <v>24664.679999999993</v>
      </c>
      <c r="K33" s="38">
        <f>IF(G33=0,0,J33/G33)</f>
        <v>0.25240847784200376</v>
      </c>
    </row>
    <row r="34" spans="1:13" x14ac:dyDescent="0.25">
      <c r="A34" s="120"/>
      <c r="D34" s="30" t="s">
        <v>109</v>
      </c>
      <c r="E34" s="43">
        <f>E33</f>
        <v>6276</v>
      </c>
      <c r="F34" s="37">
        <v>5</v>
      </c>
      <c r="G34" s="44">
        <f>F34*E34</f>
        <v>31380</v>
      </c>
      <c r="H34" s="37">
        <f>F34</f>
        <v>5</v>
      </c>
      <c r="I34" s="44">
        <f>H34*E34</f>
        <v>31380</v>
      </c>
      <c r="J34" s="44">
        <f t="shared" ref="J34" si="5">I34-G34</f>
        <v>0</v>
      </c>
      <c r="K34" s="38">
        <f>IF(G34=0,0,J34/G34)</f>
        <v>0</v>
      </c>
    </row>
    <row r="35" spans="1:13" x14ac:dyDescent="0.25">
      <c r="A35" s="120">
        <f>A32+1</f>
        <v>25</v>
      </c>
      <c r="D35" s="30" t="s">
        <v>59</v>
      </c>
      <c r="E35" s="43">
        <v>7907545</v>
      </c>
      <c r="F35" s="99">
        <v>8.3299999999999999E-2</v>
      </c>
      <c r="G35" s="44">
        <f>F35*E35</f>
        <v>658698.49849999999</v>
      </c>
      <c r="H35" s="99">
        <f>H9</f>
        <v>8.5750000000000007E-2</v>
      </c>
      <c r="I35" s="44">
        <f>H35*E35</f>
        <v>678071.98375000001</v>
      </c>
      <c r="J35" s="44">
        <f t="shared" si="4"/>
        <v>19373.485250000027</v>
      </c>
      <c r="K35" s="38">
        <f>IF(G35=0,0,J35/G35)</f>
        <v>2.9411764705882394E-2</v>
      </c>
    </row>
    <row r="36" spans="1:13" s="108" customFormat="1" ht="20.399999999999999" customHeight="1" x14ac:dyDescent="0.25">
      <c r="A36" s="120">
        <f t="shared" si="1"/>
        <v>26</v>
      </c>
      <c r="C36" s="109"/>
      <c r="D36" s="95" t="s">
        <v>4</v>
      </c>
      <c r="E36" s="95"/>
      <c r="F36" s="95"/>
      <c r="G36" s="11">
        <f>SUM(G33:G35)</f>
        <v>787795.81850000005</v>
      </c>
      <c r="H36" s="95"/>
      <c r="I36" s="11">
        <f>SUM(I33:I35)</f>
        <v>831833.98375000001</v>
      </c>
      <c r="J36" s="11">
        <f t="shared" si="4"/>
        <v>44038.165249999962</v>
      </c>
      <c r="K36" s="45">
        <f>J36/G36</f>
        <v>5.5900481083855813E-2</v>
      </c>
      <c r="L36" s="122">
        <f>K36/G36</f>
        <v>7.0958083009748558E-8</v>
      </c>
      <c r="M36" s="30"/>
    </row>
    <row r="37" spans="1:13" x14ac:dyDescent="0.25">
      <c r="A37" s="120">
        <f t="shared" si="1"/>
        <v>27</v>
      </c>
      <c r="D37" s="30" t="s">
        <v>20</v>
      </c>
      <c r="G37" s="41">
        <v>108345.28</v>
      </c>
      <c r="I37" s="44">
        <f>G37</f>
        <v>108345.28</v>
      </c>
      <c r="J37" s="44">
        <f t="shared" si="4"/>
        <v>0</v>
      </c>
      <c r="K37" s="37">
        <v>0</v>
      </c>
    </row>
    <row r="38" spans="1:13" x14ac:dyDescent="0.25">
      <c r="A38" s="120">
        <f t="shared" si="1"/>
        <v>28</v>
      </c>
      <c r="D38" s="30" t="s">
        <v>21</v>
      </c>
      <c r="G38" s="41">
        <v>71603.44</v>
      </c>
      <c r="I38" s="44">
        <f>G38</f>
        <v>71603.44</v>
      </c>
      <c r="J38" s="44">
        <f t="shared" si="4"/>
        <v>0</v>
      </c>
      <c r="K38" s="37">
        <v>0</v>
      </c>
    </row>
    <row r="39" spans="1:13" x14ac:dyDescent="0.25">
      <c r="A39" s="120">
        <f t="shared" si="1"/>
        <v>29</v>
      </c>
      <c r="D39" s="30" t="s">
        <v>23</v>
      </c>
      <c r="G39" s="41">
        <v>0</v>
      </c>
      <c r="I39" s="44">
        <f>G39</f>
        <v>0</v>
      </c>
      <c r="J39" s="44">
        <f t="shared" si="4"/>
        <v>0</v>
      </c>
      <c r="K39" s="37">
        <v>0</v>
      </c>
    </row>
    <row r="40" spans="1:13" x14ac:dyDescent="0.25">
      <c r="A40" s="120">
        <f t="shared" si="1"/>
        <v>30</v>
      </c>
      <c r="D40" s="30" t="s">
        <v>25</v>
      </c>
      <c r="G40" s="41">
        <v>0</v>
      </c>
      <c r="I40" s="44">
        <f>G40</f>
        <v>0</v>
      </c>
      <c r="J40" s="44"/>
      <c r="K40" s="37"/>
    </row>
    <row r="41" spans="1:13" x14ac:dyDescent="0.25">
      <c r="A41" s="120">
        <f t="shared" si="1"/>
        <v>31</v>
      </c>
      <c r="D41" s="96" t="s">
        <v>5</v>
      </c>
      <c r="E41" s="96"/>
      <c r="F41" s="96"/>
      <c r="G41" s="46">
        <f>SUM(G37:G40)</f>
        <v>179948.72</v>
      </c>
      <c r="H41" s="96"/>
      <c r="I41" s="46">
        <f>SUM(I37:I40)</f>
        <v>179948.72</v>
      </c>
      <c r="J41" s="46">
        <f>I41-G41</f>
        <v>0</v>
      </c>
      <c r="K41" s="47">
        <f>J41/G41</f>
        <v>0</v>
      </c>
    </row>
    <row r="42" spans="1:13" s="108" customFormat="1" ht="26.4" customHeight="1" thickBot="1" x14ac:dyDescent="0.3">
      <c r="A42" s="120">
        <f t="shared" si="1"/>
        <v>32</v>
      </c>
      <c r="C42" s="109"/>
      <c r="D42" s="40" t="s">
        <v>16</v>
      </c>
      <c r="E42" s="40"/>
      <c r="F42" s="40"/>
      <c r="G42" s="97">
        <f>G41+G36</f>
        <v>967744.53850000002</v>
      </c>
      <c r="H42" s="40"/>
      <c r="I42" s="48">
        <f>I41+I36</f>
        <v>1011782.70375</v>
      </c>
      <c r="J42" s="48">
        <f>ROUND(I42-G42,2)</f>
        <v>44038.17</v>
      </c>
      <c r="K42" s="49">
        <f>J42/G42</f>
        <v>4.5505986598755675E-2</v>
      </c>
      <c r="L42" s="122">
        <f>K42/G42</f>
        <v>4.7022726337768604E-8</v>
      </c>
      <c r="M42" s="30"/>
    </row>
    <row r="43" spans="1:13" ht="13.8" thickTop="1" x14ac:dyDescent="0.25">
      <c r="A43" s="120">
        <f t="shared" si="1"/>
        <v>33</v>
      </c>
      <c r="D43" s="30" t="s">
        <v>15</v>
      </c>
      <c r="E43" s="43">
        <f>E35/E33</f>
        <v>1259.9657425111536</v>
      </c>
      <c r="G43" s="98">
        <f>G42/E33</f>
        <v>154.19766387826641</v>
      </c>
      <c r="I43" s="98">
        <f>I42/E33</f>
        <v>161.21457994741874</v>
      </c>
      <c r="J43" s="98">
        <f>I43-G43</f>
        <v>7.0169160691523302</v>
      </c>
      <c r="K43" s="38">
        <f>J43/G43</f>
        <v>4.5505981690435578E-2</v>
      </c>
    </row>
    <row r="44" spans="1:13" ht="13.8" thickBot="1" x14ac:dyDescent="0.3">
      <c r="A44" s="120">
        <f t="shared" si="1"/>
        <v>34</v>
      </c>
    </row>
    <row r="45" spans="1:13" x14ac:dyDescent="0.25">
      <c r="A45" s="120">
        <f>A31+1</f>
        <v>24</v>
      </c>
      <c r="B45" s="94" t="s">
        <v>86</v>
      </c>
      <c r="C45" s="121" t="s">
        <v>87</v>
      </c>
      <c r="D45" s="94"/>
      <c r="E45" s="94"/>
      <c r="F45" s="94"/>
      <c r="G45" s="94"/>
      <c r="H45" s="94"/>
      <c r="I45" s="94"/>
      <c r="J45" s="94"/>
      <c r="K45" s="94"/>
    </row>
    <row r="46" spans="1:13" x14ac:dyDescent="0.25">
      <c r="A46" s="120">
        <f>A45+1</f>
        <v>25</v>
      </c>
      <c r="D46" s="30" t="s">
        <v>14</v>
      </c>
      <c r="E46" s="43">
        <v>733</v>
      </c>
      <c r="F46" s="37">
        <v>15.57</v>
      </c>
      <c r="G46" s="44">
        <f>F46*E46</f>
        <v>11412.81</v>
      </c>
      <c r="H46" s="37">
        <f>H8</f>
        <v>19.5</v>
      </c>
      <c r="I46" s="44">
        <f>H46*E46</f>
        <v>14293.5</v>
      </c>
      <c r="J46" s="44">
        <f t="shared" ref="J46:J51" si="6">I46-G46</f>
        <v>2880.6900000000005</v>
      </c>
      <c r="K46" s="38">
        <f>IF(G46=0,0,J46/G46)</f>
        <v>0.25240847784200393</v>
      </c>
    </row>
    <row r="47" spans="1:13" x14ac:dyDescent="0.25">
      <c r="A47" s="120">
        <f>A45+1</f>
        <v>25</v>
      </c>
      <c r="D47" s="30" t="s">
        <v>59</v>
      </c>
      <c r="E47" s="43">
        <v>796690</v>
      </c>
      <c r="F47" s="99">
        <v>8.3299999999999999E-2</v>
      </c>
      <c r="G47" s="44">
        <f>F47*E47</f>
        <v>66364.277000000002</v>
      </c>
      <c r="H47" s="99">
        <f>H9</f>
        <v>8.5750000000000007E-2</v>
      </c>
      <c r="I47" s="44">
        <f>H47*E47</f>
        <v>68316.16750000001</v>
      </c>
      <c r="J47" s="44">
        <f t="shared" si="6"/>
        <v>1951.8905000000086</v>
      </c>
      <c r="K47" s="38">
        <f>IF(G47=0,0,J47/G47)</f>
        <v>2.9411764705882481E-2</v>
      </c>
    </row>
    <row r="48" spans="1:13" s="108" customFormat="1" ht="20.399999999999999" customHeight="1" x14ac:dyDescent="0.25">
      <c r="A48" s="120">
        <f t="shared" si="1"/>
        <v>26</v>
      </c>
      <c r="C48" s="109"/>
      <c r="D48" s="95" t="s">
        <v>4</v>
      </c>
      <c r="E48" s="95"/>
      <c r="F48" s="95"/>
      <c r="G48" s="11">
        <f>SUM(G46:G47)</f>
        <v>77777.087</v>
      </c>
      <c r="H48" s="95"/>
      <c r="I48" s="11">
        <f>SUM(I46:I47)</f>
        <v>82609.66750000001</v>
      </c>
      <c r="J48" s="11">
        <f t="shared" si="6"/>
        <v>4832.5805000000109</v>
      </c>
      <c r="K48" s="45">
        <f>J48/G48</f>
        <v>6.2133729693425149E-2</v>
      </c>
      <c r="L48" s="122">
        <f>K48/G48</f>
        <v>7.9886933401639414E-7</v>
      </c>
      <c r="M48" s="30"/>
    </row>
    <row r="49" spans="1:13" x14ac:dyDescent="0.25">
      <c r="A49" s="120">
        <f t="shared" si="1"/>
        <v>27</v>
      </c>
      <c r="D49" s="30" t="s">
        <v>20</v>
      </c>
      <c r="G49" s="41">
        <v>7841.57</v>
      </c>
      <c r="I49" s="44">
        <f>G49</f>
        <v>7841.57</v>
      </c>
      <c r="J49" s="44">
        <f t="shared" si="6"/>
        <v>0</v>
      </c>
      <c r="K49" s="37">
        <v>0</v>
      </c>
    </row>
    <row r="50" spans="1:13" x14ac:dyDescent="0.25">
      <c r="A50" s="120">
        <f t="shared" si="1"/>
        <v>28</v>
      </c>
      <c r="D50" s="30" t="s">
        <v>21</v>
      </c>
      <c r="G50" s="41">
        <v>5258.2899999999991</v>
      </c>
      <c r="I50" s="44">
        <f>G50</f>
        <v>5258.2899999999991</v>
      </c>
      <c r="J50" s="44">
        <f t="shared" si="6"/>
        <v>0</v>
      </c>
      <c r="K50" s="37">
        <v>0</v>
      </c>
    </row>
    <row r="51" spans="1:13" x14ac:dyDescent="0.25">
      <c r="A51" s="120">
        <f t="shared" si="1"/>
        <v>29</v>
      </c>
      <c r="D51" s="30" t="s">
        <v>23</v>
      </c>
      <c r="G51" s="41">
        <v>0</v>
      </c>
      <c r="I51" s="44">
        <f>G51</f>
        <v>0</v>
      </c>
      <c r="J51" s="44">
        <f t="shared" si="6"/>
        <v>0</v>
      </c>
      <c r="K51" s="37">
        <v>0</v>
      </c>
    </row>
    <row r="52" spans="1:13" x14ac:dyDescent="0.25">
      <c r="A52" s="120">
        <f t="shared" si="1"/>
        <v>30</v>
      </c>
      <c r="D52" s="30" t="s">
        <v>25</v>
      </c>
      <c r="G52" s="41">
        <v>0</v>
      </c>
      <c r="I52" s="44">
        <f>G52</f>
        <v>0</v>
      </c>
      <c r="J52" s="44"/>
      <c r="K52" s="37"/>
    </row>
    <row r="53" spans="1:13" x14ac:dyDescent="0.25">
      <c r="A53" s="120">
        <f t="shared" si="1"/>
        <v>31</v>
      </c>
      <c r="D53" s="96" t="s">
        <v>5</v>
      </c>
      <c r="E53" s="96"/>
      <c r="F53" s="96"/>
      <c r="G53" s="46">
        <f>SUM(G49:G52)</f>
        <v>13099.859999999999</v>
      </c>
      <c r="H53" s="96"/>
      <c r="I53" s="46">
        <f>SUM(I49:I52)</f>
        <v>13099.859999999999</v>
      </c>
      <c r="J53" s="46">
        <f>I53-G53</f>
        <v>0</v>
      </c>
      <c r="K53" s="47">
        <f>J53/G53</f>
        <v>0</v>
      </c>
    </row>
    <row r="54" spans="1:13" s="108" customFormat="1" ht="26.4" customHeight="1" thickBot="1" x14ac:dyDescent="0.3">
      <c r="A54" s="120">
        <f t="shared" si="1"/>
        <v>32</v>
      </c>
      <c r="C54" s="109"/>
      <c r="D54" s="40" t="s">
        <v>16</v>
      </c>
      <c r="E54" s="40"/>
      <c r="F54" s="40"/>
      <c r="G54" s="97">
        <f>G53+G48</f>
        <v>90876.947</v>
      </c>
      <c r="H54" s="40"/>
      <c r="I54" s="48">
        <f>I53+I48</f>
        <v>95709.527500000011</v>
      </c>
      <c r="J54" s="48">
        <f>ROUND(I54-G54,2)</f>
        <v>4832.58</v>
      </c>
      <c r="K54" s="49">
        <f>J54/G54</f>
        <v>5.3177182547736776E-2</v>
      </c>
      <c r="L54" s="122">
        <f>K54/G54</f>
        <v>5.851559092069497E-7</v>
      </c>
      <c r="M54" s="30"/>
    </row>
    <row r="55" spans="1:13" ht="13.8" thickTop="1" x14ac:dyDescent="0.25">
      <c r="A55" s="120">
        <f t="shared" si="1"/>
        <v>33</v>
      </c>
      <c r="D55" s="30" t="s">
        <v>15</v>
      </c>
      <c r="E55" s="43">
        <f>E47/E46</f>
        <v>1086.8894952251023</v>
      </c>
      <c r="G55" s="98">
        <f>G54/E46</f>
        <v>123.97946384720328</v>
      </c>
      <c r="I55" s="98">
        <f>I54/E46</f>
        <v>130.57234311050479</v>
      </c>
      <c r="J55" s="98">
        <f>I55-G55</f>
        <v>6.5928792633015121</v>
      </c>
      <c r="K55" s="38">
        <f>J55/G55</f>
        <v>5.3177188049682259E-2</v>
      </c>
    </row>
    <row r="56" spans="1:13" ht="13.8" thickBot="1" x14ac:dyDescent="0.3">
      <c r="A56" s="120">
        <f t="shared" si="1"/>
        <v>34</v>
      </c>
    </row>
    <row r="57" spans="1:13" x14ac:dyDescent="0.25">
      <c r="A57" s="120">
        <f>A44+1</f>
        <v>35</v>
      </c>
      <c r="B57" s="94" t="s">
        <v>88</v>
      </c>
      <c r="C57" s="121" t="s">
        <v>76</v>
      </c>
      <c r="D57" s="94"/>
      <c r="E57" s="94"/>
      <c r="F57" s="94"/>
      <c r="G57" s="94"/>
      <c r="H57" s="94"/>
      <c r="I57" s="94"/>
      <c r="J57" s="94"/>
      <c r="K57" s="94"/>
    </row>
    <row r="58" spans="1:13" x14ac:dyDescent="0.25">
      <c r="A58" s="120">
        <f>A57+1</f>
        <v>36</v>
      </c>
      <c r="D58" s="30" t="s">
        <v>14</v>
      </c>
      <c r="E58" s="43">
        <v>281</v>
      </c>
      <c r="F58" s="37">
        <v>18.97</v>
      </c>
      <c r="G58" s="44">
        <f>F58*E58</f>
        <v>5330.57</v>
      </c>
      <c r="H58" s="37">
        <f>F58</f>
        <v>18.97</v>
      </c>
      <c r="I58" s="44">
        <f>H58*E58</f>
        <v>5330.57</v>
      </c>
      <c r="J58" s="44">
        <f t="shared" ref="J58:J64" si="7">I58-G58</f>
        <v>0</v>
      </c>
      <c r="K58" s="38">
        <f>IF(G58=0,0,J58/G58)</f>
        <v>0</v>
      </c>
    </row>
    <row r="59" spans="1:13" x14ac:dyDescent="0.25">
      <c r="A59" s="120">
        <f>A56+1</f>
        <v>35</v>
      </c>
      <c r="D59" s="30" t="s">
        <v>77</v>
      </c>
      <c r="E59" s="43">
        <v>349323</v>
      </c>
      <c r="F59" s="99">
        <v>0.12514</v>
      </c>
      <c r="G59" s="44">
        <f>F59*E59</f>
        <v>43714.280220000001</v>
      </c>
      <c r="H59" s="99">
        <f>F59</f>
        <v>0.12514</v>
      </c>
      <c r="I59" s="44">
        <f>H59*E59</f>
        <v>43714.280220000001</v>
      </c>
      <c r="J59" s="44">
        <f t="shared" ref="J59" si="8">I59-G59</f>
        <v>0</v>
      </c>
      <c r="K59" s="38">
        <f>IF(G59=0,0,J59/G59)</f>
        <v>0</v>
      </c>
      <c r="L59" s="37"/>
    </row>
    <row r="60" spans="1:13" x14ac:dyDescent="0.25">
      <c r="A60" s="120">
        <f>A57+1</f>
        <v>36</v>
      </c>
      <c r="D60" s="30" t="s">
        <v>78</v>
      </c>
      <c r="E60" s="43">
        <v>833792.97100000002</v>
      </c>
      <c r="F60" s="99">
        <v>5.7790000000000001E-2</v>
      </c>
      <c r="G60" s="44">
        <f>F60*E60</f>
        <v>48184.89579409</v>
      </c>
      <c r="H60" s="99">
        <f>F60</f>
        <v>5.7790000000000001E-2</v>
      </c>
      <c r="I60" s="44">
        <f>H60*E60</f>
        <v>48184.89579409</v>
      </c>
      <c r="J60" s="44">
        <f t="shared" si="7"/>
        <v>0</v>
      </c>
      <c r="K60" s="38">
        <f>IF(G60=0,0,J60/G60)</f>
        <v>0</v>
      </c>
    </row>
    <row r="61" spans="1:13" s="108" customFormat="1" ht="20.399999999999999" customHeight="1" x14ac:dyDescent="0.25">
      <c r="A61" s="120">
        <f t="shared" si="1"/>
        <v>37</v>
      </c>
      <c r="C61" s="109"/>
      <c r="D61" s="95" t="s">
        <v>4</v>
      </c>
      <c r="E61" s="95"/>
      <c r="F61" s="95"/>
      <c r="G61" s="11">
        <f>SUM(G58:G60)</f>
        <v>97229.746014089993</v>
      </c>
      <c r="H61" s="95"/>
      <c r="I61" s="11">
        <f>SUM(I58:I60)</f>
        <v>97229.746014089993</v>
      </c>
      <c r="J61" s="11">
        <f t="shared" si="7"/>
        <v>0</v>
      </c>
      <c r="K61" s="45">
        <f>J61/G61</f>
        <v>0</v>
      </c>
      <c r="L61" s="122">
        <f>K61/G61</f>
        <v>0</v>
      </c>
      <c r="M61" s="30"/>
    </row>
    <row r="62" spans="1:13" x14ac:dyDescent="0.25">
      <c r="A62" s="120">
        <f t="shared" si="1"/>
        <v>38</v>
      </c>
      <c r="D62" s="30" t="s">
        <v>20</v>
      </c>
      <c r="G62" s="41">
        <v>15758.259999999998</v>
      </c>
      <c r="I62" s="44">
        <f>G62</f>
        <v>15758.259999999998</v>
      </c>
      <c r="J62" s="44">
        <f t="shared" si="7"/>
        <v>0</v>
      </c>
      <c r="K62" s="37">
        <v>0</v>
      </c>
    </row>
    <row r="63" spans="1:13" x14ac:dyDescent="0.25">
      <c r="A63" s="120">
        <f t="shared" si="1"/>
        <v>39</v>
      </c>
      <c r="D63" s="30" t="s">
        <v>21</v>
      </c>
      <c r="G63" s="41">
        <v>9139.43</v>
      </c>
      <c r="I63" s="44">
        <f>G63</f>
        <v>9139.43</v>
      </c>
      <c r="J63" s="44">
        <f t="shared" si="7"/>
        <v>0</v>
      </c>
      <c r="K63" s="37">
        <v>0</v>
      </c>
    </row>
    <row r="64" spans="1:13" x14ac:dyDescent="0.25">
      <c r="A64" s="120">
        <f t="shared" si="1"/>
        <v>40</v>
      </c>
      <c r="D64" s="30" t="s">
        <v>23</v>
      </c>
      <c r="G64" s="41">
        <v>0</v>
      </c>
      <c r="I64" s="44">
        <f>G64</f>
        <v>0</v>
      </c>
      <c r="J64" s="44">
        <f t="shared" si="7"/>
        <v>0</v>
      </c>
      <c r="K64" s="37">
        <v>0</v>
      </c>
    </row>
    <row r="65" spans="1:13" x14ac:dyDescent="0.25">
      <c r="A65" s="120">
        <f t="shared" si="1"/>
        <v>41</v>
      </c>
      <c r="D65" s="30" t="s">
        <v>25</v>
      </c>
      <c r="G65" s="41">
        <v>0</v>
      </c>
      <c r="I65" s="44">
        <f>G65</f>
        <v>0</v>
      </c>
      <c r="J65" s="44"/>
      <c r="K65" s="37"/>
    </row>
    <row r="66" spans="1:13" x14ac:dyDescent="0.25">
      <c r="A66" s="120">
        <f t="shared" si="1"/>
        <v>42</v>
      </c>
      <c r="D66" s="96" t="s">
        <v>5</v>
      </c>
      <c r="E66" s="96"/>
      <c r="F66" s="96"/>
      <c r="G66" s="46">
        <f>SUM(G62:G65)</f>
        <v>24897.69</v>
      </c>
      <c r="H66" s="96"/>
      <c r="I66" s="46">
        <f>SUM(I62:I65)</f>
        <v>24897.69</v>
      </c>
      <c r="J66" s="46">
        <f>I66-G66</f>
        <v>0</v>
      </c>
      <c r="K66" s="47">
        <f>J66/G66</f>
        <v>0</v>
      </c>
    </row>
    <row r="67" spans="1:13" s="108" customFormat="1" ht="26.4" customHeight="1" thickBot="1" x14ac:dyDescent="0.3">
      <c r="A67" s="120">
        <f t="shared" si="1"/>
        <v>43</v>
      </c>
      <c r="C67" s="109"/>
      <c r="D67" s="40" t="s">
        <v>16</v>
      </c>
      <c r="E67" s="40"/>
      <c r="F67" s="40"/>
      <c r="G67" s="97">
        <f>G66+G61</f>
        <v>122127.43601409</v>
      </c>
      <c r="H67" s="40"/>
      <c r="I67" s="48">
        <f>I66+I61</f>
        <v>122127.43601409</v>
      </c>
      <c r="J67" s="48">
        <f>ROUND(I67-G67,2)</f>
        <v>0</v>
      </c>
      <c r="K67" s="49">
        <f>J67/G67</f>
        <v>0</v>
      </c>
      <c r="L67" s="122">
        <f>K67/G67</f>
        <v>0</v>
      </c>
      <c r="M67" s="30"/>
    </row>
    <row r="68" spans="1:13" ht="13.8" thickTop="1" x14ac:dyDescent="0.25">
      <c r="A68" s="120">
        <f t="shared" si="1"/>
        <v>44</v>
      </c>
      <c r="D68" s="30" t="s">
        <v>15</v>
      </c>
      <c r="E68" s="43">
        <f>E59/E58</f>
        <v>1243.1423487544484</v>
      </c>
      <c r="G68" s="98">
        <f>G67/E58</f>
        <v>434.61721001455516</v>
      </c>
      <c r="I68" s="98">
        <f>I67/E58</f>
        <v>434.61721001455516</v>
      </c>
      <c r="J68" s="98">
        <f>I68-G68</f>
        <v>0</v>
      </c>
      <c r="K68" s="38">
        <f>J68/G68</f>
        <v>0</v>
      </c>
    </row>
    <row r="69" spans="1:13" ht="13.8" thickBot="1" x14ac:dyDescent="0.3">
      <c r="A69" s="120">
        <f t="shared" si="1"/>
        <v>45</v>
      </c>
    </row>
    <row r="70" spans="1:13" x14ac:dyDescent="0.25">
      <c r="A70" s="120">
        <f t="shared" si="1"/>
        <v>46</v>
      </c>
      <c r="B70" s="94" t="s">
        <v>49</v>
      </c>
      <c r="C70" s="121" t="s">
        <v>31</v>
      </c>
      <c r="D70" s="94"/>
      <c r="E70" s="94"/>
      <c r="F70" s="94"/>
      <c r="G70" s="94"/>
      <c r="H70" s="94"/>
      <c r="I70" s="94"/>
      <c r="J70" s="94"/>
      <c r="K70" s="94"/>
    </row>
    <row r="71" spans="1:13" x14ac:dyDescent="0.25">
      <c r="A71" s="120">
        <f t="shared" si="1"/>
        <v>47</v>
      </c>
      <c r="D71" s="30" t="s">
        <v>14</v>
      </c>
      <c r="E71" s="43">
        <v>3746</v>
      </c>
      <c r="F71" s="37">
        <v>15.57</v>
      </c>
      <c r="G71" s="44">
        <f>F71*E71</f>
        <v>58325.22</v>
      </c>
      <c r="H71" s="37">
        <f>F71</f>
        <v>15.57</v>
      </c>
      <c r="I71" s="44">
        <f>H71*E71</f>
        <v>58325.22</v>
      </c>
      <c r="J71" s="44">
        <f t="shared" ref="J71:J78" si="9">I71-G71</f>
        <v>0</v>
      </c>
      <c r="K71" s="38">
        <f>IF(G71=0,0,J71/G71)</f>
        <v>0</v>
      </c>
      <c r="L71" s="37"/>
    </row>
    <row r="72" spans="1:13" x14ac:dyDescent="0.25">
      <c r="A72" s="120">
        <f t="shared" si="1"/>
        <v>48</v>
      </c>
      <c r="C72" s="30"/>
      <c r="D72" s="30" t="s">
        <v>61</v>
      </c>
      <c r="E72" s="43">
        <v>327463</v>
      </c>
      <c r="F72" s="99">
        <v>6.5129999999999993E-2</v>
      </c>
      <c r="G72" s="44">
        <f>F72*E72</f>
        <v>21327.665189999996</v>
      </c>
      <c r="H72" s="39">
        <f>F72</f>
        <v>6.5129999999999993E-2</v>
      </c>
      <c r="I72" s="44">
        <f>H72*E72</f>
        <v>21327.665189999996</v>
      </c>
      <c r="J72" s="44">
        <f t="shared" si="9"/>
        <v>0</v>
      </c>
      <c r="K72" s="38">
        <f>IF(G72=0,0,J72/G72)</f>
        <v>0</v>
      </c>
      <c r="L72" s="37"/>
    </row>
    <row r="73" spans="1:13" x14ac:dyDescent="0.25">
      <c r="A73" s="120">
        <f t="shared" si="1"/>
        <v>49</v>
      </c>
      <c r="C73" s="30"/>
      <c r="D73" s="30" t="s">
        <v>62</v>
      </c>
      <c r="E73" s="43">
        <v>275508</v>
      </c>
      <c r="F73" s="99">
        <v>7.5509999999999994E-2</v>
      </c>
      <c r="G73" s="44">
        <f>F73*E73</f>
        <v>20803.609079999998</v>
      </c>
      <c r="H73" s="39">
        <f>F73</f>
        <v>7.5509999999999994E-2</v>
      </c>
      <c r="I73" s="44">
        <f>H73*E73</f>
        <v>20803.609079999998</v>
      </c>
      <c r="J73" s="44">
        <f t="shared" si="9"/>
        <v>0</v>
      </c>
      <c r="K73" s="38">
        <f>IF(G73=0,0,J73/G73)</f>
        <v>0</v>
      </c>
      <c r="L73" s="37"/>
    </row>
    <row r="74" spans="1:13" x14ac:dyDescent="0.25">
      <c r="A74" s="120">
        <f t="shared" si="1"/>
        <v>50</v>
      </c>
      <c r="C74" s="30"/>
      <c r="D74" s="30" t="s">
        <v>63</v>
      </c>
      <c r="E74" s="43">
        <v>302167</v>
      </c>
      <c r="F74" s="99">
        <v>0.10664999999999999</v>
      </c>
      <c r="G74" s="44">
        <f>F74*E74</f>
        <v>32226.110549999998</v>
      </c>
      <c r="H74" s="39">
        <f>F74</f>
        <v>0.10664999999999999</v>
      </c>
      <c r="I74" s="44">
        <f>H74*E74</f>
        <v>32226.110549999998</v>
      </c>
      <c r="J74" s="44">
        <f t="shared" si="9"/>
        <v>0</v>
      </c>
      <c r="K74" s="38">
        <f>IF(G74=0,0,J74/G74)</f>
        <v>0</v>
      </c>
      <c r="L74" s="37"/>
    </row>
    <row r="75" spans="1:13" s="108" customFormat="1" ht="20.399999999999999" customHeight="1" x14ac:dyDescent="0.25">
      <c r="A75" s="120">
        <f t="shared" si="1"/>
        <v>51</v>
      </c>
      <c r="B75" s="30"/>
      <c r="C75" s="109"/>
      <c r="D75" s="95" t="s">
        <v>4</v>
      </c>
      <c r="E75" s="95"/>
      <c r="F75" s="95"/>
      <c r="G75" s="11">
        <f>SUM(G71:G74)</f>
        <v>132682.60482000001</v>
      </c>
      <c r="H75" s="95"/>
      <c r="I75" s="11">
        <f>SUM(I71:I74)</f>
        <v>132682.60482000001</v>
      </c>
      <c r="J75" s="11">
        <f t="shared" si="9"/>
        <v>0</v>
      </c>
      <c r="K75" s="45">
        <f>J75/G75</f>
        <v>0</v>
      </c>
      <c r="L75" s="122">
        <f>K75/G75</f>
        <v>0</v>
      </c>
      <c r="M75" s="30"/>
    </row>
    <row r="76" spans="1:13" x14ac:dyDescent="0.25">
      <c r="A76" s="120">
        <f t="shared" si="1"/>
        <v>52</v>
      </c>
      <c r="D76" s="30" t="s">
        <v>20</v>
      </c>
      <c r="G76" s="41">
        <v>12501.839999999998</v>
      </c>
      <c r="I76" s="44">
        <f>G76</f>
        <v>12501.839999999998</v>
      </c>
      <c r="J76" s="44">
        <f t="shared" si="9"/>
        <v>0</v>
      </c>
      <c r="K76" s="37">
        <v>0</v>
      </c>
    </row>
    <row r="77" spans="1:13" x14ac:dyDescent="0.25">
      <c r="A77" s="120">
        <f t="shared" si="1"/>
        <v>53</v>
      </c>
      <c r="D77" s="30" t="s">
        <v>21</v>
      </c>
      <c r="G77" s="41">
        <v>11244.34</v>
      </c>
      <c r="I77" s="44">
        <f>G77</f>
        <v>11244.34</v>
      </c>
      <c r="J77" s="44">
        <f t="shared" si="9"/>
        <v>0</v>
      </c>
      <c r="K77" s="37">
        <v>0</v>
      </c>
    </row>
    <row r="78" spans="1:13" x14ac:dyDescent="0.25">
      <c r="A78" s="120">
        <f t="shared" si="1"/>
        <v>54</v>
      </c>
      <c r="D78" s="30" t="s">
        <v>23</v>
      </c>
      <c r="G78" s="41">
        <v>0</v>
      </c>
      <c r="I78" s="44">
        <f>G78</f>
        <v>0</v>
      </c>
      <c r="J78" s="44">
        <f t="shared" si="9"/>
        <v>0</v>
      </c>
      <c r="K78" s="37">
        <v>0</v>
      </c>
    </row>
    <row r="79" spans="1:13" x14ac:dyDescent="0.25">
      <c r="A79" s="120">
        <f t="shared" si="1"/>
        <v>55</v>
      </c>
      <c r="D79" s="30" t="s">
        <v>25</v>
      </c>
      <c r="G79" s="41">
        <v>0</v>
      </c>
      <c r="I79" s="44">
        <f>G79</f>
        <v>0</v>
      </c>
      <c r="J79" s="44"/>
      <c r="K79" s="37"/>
    </row>
    <row r="80" spans="1:13" x14ac:dyDescent="0.25">
      <c r="A80" s="120">
        <f t="shared" si="1"/>
        <v>56</v>
      </c>
      <c r="D80" s="96" t="s">
        <v>5</v>
      </c>
      <c r="E80" s="96"/>
      <c r="F80" s="96"/>
      <c r="G80" s="46">
        <f>SUM(G76:G79)</f>
        <v>23746.18</v>
      </c>
      <c r="H80" s="96"/>
      <c r="I80" s="46">
        <f>SUM(I76:I79)</f>
        <v>23746.18</v>
      </c>
      <c r="J80" s="46">
        <f>I80-G80</f>
        <v>0</v>
      </c>
      <c r="K80" s="47">
        <f>J80/G80</f>
        <v>0</v>
      </c>
    </row>
    <row r="81" spans="1:13" s="108" customFormat="1" ht="26.4" customHeight="1" thickBot="1" x14ac:dyDescent="0.3">
      <c r="A81" s="120">
        <f t="shared" si="1"/>
        <v>57</v>
      </c>
      <c r="C81" s="109"/>
      <c r="D81" s="40" t="s">
        <v>16</v>
      </c>
      <c r="E81" s="40"/>
      <c r="F81" s="40"/>
      <c r="G81" s="97">
        <f>G80+G75</f>
        <v>156428.78482</v>
      </c>
      <c r="H81" s="40"/>
      <c r="I81" s="48">
        <f>I80+I75</f>
        <v>156428.78482</v>
      </c>
      <c r="J81" s="48">
        <f>ROUND(I81-G81,2)</f>
        <v>0</v>
      </c>
      <c r="K81" s="49">
        <f>J81/G81</f>
        <v>0</v>
      </c>
      <c r="L81" s="122">
        <f>K81/G81</f>
        <v>0</v>
      </c>
      <c r="M81" s="30"/>
    </row>
    <row r="82" spans="1:13" ht="13.8" thickTop="1" x14ac:dyDescent="0.25">
      <c r="A82" s="120">
        <f t="shared" si="1"/>
        <v>58</v>
      </c>
      <c r="D82" s="30" t="s">
        <v>15</v>
      </c>
      <c r="E82" s="43">
        <f>(E72+E73+E74)/E71</f>
        <v>241.62786972770957</v>
      </c>
      <c r="G82" s="98">
        <f>G81/E71</f>
        <v>41.758885429791775</v>
      </c>
      <c r="I82" s="98">
        <f>I81/E71</f>
        <v>41.758885429791775</v>
      </c>
      <c r="J82" s="98">
        <f>I82-G82</f>
        <v>0</v>
      </c>
      <c r="K82" s="38">
        <f>J82/G82</f>
        <v>0</v>
      </c>
    </row>
    <row r="83" spans="1:13" ht="13.8" thickBot="1" x14ac:dyDescent="0.3">
      <c r="A83" s="120">
        <f t="shared" si="1"/>
        <v>59</v>
      </c>
    </row>
    <row r="84" spans="1:13" x14ac:dyDescent="0.25">
      <c r="A84" s="120">
        <f t="shared" si="1"/>
        <v>60</v>
      </c>
      <c r="B84" s="94" t="s">
        <v>50</v>
      </c>
      <c r="C84" s="121" t="s">
        <v>28</v>
      </c>
      <c r="D84" s="94"/>
      <c r="E84" s="94"/>
      <c r="F84" s="94"/>
      <c r="G84" s="94"/>
      <c r="H84" s="94"/>
      <c r="I84" s="94"/>
      <c r="J84" s="94"/>
      <c r="K84" s="94"/>
    </row>
    <row r="85" spans="1:13" x14ac:dyDescent="0.25">
      <c r="A85" s="120">
        <f t="shared" si="1"/>
        <v>61</v>
      </c>
      <c r="D85" s="30" t="s">
        <v>14</v>
      </c>
      <c r="E85" s="43">
        <v>2905</v>
      </c>
      <c r="F85" s="37">
        <v>51.1</v>
      </c>
      <c r="G85" s="44">
        <f>F85*E85</f>
        <v>148445.5</v>
      </c>
      <c r="H85" s="37">
        <f t="shared" ref="H85:H87" si="10">F85</f>
        <v>51.1</v>
      </c>
      <c r="I85" s="44">
        <f>H85*E85</f>
        <v>148445.5</v>
      </c>
      <c r="J85" s="44">
        <f t="shared" ref="J85:J91" si="11">I85-G85</f>
        <v>0</v>
      </c>
      <c r="K85" s="38">
        <f>IF(G85=0,0,J85/G85)</f>
        <v>0</v>
      </c>
    </row>
    <row r="86" spans="1:13" x14ac:dyDescent="0.25">
      <c r="A86" s="120">
        <f t="shared" si="1"/>
        <v>62</v>
      </c>
      <c r="D86" s="30" t="s">
        <v>59</v>
      </c>
      <c r="E86" s="43">
        <v>18017225</v>
      </c>
      <c r="F86" s="39">
        <v>6.3420000000000004E-2</v>
      </c>
      <c r="G86" s="44">
        <f>F86*E86</f>
        <v>1142652.4095000001</v>
      </c>
      <c r="H86" s="39">
        <f t="shared" si="10"/>
        <v>6.3420000000000004E-2</v>
      </c>
      <c r="I86" s="44">
        <f>H86*E86</f>
        <v>1142652.4095000001</v>
      </c>
      <c r="J86" s="44">
        <f t="shared" si="11"/>
        <v>0</v>
      </c>
      <c r="K86" s="38">
        <f>IF(G86=0,0,J86/G86)</f>
        <v>0</v>
      </c>
    </row>
    <row r="87" spans="1:13" x14ac:dyDescent="0.25">
      <c r="A87" s="120">
        <f t="shared" si="1"/>
        <v>63</v>
      </c>
      <c r="D87" s="30" t="s">
        <v>64</v>
      </c>
      <c r="E87" s="43">
        <v>71351</v>
      </c>
      <c r="F87" s="37">
        <v>7.69</v>
      </c>
      <c r="G87" s="44">
        <f>F87*E87</f>
        <v>548689.19000000006</v>
      </c>
      <c r="H87" s="37">
        <f t="shared" si="10"/>
        <v>7.69</v>
      </c>
      <c r="I87" s="44">
        <f>H87*E87</f>
        <v>548689.19000000006</v>
      </c>
      <c r="J87" s="44">
        <f t="shared" si="11"/>
        <v>0</v>
      </c>
      <c r="K87" s="38">
        <f>IF(G87=0,0,J87/G87)</f>
        <v>0</v>
      </c>
    </row>
    <row r="88" spans="1:13" s="108" customFormat="1" ht="20.399999999999999" customHeight="1" x14ac:dyDescent="0.25">
      <c r="A88" s="120">
        <f t="shared" si="1"/>
        <v>64</v>
      </c>
      <c r="C88" s="109"/>
      <c r="D88" s="95" t="s">
        <v>4</v>
      </c>
      <c r="E88" s="95"/>
      <c r="F88" s="95"/>
      <c r="G88" s="11">
        <f>SUM(G85:G87)</f>
        <v>1839787.0995</v>
      </c>
      <c r="H88" s="95"/>
      <c r="I88" s="11">
        <f>SUM(I85:I87)</f>
        <v>1839787.0995</v>
      </c>
      <c r="J88" s="11">
        <f t="shared" si="11"/>
        <v>0</v>
      </c>
      <c r="K88" s="45">
        <f>J88/G88</f>
        <v>0</v>
      </c>
      <c r="L88" s="122">
        <f>K88/G88</f>
        <v>0</v>
      </c>
      <c r="M88" s="30"/>
    </row>
    <row r="89" spans="1:13" x14ac:dyDescent="0.25">
      <c r="A89" s="120">
        <f t="shared" si="1"/>
        <v>65</v>
      </c>
      <c r="D89" s="30" t="s">
        <v>20</v>
      </c>
      <c r="G89" s="41">
        <v>243093.5</v>
      </c>
      <c r="I89" s="44">
        <f>G89</f>
        <v>243093.5</v>
      </c>
      <c r="J89" s="44">
        <f t="shared" si="11"/>
        <v>0</v>
      </c>
      <c r="K89" s="37">
        <v>0</v>
      </c>
    </row>
    <row r="90" spans="1:13" x14ac:dyDescent="0.25">
      <c r="A90" s="120">
        <f t="shared" si="1"/>
        <v>66</v>
      </c>
      <c r="D90" s="30" t="s">
        <v>21</v>
      </c>
      <c r="G90" s="41">
        <v>172817.96000000002</v>
      </c>
      <c r="I90" s="44">
        <f>G90</f>
        <v>172817.96000000002</v>
      </c>
      <c r="J90" s="44">
        <f t="shared" si="11"/>
        <v>0</v>
      </c>
      <c r="K90" s="37">
        <v>0</v>
      </c>
    </row>
    <row r="91" spans="1:13" x14ac:dyDescent="0.25">
      <c r="A91" s="120">
        <f t="shared" si="1"/>
        <v>67</v>
      </c>
      <c r="D91" s="30" t="s">
        <v>23</v>
      </c>
      <c r="G91" s="41">
        <v>0</v>
      </c>
      <c r="I91" s="44">
        <f>G91</f>
        <v>0</v>
      </c>
      <c r="J91" s="44">
        <f t="shared" si="11"/>
        <v>0</v>
      </c>
      <c r="K91" s="37">
        <v>0</v>
      </c>
    </row>
    <row r="92" spans="1:13" x14ac:dyDescent="0.25">
      <c r="A92" s="120">
        <f t="shared" si="1"/>
        <v>68</v>
      </c>
      <c r="D92" s="30" t="s">
        <v>25</v>
      </c>
      <c r="G92" s="41">
        <v>0</v>
      </c>
      <c r="I92" s="44">
        <f>G92</f>
        <v>0</v>
      </c>
      <c r="J92" s="44"/>
      <c r="K92" s="37"/>
    </row>
    <row r="93" spans="1:13" x14ac:dyDescent="0.25">
      <c r="A93" s="120">
        <f t="shared" si="1"/>
        <v>69</v>
      </c>
      <c r="D93" s="96" t="s">
        <v>5</v>
      </c>
      <c r="E93" s="96"/>
      <c r="F93" s="96"/>
      <c r="G93" s="46">
        <f>SUM(G89:G92)</f>
        <v>415911.46</v>
      </c>
      <c r="H93" s="96"/>
      <c r="I93" s="46">
        <f>SUM(I89:I92)</f>
        <v>415911.46</v>
      </c>
      <c r="J93" s="46">
        <f>I93-G93</f>
        <v>0</v>
      </c>
      <c r="K93" s="47">
        <f>J93/G93</f>
        <v>0</v>
      </c>
    </row>
    <row r="94" spans="1:13" s="108" customFormat="1" ht="26.4" customHeight="1" thickBot="1" x14ac:dyDescent="0.3">
      <c r="A94" s="120">
        <f t="shared" si="1"/>
        <v>70</v>
      </c>
      <c r="C94" s="109"/>
      <c r="D94" s="40" t="s">
        <v>16</v>
      </c>
      <c r="E94" s="40"/>
      <c r="F94" s="40"/>
      <c r="G94" s="97">
        <f>G93+G88</f>
        <v>2255698.5595</v>
      </c>
      <c r="H94" s="40"/>
      <c r="I94" s="48">
        <f>I93+I88</f>
        <v>2255698.5595</v>
      </c>
      <c r="J94" s="48">
        <f>ROUND(I94-G94,2)</f>
        <v>0</v>
      </c>
      <c r="K94" s="49">
        <f>J94/G94</f>
        <v>0</v>
      </c>
      <c r="L94" s="122">
        <f>K94/G94</f>
        <v>0</v>
      </c>
      <c r="M94" s="30"/>
    </row>
    <row r="95" spans="1:13" ht="13.8" thickTop="1" x14ac:dyDescent="0.25">
      <c r="A95" s="120">
        <f t="shared" si="1"/>
        <v>71</v>
      </c>
      <c r="D95" s="30" t="s">
        <v>15</v>
      </c>
      <c r="E95" s="43">
        <f>E86/E85</f>
        <v>6202.1428571428569</v>
      </c>
      <c r="G95" s="98">
        <f>G94/E85</f>
        <v>776.48831652323577</v>
      </c>
      <c r="I95" s="98">
        <f>I94/E85</f>
        <v>776.48831652323577</v>
      </c>
      <c r="J95" s="98">
        <f>I95-G95</f>
        <v>0</v>
      </c>
      <c r="K95" s="38">
        <f>J95/G95</f>
        <v>0</v>
      </c>
    </row>
    <row r="96" spans="1:13" ht="13.8" thickBot="1" x14ac:dyDescent="0.3">
      <c r="A96" s="120">
        <f t="shared" si="1"/>
        <v>72</v>
      </c>
    </row>
    <row r="97" spans="1:13" x14ac:dyDescent="0.25">
      <c r="A97" s="120">
        <f t="shared" si="1"/>
        <v>73</v>
      </c>
      <c r="B97" s="94" t="s">
        <v>51</v>
      </c>
      <c r="C97" s="121" t="s">
        <v>29</v>
      </c>
      <c r="D97" s="94"/>
      <c r="E97" s="94"/>
      <c r="F97" s="94"/>
      <c r="G97" s="94"/>
      <c r="H97" s="94"/>
      <c r="I97" s="94"/>
      <c r="J97" s="94"/>
      <c r="K97" s="94"/>
    </row>
    <row r="98" spans="1:13" x14ac:dyDescent="0.25">
      <c r="A98" s="120">
        <f t="shared" si="1"/>
        <v>74</v>
      </c>
      <c r="D98" s="30" t="s">
        <v>14</v>
      </c>
      <c r="E98" s="43">
        <f>1673+205</f>
        <v>1878</v>
      </c>
      <c r="F98" s="37">
        <v>68</v>
      </c>
      <c r="G98" s="44">
        <f>F98*E98</f>
        <v>127704</v>
      </c>
      <c r="H98" s="37">
        <f t="shared" ref="H98:H100" si="12">F98</f>
        <v>68</v>
      </c>
      <c r="I98" s="44">
        <f>H98*E98</f>
        <v>127704</v>
      </c>
      <c r="J98" s="44">
        <f t="shared" ref="J98:J104" si="13">I98-G98</f>
        <v>0</v>
      </c>
      <c r="K98" s="38">
        <f>IF(G98=0,0,J98/G98)</f>
        <v>0</v>
      </c>
    </row>
    <row r="99" spans="1:13" x14ac:dyDescent="0.25">
      <c r="A99" s="120">
        <f t="shared" si="1"/>
        <v>75</v>
      </c>
      <c r="D99" s="30" t="s">
        <v>59</v>
      </c>
      <c r="E99" s="43">
        <f>65084518+35765360</f>
        <v>100849878</v>
      </c>
      <c r="F99" s="39">
        <v>5.1639999999999998E-2</v>
      </c>
      <c r="G99" s="44">
        <f>F99*E99</f>
        <v>5207887.6999199996</v>
      </c>
      <c r="H99" s="39">
        <f t="shared" si="12"/>
        <v>5.1639999999999998E-2</v>
      </c>
      <c r="I99" s="44">
        <f>H99*E99</f>
        <v>5207887.6999199996</v>
      </c>
      <c r="J99" s="44">
        <f t="shared" si="13"/>
        <v>0</v>
      </c>
      <c r="K99" s="38">
        <f>IF(G99=0,0,J99/G99)</f>
        <v>0</v>
      </c>
    </row>
    <row r="100" spans="1:13" x14ac:dyDescent="0.25">
      <c r="A100" s="120">
        <f t="shared" si="1"/>
        <v>76</v>
      </c>
      <c r="D100" s="30" t="s">
        <v>64</v>
      </c>
      <c r="E100" s="43">
        <f>79656+219334</f>
        <v>298990</v>
      </c>
      <c r="F100" s="37">
        <v>7.19</v>
      </c>
      <c r="G100" s="44">
        <f>F100*E100</f>
        <v>2149738.1</v>
      </c>
      <c r="H100" s="37">
        <f t="shared" si="12"/>
        <v>7.19</v>
      </c>
      <c r="I100" s="44">
        <f>H100*E100</f>
        <v>2149738.1</v>
      </c>
      <c r="J100" s="44">
        <f t="shared" si="13"/>
        <v>0</v>
      </c>
      <c r="K100" s="38">
        <f>IF(G100=0,0,J100/G100)</f>
        <v>0</v>
      </c>
    </row>
    <row r="101" spans="1:13" s="108" customFormat="1" ht="20.399999999999999" customHeight="1" x14ac:dyDescent="0.25">
      <c r="A101" s="120">
        <f t="shared" si="1"/>
        <v>77</v>
      </c>
      <c r="C101" s="109"/>
      <c r="D101" s="95" t="s">
        <v>4</v>
      </c>
      <c r="E101" s="95"/>
      <c r="F101" s="95"/>
      <c r="G101" s="11">
        <f>SUM(G98:G100)</f>
        <v>7485329.7999200001</v>
      </c>
      <c r="H101" s="95"/>
      <c r="I101" s="11">
        <f>SUM(I98:I100)</f>
        <v>7485329.7999200001</v>
      </c>
      <c r="J101" s="11">
        <f t="shared" si="13"/>
        <v>0</v>
      </c>
      <c r="K101" s="45">
        <f>J101/G101</f>
        <v>0</v>
      </c>
      <c r="L101" s="122">
        <f>K101/G101</f>
        <v>0</v>
      </c>
      <c r="M101" s="30"/>
    </row>
    <row r="102" spans="1:13" x14ac:dyDescent="0.25">
      <c r="A102" s="120">
        <f t="shared" si="1"/>
        <v>78</v>
      </c>
      <c r="D102" s="30" t="s">
        <v>20</v>
      </c>
      <c r="G102" s="41">
        <f>877725.52+469569</f>
        <v>1347294.52</v>
      </c>
      <c r="I102" s="44">
        <f>G102</f>
        <v>1347294.52</v>
      </c>
      <c r="J102" s="44">
        <f t="shared" si="13"/>
        <v>0</v>
      </c>
      <c r="K102" s="37">
        <v>0</v>
      </c>
    </row>
    <row r="103" spans="1:13" x14ac:dyDescent="0.25">
      <c r="A103" s="120">
        <f t="shared" si="1"/>
        <v>79</v>
      </c>
      <c r="D103" s="30" t="s">
        <v>21</v>
      </c>
      <c r="G103" s="41">
        <f>487088.07+238743</f>
        <v>725831.07000000007</v>
      </c>
      <c r="I103" s="44">
        <f>G103</f>
        <v>725831.07000000007</v>
      </c>
      <c r="J103" s="44">
        <f t="shared" si="13"/>
        <v>0</v>
      </c>
      <c r="K103" s="37">
        <v>0</v>
      </c>
    </row>
    <row r="104" spans="1:13" x14ac:dyDescent="0.25">
      <c r="A104" s="120">
        <f t="shared" si="1"/>
        <v>80</v>
      </c>
      <c r="D104" s="30" t="s">
        <v>23</v>
      </c>
      <c r="G104" s="41">
        <v>0</v>
      </c>
      <c r="I104" s="44">
        <f>G104</f>
        <v>0</v>
      </c>
      <c r="J104" s="44">
        <f t="shared" si="13"/>
        <v>0</v>
      </c>
      <c r="K104" s="37">
        <v>0</v>
      </c>
    </row>
    <row r="105" spans="1:13" x14ac:dyDescent="0.25">
      <c r="A105" s="120">
        <f t="shared" si="1"/>
        <v>81</v>
      </c>
      <c r="D105" s="30" t="s">
        <v>25</v>
      </c>
      <c r="G105" s="41">
        <v>0</v>
      </c>
      <c r="I105" s="44">
        <f>G105</f>
        <v>0</v>
      </c>
      <c r="J105" s="44"/>
      <c r="K105" s="37"/>
    </row>
    <row r="106" spans="1:13" x14ac:dyDescent="0.25">
      <c r="A106" s="120">
        <f t="shared" si="1"/>
        <v>82</v>
      </c>
      <c r="D106" s="96" t="s">
        <v>5</v>
      </c>
      <c r="E106" s="96"/>
      <c r="F106" s="96"/>
      <c r="G106" s="46">
        <f>SUM(G102:G105)</f>
        <v>2073125.59</v>
      </c>
      <c r="H106" s="96"/>
      <c r="I106" s="46">
        <f>SUM(I102:I105)</f>
        <v>2073125.59</v>
      </c>
      <c r="J106" s="46">
        <f>I106-G106</f>
        <v>0</v>
      </c>
      <c r="K106" s="47">
        <f>J106/G106</f>
        <v>0</v>
      </c>
    </row>
    <row r="107" spans="1:13" s="108" customFormat="1" ht="26.4" customHeight="1" thickBot="1" x14ac:dyDescent="0.3">
      <c r="A107" s="120">
        <f t="shared" si="1"/>
        <v>83</v>
      </c>
      <c r="C107" s="109"/>
      <c r="D107" s="40" t="s">
        <v>16</v>
      </c>
      <c r="E107" s="40"/>
      <c r="F107" s="40"/>
      <c r="G107" s="97">
        <f>G106+G101</f>
        <v>9558455.38992</v>
      </c>
      <c r="H107" s="40"/>
      <c r="I107" s="48">
        <f>I106+I101</f>
        <v>9558455.38992</v>
      </c>
      <c r="J107" s="48">
        <f>ROUND(I107-G107,2)</f>
        <v>0</v>
      </c>
      <c r="K107" s="49">
        <f>J107/G107</f>
        <v>0</v>
      </c>
      <c r="L107" s="122">
        <f>K107/G107</f>
        <v>0</v>
      </c>
      <c r="M107" s="30"/>
    </row>
    <row r="108" spans="1:13" ht="13.8" thickTop="1" x14ac:dyDescent="0.25">
      <c r="A108" s="120">
        <f t="shared" si="1"/>
        <v>84</v>
      </c>
      <c r="D108" s="30" t="s">
        <v>15</v>
      </c>
      <c r="E108" s="43">
        <f>E99/E98</f>
        <v>53700.680511182109</v>
      </c>
      <c r="G108" s="98">
        <f>G107/E98</f>
        <v>5089.6993556549523</v>
      </c>
      <c r="I108" s="98">
        <f>I107/E98</f>
        <v>5089.6993556549523</v>
      </c>
      <c r="J108" s="98">
        <f>I108-G108</f>
        <v>0</v>
      </c>
      <c r="K108" s="38">
        <f>J108/G108</f>
        <v>0</v>
      </c>
    </row>
    <row r="109" spans="1:13" ht="13.8" thickBot="1" x14ac:dyDescent="0.3">
      <c r="A109" s="120">
        <f t="shared" si="1"/>
        <v>85</v>
      </c>
    </row>
    <row r="110" spans="1:13" x14ac:dyDescent="0.25">
      <c r="A110" s="120">
        <f t="shared" si="1"/>
        <v>86</v>
      </c>
      <c r="B110" s="94" t="s">
        <v>52</v>
      </c>
      <c r="C110" s="121" t="s">
        <v>32</v>
      </c>
      <c r="D110" s="94"/>
      <c r="E110" s="94"/>
      <c r="F110" s="94"/>
      <c r="G110" s="94"/>
      <c r="H110" s="94"/>
      <c r="I110" s="94"/>
      <c r="J110" s="94"/>
      <c r="K110" s="94"/>
    </row>
    <row r="111" spans="1:13" x14ac:dyDescent="0.25">
      <c r="A111" s="120">
        <f t="shared" si="1"/>
        <v>87</v>
      </c>
      <c r="D111" s="30" t="s">
        <v>14</v>
      </c>
      <c r="E111" s="43">
        <v>36</v>
      </c>
      <c r="F111" s="37">
        <v>67.34</v>
      </c>
      <c r="G111" s="44">
        <f>F111*E111</f>
        <v>2424.2400000000002</v>
      </c>
      <c r="H111" s="37">
        <f t="shared" ref="H111:H112" si="14">F111</f>
        <v>67.34</v>
      </c>
      <c r="I111" s="44">
        <f>H111*E111</f>
        <v>2424.2400000000002</v>
      </c>
      <c r="J111" s="44">
        <f t="shared" ref="J111:J116" si="15">I111-G111</f>
        <v>0</v>
      </c>
      <c r="K111" s="38">
        <f>IF(G111=0,0,J111/G111)</f>
        <v>0</v>
      </c>
    </row>
    <row r="112" spans="1:13" x14ac:dyDescent="0.25">
      <c r="A112" s="120">
        <f t="shared" si="1"/>
        <v>88</v>
      </c>
      <c r="D112" s="30" t="s">
        <v>59</v>
      </c>
      <c r="E112" s="43">
        <v>619360</v>
      </c>
      <c r="F112" s="39">
        <v>8.1790000000000002E-2</v>
      </c>
      <c r="G112" s="44">
        <f>F112*E112</f>
        <v>50657.454400000002</v>
      </c>
      <c r="H112" s="39">
        <f t="shared" si="14"/>
        <v>8.1790000000000002E-2</v>
      </c>
      <c r="I112" s="44">
        <f>H112*E112</f>
        <v>50657.454400000002</v>
      </c>
      <c r="J112" s="44">
        <f t="shared" si="15"/>
        <v>0</v>
      </c>
      <c r="K112" s="38">
        <f>IF(G112=0,0,J112/G112)</f>
        <v>0</v>
      </c>
    </row>
    <row r="113" spans="1:13" s="108" customFormat="1" ht="20.399999999999999" customHeight="1" x14ac:dyDescent="0.25">
      <c r="A113" s="120">
        <f t="shared" ref="A113:A214" si="16">A112+1</f>
        <v>89</v>
      </c>
      <c r="C113" s="109"/>
      <c r="D113" s="95" t="s">
        <v>4</v>
      </c>
      <c r="E113" s="95"/>
      <c r="F113" s="95"/>
      <c r="G113" s="11">
        <f>SUM(G111:G112)</f>
        <v>53081.6944</v>
      </c>
      <c r="H113" s="95"/>
      <c r="I113" s="11">
        <f>SUM(I111:I112)</f>
        <v>53081.6944</v>
      </c>
      <c r="J113" s="11">
        <f t="shared" si="15"/>
        <v>0</v>
      </c>
      <c r="K113" s="45">
        <f>J113/G113</f>
        <v>0</v>
      </c>
      <c r="L113" s="122">
        <f>K113/G113</f>
        <v>0</v>
      </c>
      <c r="M113" s="30"/>
    </row>
    <row r="114" spans="1:13" x14ac:dyDescent="0.25">
      <c r="A114" s="120">
        <f t="shared" si="16"/>
        <v>90</v>
      </c>
      <c r="D114" s="30" t="s">
        <v>20</v>
      </c>
      <c r="G114" s="41">
        <v>8648.15</v>
      </c>
      <c r="I114" s="44">
        <f>G114</f>
        <v>8648.15</v>
      </c>
      <c r="J114" s="44">
        <f t="shared" si="15"/>
        <v>0</v>
      </c>
      <c r="K114" s="37">
        <v>0</v>
      </c>
    </row>
    <row r="115" spans="1:13" x14ac:dyDescent="0.25">
      <c r="A115" s="120">
        <f t="shared" si="16"/>
        <v>91</v>
      </c>
      <c r="D115" s="30" t="s">
        <v>21</v>
      </c>
      <c r="G115" s="41">
        <v>4860.3499999999995</v>
      </c>
      <c r="I115" s="44">
        <f>G115</f>
        <v>4860.3499999999995</v>
      </c>
      <c r="J115" s="44">
        <f t="shared" si="15"/>
        <v>0</v>
      </c>
      <c r="K115" s="37">
        <v>0</v>
      </c>
    </row>
    <row r="116" spans="1:13" x14ac:dyDescent="0.25">
      <c r="A116" s="120">
        <f t="shared" si="16"/>
        <v>92</v>
      </c>
      <c r="D116" s="30" t="s">
        <v>23</v>
      </c>
      <c r="G116" s="41">
        <v>0</v>
      </c>
      <c r="I116" s="44">
        <f>G116</f>
        <v>0</v>
      </c>
      <c r="J116" s="44">
        <f t="shared" si="15"/>
        <v>0</v>
      </c>
      <c r="K116" s="37">
        <v>0</v>
      </c>
    </row>
    <row r="117" spans="1:13" x14ac:dyDescent="0.25">
      <c r="A117" s="120">
        <f t="shared" si="16"/>
        <v>93</v>
      </c>
      <c r="D117" s="30" t="s">
        <v>25</v>
      </c>
      <c r="G117" s="41">
        <v>0</v>
      </c>
      <c r="I117" s="44">
        <f>G117</f>
        <v>0</v>
      </c>
      <c r="J117" s="44"/>
      <c r="K117" s="37"/>
    </row>
    <row r="118" spans="1:13" x14ac:dyDescent="0.25">
      <c r="A118" s="120">
        <f t="shared" si="16"/>
        <v>94</v>
      </c>
      <c r="D118" s="96" t="s">
        <v>5</v>
      </c>
      <c r="E118" s="96"/>
      <c r="F118" s="96"/>
      <c r="G118" s="46">
        <f>SUM(G114:G117)</f>
        <v>13508.5</v>
      </c>
      <c r="H118" s="96"/>
      <c r="I118" s="46">
        <f>SUM(I114:I117)</f>
        <v>13508.5</v>
      </c>
      <c r="J118" s="46">
        <f>I118-G118</f>
        <v>0</v>
      </c>
      <c r="K118" s="47">
        <f>J118/G118</f>
        <v>0</v>
      </c>
    </row>
    <row r="119" spans="1:13" s="108" customFormat="1" ht="26.4" customHeight="1" thickBot="1" x14ac:dyDescent="0.3">
      <c r="A119" s="120">
        <f t="shared" si="16"/>
        <v>95</v>
      </c>
      <c r="C119" s="109"/>
      <c r="D119" s="40" t="s">
        <v>16</v>
      </c>
      <c r="E119" s="40"/>
      <c r="F119" s="40"/>
      <c r="G119" s="97">
        <f>G118+G113</f>
        <v>66590.194400000008</v>
      </c>
      <c r="H119" s="40"/>
      <c r="I119" s="48">
        <f>I118+I113</f>
        <v>66590.194400000008</v>
      </c>
      <c r="J119" s="48">
        <f>ROUND(I119-G119,2)</f>
        <v>0</v>
      </c>
      <c r="K119" s="49">
        <f>J119/G119</f>
        <v>0</v>
      </c>
      <c r="L119" s="122">
        <f>K119/G119</f>
        <v>0</v>
      </c>
      <c r="M119" s="30"/>
    </row>
    <row r="120" spans="1:13" ht="13.8" thickTop="1" x14ac:dyDescent="0.25">
      <c r="A120" s="120">
        <f t="shared" si="16"/>
        <v>96</v>
      </c>
      <c r="D120" s="30" t="s">
        <v>15</v>
      </c>
      <c r="E120" s="43">
        <f>E112/E111</f>
        <v>17204.444444444445</v>
      </c>
      <c r="G120" s="98">
        <f>G119/E111</f>
        <v>1849.7276222222224</v>
      </c>
      <c r="I120" s="98">
        <f>I119/E111</f>
        <v>1849.7276222222224</v>
      </c>
      <c r="J120" s="98">
        <f>I120-G120</f>
        <v>0</v>
      </c>
      <c r="K120" s="38">
        <f>J120/G120</f>
        <v>0</v>
      </c>
    </row>
    <row r="121" spans="1:13" ht="13.8" thickBot="1" x14ac:dyDescent="0.3">
      <c r="A121" s="120">
        <f t="shared" si="16"/>
        <v>97</v>
      </c>
    </row>
    <row r="122" spans="1:13" x14ac:dyDescent="0.25">
      <c r="A122" s="120">
        <f t="shared" si="16"/>
        <v>98</v>
      </c>
      <c r="B122" s="94" t="s">
        <v>89</v>
      </c>
      <c r="C122" s="121" t="s">
        <v>90</v>
      </c>
      <c r="D122" s="94"/>
      <c r="E122" s="94"/>
      <c r="F122" s="94"/>
      <c r="G122" s="94"/>
      <c r="H122" s="94"/>
      <c r="I122" s="94"/>
      <c r="J122" s="94"/>
      <c r="K122" s="94"/>
    </row>
    <row r="123" spans="1:13" ht="13.8" x14ac:dyDescent="0.25">
      <c r="A123" s="120">
        <f t="shared" ref="A123:A146" si="17">A122+1</f>
        <v>99</v>
      </c>
      <c r="B123" s="100" t="s">
        <v>44</v>
      </c>
      <c r="C123" s="101" t="s">
        <v>65</v>
      </c>
      <c r="E123" s="43">
        <v>19440</v>
      </c>
      <c r="F123" s="37">
        <v>8.98</v>
      </c>
      <c r="G123" s="44">
        <f t="shared" ref="G123:G138" si="18">F123*E123</f>
        <v>174571.2</v>
      </c>
      <c r="H123" s="37">
        <f t="shared" ref="H123:H138" si="19">F123</f>
        <v>8.98</v>
      </c>
      <c r="I123" s="44">
        <f t="shared" ref="I123:I138" si="20">H123*E123</f>
        <v>174571.2</v>
      </c>
      <c r="J123" s="44">
        <f t="shared" ref="J123:J142" si="21">I123-G123</f>
        <v>0</v>
      </c>
      <c r="K123" s="38">
        <f t="shared" ref="K123:K138" si="22">IF(G123=0,0,J123/G123)</f>
        <v>0</v>
      </c>
    </row>
    <row r="124" spans="1:13" ht="13.8" x14ac:dyDescent="0.25">
      <c r="A124" s="120">
        <f t="shared" si="17"/>
        <v>100</v>
      </c>
      <c r="B124" s="100" t="s">
        <v>44</v>
      </c>
      <c r="C124" s="101" t="s">
        <v>54</v>
      </c>
      <c r="E124" s="43">
        <v>0</v>
      </c>
      <c r="F124" s="37">
        <v>20.48</v>
      </c>
      <c r="G124" s="44">
        <f t="shared" si="18"/>
        <v>0</v>
      </c>
      <c r="H124" s="37">
        <f t="shared" si="19"/>
        <v>20.48</v>
      </c>
      <c r="I124" s="44">
        <f t="shared" si="20"/>
        <v>0</v>
      </c>
      <c r="J124" s="44">
        <f t="shared" si="21"/>
        <v>0</v>
      </c>
      <c r="K124" s="38">
        <f t="shared" si="22"/>
        <v>0</v>
      </c>
    </row>
    <row r="125" spans="1:13" ht="13.8" x14ac:dyDescent="0.25">
      <c r="A125" s="120">
        <f t="shared" si="17"/>
        <v>101</v>
      </c>
      <c r="B125" s="100" t="s">
        <v>44</v>
      </c>
      <c r="C125" s="101" t="s">
        <v>33</v>
      </c>
      <c r="E125" s="43">
        <v>24</v>
      </c>
      <c r="F125" s="37">
        <v>17.260000000000002</v>
      </c>
      <c r="G125" s="44">
        <f t="shared" si="18"/>
        <v>414.24</v>
      </c>
      <c r="H125" s="37">
        <f t="shared" si="19"/>
        <v>17.260000000000002</v>
      </c>
      <c r="I125" s="44">
        <f t="shared" si="20"/>
        <v>414.24</v>
      </c>
      <c r="J125" s="44">
        <f t="shared" si="21"/>
        <v>0</v>
      </c>
      <c r="K125" s="38">
        <f t="shared" si="22"/>
        <v>0</v>
      </c>
    </row>
    <row r="126" spans="1:13" ht="13.8" x14ac:dyDescent="0.25">
      <c r="A126" s="120">
        <f t="shared" si="17"/>
        <v>102</v>
      </c>
      <c r="B126" s="100" t="s">
        <v>44</v>
      </c>
      <c r="C126" s="101" t="s">
        <v>55</v>
      </c>
      <c r="E126" s="43">
        <v>0</v>
      </c>
      <c r="F126" s="37">
        <v>27.24</v>
      </c>
      <c r="G126" s="44">
        <f t="shared" si="18"/>
        <v>0</v>
      </c>
      <c r="H126" s="37">
        <f t="shared" si="19"/>
        <v>27.24</v>
      </c>
      <c r="I126" s="44">
        <f t="shared" si="20"/>
        <v>0</v>
      </c>
      <c r="J126" s="44">
        <f t="shared" si="21"/>
        <v>0</v>
      </c>
      <c r="K126" s="38">
        <f t="shared" si="22"/>
        <v>0</v>
      </c>
    </row>
    <row r="127" spans="1:13" ht="13.8" x14ac:dyDescent="0.25">
      <c r="A127" s="120">
        <f t="shared" si="17"/>
        <v>103</v>
      </c>
      <c r="B127" s="100" t="s">
        <v>45</v>
      </c>
      <c r="C127" s="101" t="s">
        <v>34</v>
      </c>
      <c r="E127" s="43">
        <v>65856</v>
      </c>
      <c r="F127" s="37">
        <v>8.7799999999999994</v>
      </c>
      <c r="G127" s="44">
        <f t="shared" si="18"/>
        <v>578215.67999999993</v>
      </c>
      <c r="H127" s="37">
        <f t="shared" si="19"/>
        <v>8.7799999999999994</v>
      </c>
      <c r="I127" s="44">
        <f t="shared" si="20"/>
        <v>578215.67999999993</v>
      </c>
      <c r="J127" s="44">
        <f t="shared" si="21"/>
        <v>0</v>
      </c>
      <c r="K127" s="38">
        <f t="shared" si="22"/>
        <v>0</v>
      </c>
    </row>
    <row r="128" spans="1:13" ht="13.8" x14ac:dyDescent="0.25">
      <c r="A128" s="120">
        <f t="shared" si="17"/>
        <v>104</v>
      </c>
      <c r="B128" s="100" t="s">
        <v>45</v>
      </c>
      <c r="C128" s="101" t="s">
        <v>35</v>
      </c>
      <c r="E128" s="43">
        <v>168</v>
      </c>
      <c r="F128" s="37">
        <v>18.73</v>
      </c>
      <c r="G128" s="44">
        <f t="shared" si="18"/>
        <v>3146.64</v>
      </c>
      <c r="H128" s="37">
        <f t="shared" si="19"/>
        <v>18.73</v>
      </c>
      <c r="I128" s="44">
        <f t="shared" si="20"/>
        <v>3146.64</v>
      </c>
      <c r="J128" s="44">
        <f t="shared" si="21"/>
        <v>0</v>
      </c>
      <c r="K128" s="38">
        <f t="shared" si="22"/>
        <v>0</v>
      </c>
    </row>
    <row r="129" spans="1:18" ht="13.8" x14ac:dyDescent="0.25">
      <c r="A129" s="120">
        <f t="shared" si="17"/>
        <v>105</v>
      </c>
      <c r="B129" s="100" t="s">
        <v>45</v>
      </c>
      <c r="C129" s="101" t="s">
        <v>36</v>
      </c>
      <c r="E129" s="43">
        <v>2856</v>
      </c>
      <c r="F129" s="37">
        <v>8.8699999999999992</v>
      </c>
      <c r="G129" s="44">
        <f t="shared" si="18"/>
        <v>25332.719999999998</v>
      </c>
      <c r="H129" s="37">
        <f t="shared" si="19"/>
        <v>8.8699999999999992</v>
      </c>
      <c r="I129" s="44">
        <f t="shared" si="20"/>
        <v>25332.719999999998</v>
      </c>
      <c r="J129" s="44">
        <f t="shared" si="21"/>
        <v>0</v>
      </c>
      <c r="K129" s="38">
        <f t="shared" si="22"/>
        <v>0</v>
      </c>
    </row>
    <row r="130" spans="1:18" ht="13.8" x14ac:dyDescent="0.25">
      <c r="A130" s="120">
        <f t="shared" si="17"/>
        <v>106</v>
      </c>
      <c r="B130" s="100" t="s">
        <v>45</v>
      </c>
      <c r="C130" s="101" t="s">
        <v>37</v>
      </c>
      <c r="E130" s="43">
        <v>1248</v>
      </c>
      <c r="F130" s="37">
        <v>12.46</v>
      </c>
      <c r="G130" s="44">
        <f t="shared" si="18"/>
        <v>15550.080000000002</v>
      </c>
      <c r="H130" s="37">
        <f t="shared" si="19"/>
        <v>12.46</v>
      </c>
      <c r="I130" s="44">
        <f t="shared" si="20"/>
        <v>15550.080000000002</v>
      </c>
      <c r="J130" s="44">
        <f t="shared" si="21"/>
        <v>0</v>
      </c>
      <c r="K130" s="38">
        <f t="shared" si="22"/>
        <v>0</v>
      </c>
    </row>
    <row r="131" spans="1:18" ht="13.8" x14ac:dyDescent="0.25">
      <c r="A131" s="120">
        <f t="shared" si="17"/>
        <v>107</v>
      </c>
      <c r="B131" s="100" t="s">
        <v>45</v>
      </c>
      <c r="C131" s="101" t="s">
        <v>53</v>
      </c>
      <c r="E131" s="43">
        <v>144</v>
      </c>
      <c r="F131" s="37">
        <v>22.41</v>
      </c>
      <c r="G131" s="44">
        <f t="shared" si="18"/>
        <v>3227.04</v>
      </c>
      <c r="H131" s="37">
        <f t="shared" si="19"/>
        <v>22.41</v>
      </c>
      <c r="I131" s="44">
        <f t="shared" si="20"/>
        <v>3227.04</v>
      </c>
      <c r="J131" s="44">
        <f t="shared" si="21"/>
        <v>0</v>
      </c>
      <c r="K131" s="38">
        <f t="shared" si="22"/>
        <v>0</v>
      </c>
    </row>
    <row r="132" spans="1:18" ht="13.8" x14ac:dyDescent="0.25">
      <c r="A132" s="120">
        <f t="shared" si="17"/>
        <v>108</v>
      </c>
      <c r="B132" s="100" t="s">
        <v>45</v>
      </c>
      <c r="C132" s="101" t="s">
        <v>38</v>
      </c>
      <c r="E132" s="43">
        <v>1236</v>
      </c>
      <c r="F132" s="37">
        <v>12.22</v>
      </c>
      <c r="G132" s="44">
        <f t="shared" si="18"/>
        <v>15103.92</v>
      </c>
      <c r="H132" s="37">
        <f t="shared" si="19"/>
        <v>12.22</v>
      </c>
      <c r="I132" s="44">
        <f t="shared" si="20"/>
        <v>15103.92</v>
      </c>
      <c r="J132" s="44">
        <f t="shared" si="21"/>
        <v>0</v>
      </c>
      <c r="K132" s="38">
        <f t="shared" si="22"/>
        <v>0</v>
      </c>
    </row>
    <row r="133" spans="1:18" x14ac:dyDescent="0.25">
      <c r="A133" s="120">
        <f t="shared" si="17"/>
        <v>109</v>
      </c>
      <c r="B133" s="100" t="s">
        <v>45</v>
      </c>
      <c r="C133" s="102" t="s">
        <v>39</v>
      </c>
      <c r="E133" s="43">
        <v>0</v>
      </c>
      <c r="F133" s="37">
        <v>18.7</v>
      </c>
      <c r="G133" s="44">
        <f t="shared" si="18"/>
        <v>0</v>
      </c>
      <c r="H133" s="37">
        <f t="shared" si="19"/>
        <v>18.7</v>
      </c>
      <c r="I133" s="44">
        <f t="shared" si="20"/>
        <v>0</v>
      </c>
      <c r="J133" s="44">
        <f t="shared" si="21"/>
        <v>0</v>
      </c>
      <c r="K133" s="38">
        <f t="shared" si="22"/>
        <v>0</v>
      </c>
    </row>
    <row r="134" spans="1:18" x14ac:dyDescent="0.25">
      <c r="A134" s="120">
        <f t="shared" si="17"/>
        <v>110</v>
      </c>
      <c r="B134" s="100" t="s">
        <v>45</v>
      </c>
      <c r="C134" s="102" t="s">
        <v>40</v>
      </c>
      <c r="E134" s="43">
        <v>0</v>
      </c>
      <c r="F134" s="37">
        <v>28.14</v>
      </c>
      <c r="G134" s="44">
        <f t="shared" si="18"/>
        <v>0</v>
      </c>
      <c r="H134" s="37">
        <f t="shared" si="19"/>
        <v>28.14</v>
      </c>
      <c r="I134" s="44">
        <f t="shared" si="20"/>
        <v>0</v>
      </c>
      <c r="J134" s="44">
        <f t="shared" si="21"/>
        <v>0</v>
      </c>
      <c r="K134" s="38">
        <f t="shared" si="22"/>
        <v>0</v>
      </c>
    </row>
    <row r="135" spans="1:18" x14ac:dyDescent="0.25">
      <c r="A135" s="120">
        <f t="shared" si="17"/>
        <v>111</v>
      </c>
      <c r="B135" s="100" t="s">
        <v>45</v>
      </c>
      <c r="C135" s="102" t="s">
        <v>41</v>
      </c>
      <c r="E135" s="43">
        <v>3096</v>
      </c>
      <c r="F135" s="37">
        <v>18.32</v>
      </c>
      <c r="G135" s="44">
        <f t="shared" si="18"/>
        <v>56718.720000000001</v>
      </c>
      <c r="H135" s="37">
        <f t="shared" si="19"/>
        <v>18.32</v>
      </c>
      <c r="I135" s="44">
        <f t="shared" si="20"/>
        <v>56718.720000000001</v>
      </c>
      <c r="J135" s="44">
        <f t="shared" si="21"/>
        <v>0</v>
      </c>
      <c r="K135" s="38">
        <f t="shared" si="22"/>
        <v>0</v>
      </c>
    </row>
    <row r="136" spans="1:18" x14ac:dyDescent="0.25">
      <c r="A136" s="120">
        <f t="shared" si="17"/>
        <v>112</v>
      </c>
      <c r="B136" s="100" t="s">
        <v>46</v>
      </c>
      <c r="C136" s="102" t="s">
        <v>42</v>
      </c>
      <c r="E136" s="43">
        <v>9588</v>
      </c>
      <c r="F136" s="37">
        <v>9.1300000000000008</v>
      </c>
      <c r="G136" s="44">
        <f t="shared" si="18"/>
        <v>87538.44</v>
      </c>
      <c r="H136" s="37">
        <f t="shared" si="19"/>
        <v>9.1300000000000008</v>
      </c>
      <c r="I136" s="44">
        <f t="shared" si="20"/>
        <v>87538.44</v>
      </c>
      <c r="J136" s="44">
        <f t="shared" si="21"/>
        <v>0</v>
      </c>
      <c r="K136" s="38">
        <f t="shared" si="22"/>
        <v>0</v>
      </c>
    </row>
    <row r="137" spans="1:18" x14ac:dyDescent="0.25">
      <c r="A137" s="120">
        <f t="shared" si="17"/>
        <v>113</v>
      </c>
      <c r="B137" s="100" t="s">
        <v>46</v>
      </c>
      <c r="C137" s="102" t="s">
        <v>34</v>
      </c>
      <c r="E137" s="43">
        <v>0</v>
      </c>
      <c r="F137" s="37">
        <v>12.52</v>
      </c>
      <c r="G137" s="44">
        <f t="shared" si="18"/>
        <v>0</v>
      </c>
      <c r="H137" s="37">
        <f t="shared" si="19"/>
        <v>12.52</v>
      </c>
      <c r="I137" s="44">
        <f t="shared" si="20"/>
        <v>0</v>
      </c>
      <c r="J137" s="44">
        <f t="shared" si="21"/>
        <v>0</v>
      </c>
      <c r="K137" s="38">
        <f t="shared" si="22"/>
        <v>0</v>
      </c>
    </row>
    <row r="138" spans="1:18" x14ac:dyDescent="0.25">
      <c r="A138" s="120">
        <f t="shared" si="17"/>
        <v>114</v>
      </c>
      <c r="B138" s="100" t="s">
        <v>46</v>
      </c>
      <c r="C138" s="102" t="s">
        <v>43</v>
      </c>
      <c r="E138" s="43">
        <v>60</v>
      </c>
      <c r="F138" s="37">
        <v>24.9</v>
      </c>
      <c r="G138" s="44">
        <f t="shared" si="18"/>
        <v>1494</v>
      </c>
      <c r="H138" s="37">
        <f t="shared" si="19"/>
        <v>24.9</v>
      </c>
      <c r="I138" s="44">
        <f t="shared" si="20"/>
        <v>1494</v>
      </c>
      <c r="J138" s="44">
        <f t="shared" si="21"/>
        <v>0</v>
      </c>
      <c r="K138" s="38">
        <f t="shared" si="22"/>
        <v>0</v>
      </c>
    </row>
    <row r="139" spans="1:18" s="108" customFormat="1" ht="24.6" customHeight="1" x14ac:dyDescent="0.25">
      <c r="A139" s="120">
        <f t="shared" si="17"/>
        <v>115</v>
      </c>
      <c r="C139" s="109"/>
      <c r="D139" s="95" t="s">
        <v>4</v>
      </c>
      <c r="E139" s="95"/>
      <c r="F139" s="95"/>
      <c r="G139" s="11">
        <f>SUM(G123:G138)</f>
        <v>961312.67999999993</v>
      </c>
      <c r="H139" s="95"/>
      <c r="I139" s="11">
        <f>SUM(I123:I138)</f>
        <v>961312.67999999993</v>
      </c>
      <c r="J139" s="11">
        <f>ROUND(I139-G139,2)</f>
        <v>0</v>
      </c>
      <c r="K139" s="45">
        <f>J139/G139</f>
        <v>0</v>
      </c>
      <c r="L139" s="122">
        <f>K139/G139</f>
        <v>0</v>
      </c>
      <c r="M139" s="30"/>
      <c r="O139" s="30"/>
      <c r="P139" s="30"/>
      <c r="Q139" s="30"/>
      <c r="R139" s="30"/>
    </row>
    <row r="140" spans="1:18" x14ac:dyDescent="0.25">
      <c r="A140" s="120">
        <f t="shared" si="17"/>
        <v>116</v>
      </c>
      <c r="D140" s="30" t="s">
        <v>20</v>
      </c>
      <c r="G140" s="41">
        <v>0</v>
      </c>
      <c r="I140" s="44">
        <f>G140</f>
        <v>0</v>
      </c>
      <c r="J140" s="44">
        <f t="shared" si="21"/>
        <v>0</v>
      </c>
      <c r="K140" s="37">
        <v>0</v>
      </c>
    </row>
    <row r="141" spans="1:18" x14ac:dyDescent="0.25">
      <c r="A141" s="120">
        <f t="shared" si="17"/>
        <v>117</v>
      </c>
      <c r="D141" s="30" t="s">
        <v>21</v>
      </c>
      <c r="G141" s="41">
        <v>0</v>
      </c>
      <c r="I141" s="44">
        <f>G141</f>
        <v>0</v>
      </c>
      <c r="J141" s="44">
        <f t="shared" si="21"/>
        <v>0</v>
      </c>
      <c r="K141" s="37">
        <v>0</v>
      </c>
    </row>
    <row r="142" spans="1:18" x14ac:dyDescent="0.25">
      <c r="A142" s="120">
        <f t="shared" si="17"/>
        <v>118</v>
      </c>
      <c r="D142" s="30" t="s">
        <v>23</v>
      </c>
      <c r="G142" s="41">
        <v>0</v>
      </c>
      <c r="I142" s="44">
        <f>G142</f>
        <v>0</v>
      </c>
      <c r="J142" s="44">
        <f t="shared" si="21"/>
        <v>0</v>
      </c>
      <c r="K142" s="37">
        <v>0</v>
      </c>
    </row>
    <row r="143" spans="1:18" x14ac:dyDescent="0.25">
      <c r="A143" s="120">
        <f t="shared" si="17"/>
        <v>119</v>
      </c>
      <c r="D143" s="30" t="s">
        <v>25</v>
      </c>
      <c r="G143" s="41">
        <v>0</v>
      </c>
      <c r="I143" s="44"/>
      <c r="J143" s="44"/>
      <c r="K143" s="37"/>
    </row>
    <row r="144" spans="1:18" x14ac:dyDescent="0.25">
      <c r="A144" s="120">
        <f t="shared" si="17"/>
        <v>120</v>
      </c>
      <c r="D144" s="96" t="s">
        <v>5</v>
      </c>
      <c r="E144" s="96"/>
      <c r="F144" s="96"/>
      <c r="G144" s="46">
        <f>SUM(G140:G142)</f>
        <v>0</v>
      </c>
      <c r="H144" s="96"/>
      <c r="I144" s="46">
        <f>SUM(I140:I142)</f>
        <v>0</v>
      </c>
      <c r="J144" s="46">
        <f>I144-G144</f>
        <v>0</v>
      </c>
      <c r="K144" s="47"/>
    </row>
    <row r="145" spans="1:16" s="108" customFormat="1" ht="26.4" customHeight="1" thickBot="1" x14ac:dyDescent="0.3">
      <c r="A145" s="120">
        <f t="shared" si="17"/>
        <v>121</v>
      </c>
      <c r="C145" s="109"/>
      <c r="D145" s="40" t="s">
        <v>16</v>
      </c>
      <c r="E145" s="40"/>
      <c r="F145" s="40"/>
      <c r="G145" s="97">
        <f>G144+G139</f>
        <v>961312.67999999993</v>
      </c>
      <c r="H145" s="40"/>
      <c r="I145" s="48">
        <f>I144+I139</f>
        <v>961312.67999999993</v>
      </c>
      <c r="J145" s="48">
        <f>I145-G145</f>
        <v>0</v>
      </c>
      <c r="K145" s="49">
        <f>J145/G145</f>
        <v>0</v>
      </c>
      <c r="L145" s="122">
        <f>K145/G145</f>
        <v>0</v>
      </c>
      <c r="M145" s="30"/>
    </row>
    <row r="146" spans="1:16" ht="14.4" thickTop="1" thickBot="1" x14ac:dyDescent="0.3">
      <c r="A146" s="120">
        <f t="shared" si="17"/>
        <v>122</v>
      </c>
      <c r="G146" s="98"/>
      <c r="I146" s="98"/>
      <c r="J146" s="98"/>
      <c r="K146" s="38"/>
    </row>
    <row r="147" spans="1:16" x14ac:dyDescent="0.25">
      <c r="A147" s="120">
        <f t="shared" si="16"/>
        <v>123</v>
      </c>
      <c r="B147" s="94" t="s">
        <v>95</v>
      </c>
      <c r="C147" s="121" t="s">
        <v>30</v>
      </c>
      <c r="D147" s="94"/>
      <c r="E147" s="94"/>
      <c r="F147" s="94"/>
      <c r="G147" s="94"/>
      <c r="H147" s="94"/>
      <c r="I147" s="94"/>
      <c r="J147" s="94"/>
      <c r="K147" s="94"/>
    </row>
    <row r="148" spans="1:16" x14ac:dyDescent="0.25">
      <c r="A148" s="120">
        <f t="shared" si="16"/>
        <v>124</v>
      </c>
      <c r="D148" s="30" t="s">
        <v>14</v>
      </c>
      <c r="E148" s="43">
        <v>12</v>
      </c>
      <c r="F148" s="37">
        <v>1268.17</v>
      </c>
      <c r="G148" s="44">
        <f>F148*E148</f>
        <v>15218.04</v>
      </c>
      <c r="H148" s="37">
        <f t="shared" ref="H148:H152" si="23">F148</f>
        <v>1268.17</v>
      </c>
      <c r="I148" s="44">
        <f>H148*E148</f>
        <v>15218.04</v>
      </c>
      <c r="J148" s="44">
        <f t="shared" ref="J148:J156" si="24">I148-G148</f>
        <v>0</v>
      </c>
      <c r="K148" s="38">
        <f>IF(G148=0,0,J148/G148)</f>
        <v>0</v>
      </c>
      <c r="O148" s="39"/>
    </row>
    <row r="149" spans="1:16" x14ac:dyDescent="0.25">
      <c r="A149" s="120">
        <f t="shared" si="16"/>
        <v>125</v>
      </c>
      <c r="B149" s="127"/>
      <c r="D149" s="30" t="s">
        <v>100</v>
      </c>
      <c r="E149" s="43">
        <v>70496</v>
      </c>
      <c r="F149" s="37">
        <v>7.44</v>
      </c>
      <c r="G149" s="44">
        <f>F149*E149</f>
        <v>524490.23999999999</v>
      </c>
      <c r="H149" s="37">
        <f>F149</f>
        <v>7.44</v>
      </c>
      <c r="I149" s="44">
        <f>H149*E149</f>
        <v>524490.23999999999</v>
      </c>
      <c r="J149" s="44">
        <f t="shared" ref="J149" si="25">I149-G149</f>
        <v>0</v>
      </c>
      <c r="K149" s="38">
        <f>IF(G149=0,0,J149/G149)</f>
        <v>0</v>
      </c>
      <c r="O149" s="39"/>
    </row>
    <row r="150" spans="1:16" x14ac:dyDescent="0.25">
      <c r="A150" s="120">
        <f t="shared" si="16"/>
        <v>126</v>
      </c>
      <c r="B150" s="127"/>
      <c r="D150" s="30" t="s">
        <v>101</v>
      </c>
      <c r="E150" s="43">
        <v>18006</v>
      </c>
      <c r="F150" s="37">
        <v>-5.6</v>
      </c>
      <c r="G150" s="44">
        <f>F150*E150</f>
        <v>-100833.59999999999</v>
      </c>
      <c r="H150" s="37">
        <f t="shared" si="23"/>
        <v>-5.6</v>
      </c>
      <c r="I150" s="44">
        <f>H150*E150</f>
        <v>-100833.59999999999</v>
      </c>
      <c r="J150" s="44">
        <f t="shared" si="24"/>
        <v>0</v>
      </c>
      <c r="K150" s="38">
        <f>IF(G150=0,0,J150/G150)</f>
        <v>0</v>
      </c>
      <c r="O150" s="39"/>
    </row>
    <row r="151" spans="1:16" x14ac:dyDescent="0.25">
      <c r="A151" s="120">
        <f t="shared" si="16"/>
        <v>127</v>
      </c>
      <c r="B151" s="127"/>
      <c r="D151" s="30" t="s">
        <v>102</v>
      </c>
      <c r="E151" s="43"/>
      <c r="F151" s="63"/>
      <c r="G151" s="44">
        <v>160719.99999999977</v>
      </c>
      <c r="H151" s="63"/>
      <c r="I151" s="44">
        <f>G151</f>
        <v>160719.99999999977</v>
      </c>
      <c r="J151" s="44">
        <f t="shared" ref="J151" si="26">I151-G151</f>
        <v>0</v>
      </c>
      <c r="K151" s="38">
        <f>IF(G151=0,0,J151/G151)</f>
        <v>0</v>
      </c>
      <c r="O151" s="39"/>
    </row>
    <row r="152" spans="1:16" x14ac:dyDescent="0.25">
      <c r="A152" s="120">
        <f t="shared" si="16"/>
        <v>128</v>
      </c>
      <c r="B152" s="127"/>
      <c r="D152" s="30" t="s">
        <v>59</v>
      </c>
      <c r="E152" s="43">
        <v>41463518</v>
      </c>
      <c r="F152" s="39">
        <v>4.2610000000000002E-2</v>
      </c>
      <c r="G152" s="44">
        <f>F152*E152</f>
        <v>1766760.5019800002</v>
      </c>
      <c r="H152" s="39">
        <f t="shared" si="23"/>
        <v>4.2610000000000002E-2</v>
      </c>
      <c r="I152" s="44">
        <f>H152*E152</f>
        <v>1766760.5019800002</v>
      </c>
      <c r="J152" s="44">
        <f t="shared" si="24"/>
        <v>0</v>
      </c>
      <c r="K152" s="38">
        <f>IF(G152=0,0,J152/G152)</f>
        <v>0</v>
      </c>
      <c r="O152" s="39"/>
    </row>
    <row r="153" spans="1:16" s="108" customFormat="1" ht="20.399999999999999" customHeight="1" x14ac:dyDescent="0.25">
      <c r="A153" s="120">
        <f t="shared" si="16"/>
        <v>129</v>
      </c>
      <c r="B153" s="127"/>
      <c r="C153" s="109"/>
      <c r="D153" s="95" t="s">
        <v>4</v>
      </c>
      <c r="E153" s="95"/>
      <c r="F153" s="95"/>
      <c r="G153" s="11">
        <f>SUM(G148:G152)</f>
        <v>2366355.1819799999</v>
      </c>
      <c r="H153" s="95"/>
      <c r="I153" s="11">
        <f>SUM(I148:I152)</f>
        <v>2366355.1819799999</v>
      </c>
      <c r="J153" s="11">
        <f t="shared" si="24"/>
        <v>0</v>
      </c>
      <c r="K153" s="45">
        <f>J153/G153</f>
        <v>0</v>
      </c>
      <c r="L153" s="122">
        <f>K153/G153</f>
        <v>0</v>
      </c>
      <c r="M153" s="30"/>
      <c r="O153" s="128"/>
      <c r="P153" s="112"/>
    </row>
    <row r="154" spans="1:16" x14ac:dyDescent="0.25">
      <c r="A154" s="120">
        <f t="shared" si="16"/>
        <v>130</v>
      </c>
      <c r="B154" s="127"/>
      <c r="D154" s="30" t="s">
        <v>20</v>
      </c>
      <c r="G154" s="41">
        <v>609174.62</v>
      </c>
      <c r="I154" s="44">
        <f>G154</f>
        <v>609174.62</v>
      </c>
      <c r="J154" s="44">
        <f t="shared" si="24"/>
        <v>0</v>
      </c>
      <c r="K154" s="37">
        <v>0</v>
      </c>
    </row>
    <row r="155" spans="1:16" x14ac:dyDescent="0.25">
      <c r="A155" s="120">
        <f t="shared" si="16"/>
        <v>131</v>
      </c>
      <c r="B155" s="127"/>
      <c r="D155" s="30" t="s">
        <v>21</v>
      </c>
      <c r="G155" s="41">
        <v>353471</v>
      </c>
      <c r="I155" s="44">
        <f>G155</f>
        <v>353471</v>
      </c>
      <c r="J155" s="44">
        <f t="shared" si="24"/>
        <v>0</v>
      </c>
      <c r="K155" s="37">
        <v>0</v>
      </c>
    </row>
    <row r="156" spans="1:16" x14ac:dyDescent="0.25">
      <c r="A156" s="120">
        <f t="shared" si="16"/>
        <v>132</v>
      </c>
      <c r="D156" s="30" t="s">
        <v>103</v>
      </c>
      <c r="G156" s="41">
        <v>3511</v>
      </c>
      <c r="I156" s="44">
        <f>G156</f>
        <v>3511</v>
      </c>
      <c r="J156" s="44">
        <f t="shared" si="24"/>
        <v>0</v>
      </c>
      <c r="K156" s="37">
        <v>0</v>
      </c>
    </row>
    <row r="157" spans="1:16" x14ac:dyDescent="0.25">
      <c r="A157" s="120">
        <f t="shared" si="16"/>
        <v>133</v>
      </c>
      <c r="D157" s="30" t="s">
        <v>25</v>
      </c>
      <c r="G157" s="41">
        <v>0</v>
      </c>
      <c r="I157" s="44">
        <f>G157</f>
        <v>0</v>
      </c>
      <c r="J157" s="44"/>
      <c r="K157" s="37"/>
    </row>
    <row r="158" spans="1:16" x14ac:dyDescent="0.25">
      <c r="A158" s="120">
        <f t="shared" si="16"/>
        <v>134</v>
      </c>
      <c r="D158" s="96" t="s">
        <v>5</v>
      </c>
      <c r="E158" s="96"/>
      <c r="F158" s="96"/>
      <c r="G158" s="46">
        <f>SUM(G154:G157)</f>
        <v>966156.62</v>
      </c>
      <c r="H158" s="96"/>
      <c r="I158" s="46">
        <f>SUM(I154:I157)</f>
        <v>966156.62</v>
      </c>
      <c r="J158" s="46">
        <f>I158-G158</f>
        <v>0</v>
      </c>
      <c r="K158" s="47">
        <f>J158/G158</f>
        <v>0</v>
      </c>
    </row>
    <row r="159" spans="1:16" s="108" customFormat="1" ht="26.4" customHeight="1" thickBot="1" x14ac:dyDescent="0.3">
      <c r="A159" s="120">
        <f t="shared" si="16"/>
        <v>135</v>
      </c>
      <c r="C159" s="109"/>
      <c r="D159" s="40" t="s">
        <v>16</v>
      </c>
      <c r="E159" s="40"/>
      <c r="F159" s="40"/>
      <c r="G159" s="97">
        <f>G158+G153</f>
        <v>3332511.80198</v>
      </c>
      <c r="H159" s="40"/>
      <c r="I159" s="48">
        <f>I158+I153</f>
        <v>3332511.80198</v>
      </c>
      <c r="J159" s="48">
        <f>ROUND(I159-G159,2)</f>
        <v>0</v>
      </c>
      <c r="K159" s="49">
        <f>J159/G159</f>
        <v>0</v>
      </c>
      <c r="L159" s="122">
        <f>K159/G159</f>
        <v>0</v>
      </c>
      <c r="M159" s="30"/>
    </row>
    <row r="160" spans="1:16" ht="13.8" thickTop="1" x14ac:dyDescent="0.25">
      <c r="A160" s="120">
        <f t="shared" si="16"/>
        <v>136</v>
      </c>
      <c r="D160" s="30" t="s">
        <v>15</v>
      </c>
      <c r="E160" s="43">
        <f>E152/E148</f>
        <v>3455293.1666666665</v>
      </c>
      <c r="G160" s="98">
        <f>G159/E148</f>
        <v>277709.31683166669</v>
      </c>
      <c r="I160" s="98">
        <f>I159/E148</f>
        <v>277709.31683166669</v>
      </c>
      <c r="J160" s="98">
        <f>J159/E148</f>
        <v>0</v>
      </c>
      <c r="K160" s="38">
        <f>K159</f>
        <v>0</v>
      </c>
    </row>
    <row r="161" spans="1:16" ht="13.8" thickBot="1" x14ac:dyDescent="0.3">
      <c r="A161" s="120">
        <f t="shared" si="16"/>
        <v>137</v>
      </c>
    </row>
    <row r="162" spans="1:16" x14ac:dyDescent="0.25">
      <c r="A162" s="120">
        <f t="shared" si="16"/>
        <v>138</v>
      </c>
      <c r="B162" s="94" t="s">
        <v>91</v>
      </c>
      <c r="C162" s="121" t="s">
        <v>30</v>
      </c>
      <c r="D162" s="94"/>
      <c r="E162" s="94"/>
      <c r="F162" s="94"/>
      <c r="G162" s="94"/>
      <c r="H162" s="94"/>
      <c r="I162" s="94"/>
      <c r="J162" s="94"/>
      <c r="K162" s="94"/>
    </row>
    <row r="163" spans="1:16" x14ac:dyDescent="0.25">
      <c r="A163" s="120">
        <f t="shared" si="16"/>
        <v>139</v>
      </c>
      <c r="D163" s="30" t="s">
        <v>14</v>
      </c>
      <c r="E163" s="43">
        <v>12</v>
      </c>
      <c r="F163" s="37">
        <v>0</v>
      </c>
      <c r="G163" s="44">
        <f>F163*E163</f>
        <v>0</v>
      </c>
      <c r="H163" s="37">
        <f t="shared" ref="H163:H165" si="27">F163</f>
        <v>0</v>
      </c>
      <c r="I163" s="44">
        <f>H163*E163</f>
        <v>0</v>
      </c>
      <c r="J163" s="44">
        <f t="shared" ref="J163:J169" si="28">I163-G163</f>
        <v>0</v>
      </c>
      <c r="K163" s="38">
        <f>IF(G163=0,0,J163/G163)</f>
        <v>0</v>
      </c>
      <c r="O163" s="39"/>
    </row>
    <row r="164" spans="1:16" x14ac:dyDescent="0.25">
      <c r="A164" s="120">
        <f t="shared" si="16"/>
        <v>140</v>
      </c>
      <c r="B164" s="127"/>
      <c r="D164" s="30" t="s">
        <v>64</v>
      </c>
      <c r="E164" s="43">
        <v>96000</v>
      </c>
      <c r="F164" s="37">
        <v>7.44</v>
      </c>
      <c r="G164" s="44">
        <f>F164*E164</f>
        <v>714240</v>
      </c>
      <c r="H164" s="37">
        <f>F164</f>
        <v>7.44</v>
      </c>
      <c r="I164" s="44">
        <f>H164*E164</f>
        <v>714240</v>
      </c>
      <c r="J164" s="44">
        <f t="shared" si="28"/>
        <v>0</v>
      </c>
      <c r="K164" s="38">
        <f>IF(G164=0,0,J164/G164)</f>
        <v>0</v>
      </c>
      <c r="O164" s="39"/>
    </row>
    <row r="165" spans="1:16" x14ac:dyDescent="0.25">
      <c r="A165" s="120">
        <f t="shared" si="16"/>
        <v>141</v>
      </c>
      <c r="D165" s="30" t="s">
        <v>59</v>
      </c>
      <c r="E165" s="43">
        <v>59373527</v>
      </c>
      <c r="F165" s="39">
        <v>4.2610000000000002E-2</v>
      </c>
      <c r="G165" s="44">
        <f>F165*E165</f>
        <v>2529905.9854700002</v>
      </c>
      <c r="H165" s="39">
        <f t="shared" si="27"/>
        <v>4.2610000000000002E-2</v>
      </c>
      <c r="I165" s="44">
        <f>H165*E165</f>
        <v>2529905.9854700002</v>
      </c>
      <c r="J165" s="44">
        <f t="shared" si="28"/>
        <v>0</v>
      </c>
      <c r="K165" s="38">
        <f>IF(G165=0,0,J165/G165)</f>
        <v>0</v>
      </c>
      <c r="O165" s="39"/>
    </row>
    <row r="166" spans="1:16" s="108" customFormat="1" ht="20.399999999999999" customHeight="1" x14ac:dyDescent="0.25">
      <c r="A166" s="120">
        <f t="shared" si="16"/>
        <v>142</v>
      </c>
      <c r="C166" s="109"/>
      <c r="D166" s="95" t="s">
        <v>4</v>
      </c>
      <c r="E166" s="95"/>
      <c r="F166" s="95"/>
      <c r="G166" s="11">
        <f>SUM(G163:G165)</f>
        <v>3244145.9854700002</v>
      </c>
      <c r="H166" s="95"/>
      <c r="I166" s="11">
        <f>SUM(I163:I165)</f>
        <v>3244145.9854700002</v>
      </c>
      <c r="J166" s="11">
        <f t="shared" si="28"/>
        <v>0</v>
      </c>
      <c r="K166" s="45">
        <f>J166/G166</f>
        <v>0</v>
      </c>
      <c r="L166" s="122">
        <f>K166/G166</f>
        <v>0</v>
      </c>
      <c r="M166" s="30"/>
      <c r="O166" s="128"/>
      <c r="P166" s="112"/>
    </row>
    <row r="167" spans="1:16" x14ac:dyDescent="0.25">
      <c r="A167" s="120">
        <f t="shared" si="16"/>
        <v>143</v>
      </c>
      <c r="D167" s="30" t="s">
        <v>20</v>
      </c>
      <c r="G167" s="41">
        <v>791344.53</v>
      </c>
      <c r="I167" s="44">
        <f>G167</f>
        <v>791344.53</v>
      </c>
      <c r="J167" s="44">
        <f t="shared" si="28"/>
        <v>0</v>
      </c>
      <c r="K167" s="37">
        <v>0</v>
      </c>
    </row>
    <row r="168" spans="1:16" x14ac:dyDescent="0.25">
      <c r="A168" s="120">
        <f t="shared" si="16"/>
        <v>144</v>
      </c>
      <c r="D168" s="30" t="s">
        <v>21</v>
      </c>
      <c r="G168" s="41">
        <v>577948</v>
      </c>
      <c r="I168" s="44">
        <f>G168</f>
        <v>577948</v>
      </c>
      <c r="J168" s="44">
        <f t="shared" si="28"/>
        <v>0</v>
      </c>
      <c r="K168" s="37">
        <v>0</v>
      </c>
    </row>
    <row r="169" spans="1:16" x14ac:dyDescent="0.25">
      <c r="A169" s="120">
        <f t="shared" si="16"/>
        <v>145</v>
      </c>
      <c r="D169" s="30" t="s">
        <v>23</v>
      </c>
      <c r="G169" s="41">
        <v>0</v>
      </c>
      <c r="I169" s="44">
        <f>G169</f>
        <v>0</v>
      </c>
      <c r="J169" s="44">
        <f t="shared" si="28"/>
        <v>0</v>
      </c>
      <c r="K169" s="37">
        <v>0</v>
      </c>
    </row>
    <row r="170" spans="1:16" x14ac:dyDescent="0.25">
      <c r="A170" s="120">
        <f t="shared" si="16"/>
        <v>146</v>
      </c>
      <c r="D170" s="30" t="s">
        <v>25</v>
      </c>
      <c r="G170" s="41">
        <v>0</v>
      </c>
      <c r="I170" s="44">
        <f>G170</f>
        <v>0</v>
      </c>
      <c r="J170" s="44"/>
      <c r="K170" s="37"/>
    </row>
    <row r="171" spans="1:16" x14ac:dyDescent="0.25">
      <c r="A171" s="120">
        <f t="shared" si="16"/>
        <v>147</v>
      </c>
      <c r="D171" s="96" t="s">
        <v>5</v>
      </c>
      <c r="E171" s="96"/>
      <c r="F171" s="96"/>
      <c r="G171" s="46">
        <f>SUM(G167:G170)</f>
        <v>1369292.53</v>
      </c>
      <c r="H171" s="96"/>
      <c r="I171" s="46">
        <f>SUM(I167:I170)</f>
        <v>1369292.53</v>
      </c>
      <c r="J171" s="46">
        <f>I171-G171</f>
        <v>0</v>
      </c>
      <c r="K171" s="47">
        <f>J171/G171</f>
        <v>0</v>
      </c>
    </row>
    <row r="172" spans="1:16" s="108" customFormat="1" ht="26.4" customHeight="1" thickBot="1" x14ac:dyDescent="0.3">
      <c r="A172" s="120">
        <f t="shared" si="16"/>
        <v>148</v>
      </c>
      <c r="C172" s="109"/>
      <c r="D172" s="40" t="s">
        <v>16</v>
      </c>
      <c r="E172" s="40"/>
      <c r="F172" s="40"/>
      <c r="G172" s="97">
        <f>G171+G166</f>
        <v>4613438.51547</v>
      </c>
      <c r="H172" s="40"/>
      <c r="I172" s="48">
        <f>I171+I166</f>
        <v>4613438.51547</v>
      </c>
      <c r="J172" s="48">
        <f>I172-G172</f>
        <v>0</v>
      </c>
      <c r="K172" s="49">
        <f>J172/G172</f>
        <v>0</v>
      </c>
      <c r="L172" s="122">
        <f>K172/G172</f>
        <v>0</v>
      </c>
      <c r="M172" s="30"/>
    </row>
    <row r="173" spans="1:16" ht="13.8" thickTop="1" x14ac:dyDescent="0.25">
      <c r="A173" s="120">
        <f t="shared" si="16"/>
        <v>149</v>
      </c>
      <c r="D173" s="30" t="s">
        <v>15</v>
      </c>
      <c r="E173" s="43">
        <f>E165/E163</f>
        <v>4947793.916666667</v>
      </c>
      <c r="G173" s="98">
        <f>G172/E163</f>
        <v>384453.2096225</v>
      </c>
      <c r="I173" s="98">
        <f>I172/E163</f>
        <v>384453.2096225</v>
      </c>
      <c r="J173" s="98">
        <f>J172/E163</f>
        <v>0</v>
      </c>
      <c r="K173" s="38">
        <f>K172</f>
        <v>0</v>
      </c>
    </row>
    <row r="174" spans="1:16" ht="13.8" thickBot="1" x14ac:dyDescent="0.3">
      <c r="A174" s="120">
        <f t="shared" si="16"/>
        <v>150</v>
      </c>
    </row>
    <row r="175" spans="1:16" x14ac:dyDescent="0.25">
      <c r="A175" s="120">
        <f>A161+1</f>
        <v>138</v>
      </c>
      <c r="B175" s="94" t="s">
        <v>92</v>
      </c>
      <c r="C175" s="121" t="s">
        <v>30</v>
      </c>
      <c r="D175" s="94"/>
      <c r="E175" s="94"/>
      <c r="F175" s="94"/>
      <c r="G175" s="94"/>
      <c r="H175" s="94"/>
      <c r="I175" s="94"/>
      <c r="J175" s="94"/>
      <c r="K175" s="94"/>
    </row>
    <row r="176" spans="1:16" x14ac:dyDescent="0.25">
      <c r="A176" s="120">
        <f t="shared" si="16"/>
        <v>139</v>
      </c>
      <c r="D176" s="30" t="s">
        <v>14</v>
      </c>
      <c r="E176" s="43">
        <v>12</v>
      </c>
      <c r="F176" s="37">
        <v>1268.17</v>
      </c>
      <c r="G176" s="44">
        <f>F176*E176</f>
        <v>15218.04</v>
      </c>
      <c r="H176" s="37">
        <f t="shared" ref="H176:H178" si="29">F176</f>
        <v>1268.17</v>
      </c>
      <c r="I176" s="44">
        <f>H176*E176</f>
        <v>15218.04</v>
      </c>
      <c r="J176" s="44">
        <f t="shared" ref="J176:J182" si="30">I176-G176</f>
        <v>0</v>
      </c>
      <c r="K176" s="38">
        <f>IF(G176=0,0,J176/G176)</f>
        <v>0</v>
      </c>
      <c r="O176" s="39"/>
    </row>
    <row r="177" spans="1:16" x14ac:dyDescent="0.25">
      <c r="A177" s="120">
        <f t="shared" si="16"/>
        <v>140</v>
      </c>
      <c r="B177" s="127"/>
      <c r="D177" s="30" t="s">
        <v>64</v>
      </c>
      <c r="E177" s="43">
        <v>92021</v>
      </c>
      <c r="F177" s="37">
        <v>7.44</v>
      </c>
      <c r="G177" s="44">
        <f>F177*E177</f>
        <v>684636.24</v>
      </c>
      <c r="H177" s="37">
        <f>F177</f>
        <v>7.44</v>
      </c>
      <c r="I177" s="44">
        <f>H177*E177</f>
        <v>684636.24</v>
      </c>
      <c r="J177" s="44">
        <f t="shared" si="30"/>
        <v>0</v>
      </c>
      <c r="K177" s="38">
        <f>IF(G177=0,0,J177/G177)</f>
        <v>0</v>
      </c>
      <c r="O177" s="39"/>
    </row>
    <row r="178" spans="1:16" x14ac:dyDescent="0.25">
      <c r="A178" s="120">
        <f t="shared" si="16"/>
        <v>141</v>
      </c>
      <c r="D178" s="30" t="s">
        <v>59</v>
      </c>
      <c r="E178" s="43">
        <v>56173030</v>
      </c>
      <c r="F178" s="39">
        <v>4.2610000000000002E-2</v>
      </c>
      <c r="G178" s="44">
        <f>F178*E178</f>
        <v>2393532.8083000001</v>
      </c>
      <c r="H178" s="39">
        <f t="shared" si="29"/>
        <v>4.2610000000000002E-2</v>
      </c>
      <c r="I178" s="44">
        <f>H178*E178</f>
        <v>2393532.8083000001</v>
      </c>
      <c r="J178" s="44">
        <f t="shared" si="30"/>
        <v>0</v>
      </c>
      <c r="K178" s="38">
        <f>IF(G178=0,0,J178/G178)</f>
        <v>0</v>
      </c>
      <c r="O178" s="39"/>
    </row>
    <row r="179" spans="1:16" s="108" customFormat="1" ht="20.399999999999999" customHeight="1" x14ac:dyDescent="0.25">
      <c r="A179" s="120">
        <f t="shared" si="16"/>
        <v>142</v>
      </c>
      <c r="C179" s="109"/>
      <c r="D179" s="95" t="s">
        <v>4</v>
      </c>
      <c r="E179" s="95"/>
      <c r="F179" s="95"/>
      <c r="G179" s="11">
        <f>SUM(G176:G178)</f>
        <v>3093387.0882999999</v>
      </c>
      <c r="H179" s="95"/>
      <c r="I179" s="11">
        <f>SUM(I176:I178)</f>
        <v>3093387.0882999999</v>
      </c>
      <c r="J179" s="11">
        <f t="shared" si="30"/>
        <v>0</v>
      </c>
      <c r="K179" s="45">
        <f>J179/G179</f>
        <v>0</v>
      </c>
      <c r="L179" s="122">
        <f>K179/G179</f>
        <v>0</v>
      </c>
      <c r="M179" s="30"/>
      <c r="O179" s="128"/>
      <c r="P179" s="112"/>
    </row>
    <row r="180" spans="1:16" x14ac:dyDescent="0.25">
      <c r="A180" s="120">
        <f t="shared" si="16"/>
        <v>143</v>
      </c>
      <c r="D180" s="30" t="s">
        <v>20</v>
      </c>
      <c r="G180" s="41">
        <v>754774.6399999999</v>
      </c>
      <c r="I180" s="44">
        <f>G180</f>
        <v>754774.6399999999</v>
      </c>
      <c r="J180" s="44">
        <f t="shared" si="30"/>
        <v>0</v>
      </c>
      <c r="K180" s="37">
        <v>0</v>
      </c>
    </row>
    <row r="181" spans="1:16" x14ac:dyDescent="0.25">
      <c r="A181" s="120">
        <f t="shared" si="16"/>
        <v>144</v>
      </c>
      <c r="D181" s="30" t="s">
        <v>21</v>
      </c>
      <c r="G181" s="41">
        <v>534246</v>
      </c>
      <c r="I181" s="44">
        <f>G181</f>
        <v>534246</v>
      </c>
      <c r="J181" s="44">
        <f t="shared" si="30"/>
        <v>0</v>
      </c>
      <c r="K181" s="37">
        <v>0</v>
      </c>
    </row>
    <row r="182" spans="1:16" x14ac:dyDescent="0.25">
      <c r="A182" s="120">
        <f t="shared" si="16"/>
        <v>145</v>
      </c>
      <c r="D182" s="30" t="s">
        <v>23</v>
      </c>
      <c r="G182" s="41">
        <v>0</v>
      </c>
      <c r="I182" s="44">
        <f>G182</f>
        <v>0</v>
      </c>
      <c r="J182" s="44">
        <f t="shared" si="30"/>
        <v>0</v>
      </c>
      <c r="K182" s="37">
        <v>0</v>
      </c>
    </row>
    <row r="183" spans="1:16" x14ac:dyDescent="0.25">
      <c r="A183" s="120">
        <f t="shared" si="16"/>
        <v>146</v>
      </c>
      <c r="D183" s="30" t="s">
        <v>25</v>
      </c>
      <c r="G183" s="41">
        <v>0</v>
      </c>
      <c r="I183" s="44">
        <f>G183</f>
        <v>0</v>
      </c>
      <c r="J183" s="44"/>
      <c r="K183" s="37"/>
    </row>
    <row r="184" spans="1:16" x14ac:dyDescent="0.25">
      <c r="A184" s="120">
        <f t="shared" si="16"/>
        <v>147</v>
      </c>
      <c r="D184" s="96" t="s">
        <v>5</v>
      </c>
      <c r="E184" s="96"/>
      <c r="F184" s="96"/>
      <c r="G184" s="46">
        <f>SUM(G180:G183)</f>
        <v>1289020.6399999999</v>
      </c>
      <c r="H184" s="96"/>
      <c r="I184" s="46">
        <f>SUM(I180:I183)</f>
        <v>1289020.6399999999</v>
      </c>
      <c r="J184" s="46">
        <f>I184-G184</f>
        <v>0</v>
      </c>
      <c r="K184" s="47">
        <f>J184/G184</f>
        <v>0</v>
      </c>
    </row>
    <row r="185" spans="1:16" s="108" customFormat="1" ht="26.4" customHeight="1" thickBot="1" x14ac:dyDescent="0.3">
      <c r="A185" s="120">
        <f t="shared" si="16"/>
        <v>148</v>
      </c>
      <c r="C185" s="109"/>
      <c r="D185" s="40" t="s">
        <v>16</v>
      </c>
      <c r="E185" s="40"/>
      <c r="F185" s="40"/>
      <c r="G185" s="97">
        <f>G184+G179</f>
        <v>4382407.7282999996</v>
      </c>
      <c r="H185" s="40"/>
      <c r="I185" s="48">
        <f>I184+I179</f>
        <v>4382407.7282999996</v>
      </c>
      <c r="J185" s="48">
        <f>I185-G185</f>
        <v>0</v>
      </c>
      <c r="K185" s="49">
        <f>J185/G185</f>
        <v>0</v>
      </c>
      <c r="L185" s="122">
        <f>K185/G185</f>
        <v>0</v>
      </c>
      <c r="M185" s="30"/>
    </row>
    <row r="186" spans="1:16" ht="13.8" thickTop="1" x14ac:dyDescent="0.25">
      <c r="A186" s="120">
        <f t="shared" si="16"/>
        <v>149</v>
      </c>
      <c r="D186" s="30" t="s">
        <v>15</v>
      </c>
      <c r="E186" s="43">
        <f>E178/E176</f>
        <v>4681085.833333333</v>
      </c>
      <c r="G186" s="98">
        <f>G185/E176</f>
        <v>365200.64402499999</v>
      </c>
      <c r="I186" s="98">
        <f>I185/E176</f>
        <v>365200.64402499999</v>
      </c>
      <c r="J186" s="98">
        <f>J185/E176</f>
        <v>0</v>
      </c>
      <c r="K186" s="38">
        <f>K185</f>
        <v>0</v>
      </c>
    </row>
    <row r="187" spans="1:16" ht="13.8" thickBot="1" x14ac:dyDescent="0.3">
      <c r="A187" s="120">
        <f t="shared" si="16"/>
        <v>150</v>
      </c>
    </row>
    <row r="188" spans="1:16" x14ac:dyDescent="0.25">
      <c r="A188" s="120">
        <f>A174+1</f>
        <v>151</v>
      </c>
      <c r="B188" s="94" t="s">
        <v>96</v>
      </c>
      <c r="C188" s="121" t="s">
        <v>30</v>
      </c>
      <c r="D188" s="94"/>
      <c r="E188" s="94"/>
      <c r="F188" s="94"/>
      <c r="G188" s="94"/>
      <c r="H188" s="94"/>
      <c r="I188" s="94"/>
      <c r="J188" s="94"/>
      <c r="K188" s="94"/>
    </row>
    <row r="189" spans="1:16" x14ac:dyDescent="0.25">
      <c r="A189" s="120">
        <f t="shared" si="16"/>
        <v>152</v>
      </c>
      <c r="D189" s="30" t="s">
        <v>14</v>
      </c>
      <c r="E189" s="43">
        <v>12</v>
      </c>
      <c r="F189" s="37">
        <v>5726.7</v>
      </c>
      <c r="G189" s="44">
        <f>F189*E189</f>
        <v>68720.399999999994</v>
      </c>
      <c r="H189" s="37">
        <f t="shared" ref="H189:H191" si="31">F189</f>
        <v>5726.7</v>
      </c>
      <c r="I189" s="44">
        <f>H189*E189</f>
        <v>68720.399999999994</v>
      </c>
      <c r="J189" s="44">
        <f t="shared" ref="J189:J195" si="32">I189-G189</f>
        <v>0</v>
      </c>
      <c r="K189" s="38">
        <f>IF(G189=0,0,J189/G189)</f>
        <v>0</v>
      </c>
      <c r="O189" s="39"/>
    </row>
    <row r="190" spans="1:16" x14ac:dyDescent="0.25">
      <c r="A190" s="120">
        <f t="shared" si="16"/>
        <v>153</v>
      </c>
      <c r="B190" s="127"/>
      <c r="D190" s="30" t="s">
        <v>64</v>
      </c>
      <c r="E190" s="43">
        <v>412081</v>
      </c>
      <c r="F190" s="37">
        <v>7.3</v>
      </c>
      <c r="G190" s="44">
        <f>F190*E190</f>
        <v>3008191.3</v>
      </c>
      <c r="H190" s="37">
        <f t="shared" si="31"/>
        <v>7.3</v>
      </c>
      <c r="I190" s="44">
        <f>H190*E190</f>
        <v>3008191.3</v>
      </c>
      <c r="J190" s="44">
        <f t="shared" si="32"/>
        <v>0</v>
      </c>
      <c r="K190" s="38">
        <f>IF(G190=0,0,J190/G190)</f>
        <v>0</v>
      </c>
      <c r="O190" s="39"/>
    </row>
    <row r="191" spans="1:16" x14ac:dyDescent="0.25">
      <c r="A191" s="120">
        <f t="shared" si="16"/>
        <v>154</v>
      </c>
      <c r="D191" s="30" t="s">
        <v>59</v>
      </c>
      <c r="E191" s="43">
        <v>256019383</v>
      </c>
      <c r="F191" s="39">
        <v>3.9780000000000003E-2</v>
      </c>
      <c r="G191" s="44">
        <f>F191*E191</f>
        <v>10184451.055740001</v>
      </c>
      <c r="H191" s="39">
        <f t="shared" si="31"/>
        <v>3.9780000000000003E-2</v>
      </c>
      <c r="I191" s="44">
        <f>H191*E191</f>
        <v>10184451.055740001</v>
      </c>
      <c r="J191" s="44">
        <f t="shared" si="32"/>
        <v>0</v>
      </c>
      <c r="K191" s="38">
        <f>IF(G191=0,0,J191/G191)</f>
        <v>0</v>
      </c>
      <c r="O191" s="39"/>
    </row>
    <row r="192" spans="1:16" s="108" customFormat="1" ht="20.399999999999999" customHeight="1" x14ac:dyDescent="0.25">
      <c r="A192" s="120">
        <f t="shared" si="16"/>
        <v>155</v>
      </c>
      <c r="C192" s="109"/>
      <c r="D192" s="95" t="s">
        <v>4</v>
      </c>
      <c r="E192" s="95"/>
      <c r="F192" s="95"/>
      <c r="G192" s="11">
        <f>SUM(G189:G191)</f>
        <v>13261362.75574</v>
      </c>
      <c r="H192" s="95"/>
      <c r="I192" s="11">
        <f>SUM(I189:I191)</f>
        <v>13261362.75574</v>
      </c>
      <c r="J192" s="11">
        <f t="shared" si="32"/>
        <v>0</v>
      </c>
      <c r="K192" s="45">
        <f>J192/G192</f>
        <v>0</v>
      </c>
      <c r="L192" s="122">
        <f>K192/G192</f>
        <v>0</v>
      </c>
      <c r="M192" s="30"/>
      <c r="O192" s="128"/>
      <c r="P192" s="112"/>
    </row>
    <row r="193" spans="1:16" x14ac:dyDescent="0.25">
      <c r="A193" s="120">
        <f t="shared" si="16"/>
        <v>156</v>
      </c>
      <c r="D193" s="30" t="s">
        <v>20</v>
      </c>
      <c r="G193" s="41">
        <v>3382471.01</v>
      </c>
      <c r="I193" s="44">
        <f>G193</f>
        <v>3382471.01</v>
      </c>
      <c r="J193" s="44">
        <f t="shared" si="32"/>
        <v>0</v>
      </c>
      <c r="K193" s="37">
        <v>0</v>
      </c>
    </row>
    <row r="194" spans="1:16" x14ac:dyDescent="0.25">
      <c r="A194" s="120">
        <f t="shared" si="16"/>
        <v>157</v>
      </c>
      <c r="D194" s="30" t="s">
        <v>21</v>
      </c>
      <c r="G194" s="41">
        <v>2411760</v>
      </c>
      <c r="I194" s="44">
        <f>G194</f>
        <v>2411760</v>
      </c>
      <c r="J194" s="44">
        <f t="shared" si="32"/>
        <v>0</v>
      </c>
      <c r="K194" s="37">
        <v>0</v>
      </c>
    </row>
    <row r="195" spans="1:16" x14ac:dyDescent="0.25">
      <c r="A195" s="120">
        <f t="shared" si="16"/>
        <v>158</v>
      </c>
      <c r="D195" s="30" t="s">
        <v>23</v>
      </c>
      <c r="G195" s="41">
        <v>0</v>
      </c>
      <c r="I195" s="44">
        <f>G195</f>
        <v>0</v>
      </c>
      <c r="J195" s="44">
        <f t="shared" si="32"/>
        <v>0</v>
      </c>
      <c r="K195" s="37">
        <v>0</v>
      </c>
    </row>
    <row r="196" spans="1:16" x14ac:dyDescent="0.25">
      <c r="A196" s="120">
        <f t="shared" si="16"/>
        <v>159</v>
      </c>
      <c r="D196" s="30" t="s">
        <v>25</v>
      </c>
      <c r="G196" s="41">
        <v>0</v>
      </c>
      <c r="I196" s="44">
        <f>G196</f>
        <v>0</v>
      </c>
      <c r="J196" s="44"/>
      <c r="K196" s="37"/>
    </row>
    <row r="197" spans="1:16" x14ac:dyDescent="0.25">
      <c r="A197" s="120">
        <f t="shared" si="16"/>
        <v>160</v>
      </c>
      <c r="D197" s="96" t="s">
        <v>5</v>
      </c>
      <c r="E197" s="96"/>
      <c r="F197" s="96"/>
      <c r="G197" s="46">
        <f>SUM(G193:G196)</f>
        <v>5794231.0099999998</v>
      </c>
      <c r="H197" s="96"/>
      <c r="I197" s="46">
        <f>SUM(I193:I196)</f>
        <v>5794231.0099999998</v>
      </c>
      <c r="J197" s="46">
        <f>I197-G197</f>
        <v>0</v>
      </c>
      <c r="K197" s="47">
        <f>J197/G197</f>
        <v>0</v>
      </c>
    </row>
    <row r="198" spans="1:16" s="108" customFormat="1" ht="26.4" customHeight="1" thickBot="1" x14ac:dyDescent="0.3">
      <c r="A198" s="120">
        <f t="shared" si="16"/>
        <v>161</v>
      </c>
      <c r="C198" s="109"/>
      <c r="D198" s="40" t="s">
        <v>16</v>
      </c>
      <c r="E198" s="40"/>
      <c r="F198" s="40"/>
      <c r="G198" s="97">
        <f>G197+G192</f>
        <v>19055593.76574</v>
      </c>
      <c r="H198" s="40"/>
      <c r="I198" s="48">
        <f>I197+I192</f>
        <v>19055593.76574</v>
      </c>
      <c r="J198" s="48">
        <f>I198-G198</f>
        <v>0</v>
      </c>
      <c r="K198" s="49">
        <f>J198/G198</f>
        <v>0</v>
      </c>
      <c r="L198" s="122">
        <f>K198/G198</f>
        <v>0</v>
      </c>
      <c r="M198" s="30"/>
    </row>
    <row r="199" spans="1:16" ht="13.8" thickTop="1" x14ac:dyDescent="0.25">
      <c r="A199" s="120">
        <f t="shared" si="16"/>
        <v>162</v>
      </c>
      <c r="D199" s="30" t="s">
        <v>15</v>
      </c>
      <c r="E199" s="43">
        <f>E191/E189</f>
        <v>21334948.583333332</v>
      </c>
      <c r="G199" s="98">
        <f>G198/E189</f>
        <v>1587966.1471450001</v>
      </c>
      <c r="I199" s="98">
        <f>I198/E189</f>
        <v>1587966.1471450001</v>
      </c>
      <c r="J199" s="98">
        <f>J198/E189</f>
        <v>0</v>
      </c>
      <c r="K199" s="38">
        <f>K198</f>
        <v>0</v>
      </c>
    </row>
    <row r="200" spans="1:16" ht="13.8" thickBot="1" x14ac:dyDescent="0.3">
      <c r="A200" s="120">
        <f t="shared" si="16"/>
        <v>163</v>
      </c>
    </row>
    <row r="201" spans="1:16" x14ac:dyDescent="0.25">
      <c r="A201" s="120">
        <f>A121+1</f>
        <v>98</v>
      </c>
      <c r="B201" s="94" t="s">
        <v>68</v>
      </c>
      <c r="C201" s="121" t="s">
        <v>30</v>
      </c>
      <c r="D201" s="94"/>
      <c r="E201" s="94"/>
      <c r="F201" s="94"/>
      <c r="G201" s="94"/>
      <c r="H201" s="94"/>
      <c r="I201" s="94"/>
      <c r="J201" s="94"/>
      <c r="K201" s="94"/>
    </row>
    <row r="202" spans="1:16" x14ac:dyDescent="0.25">
      <c r="A202" s="120">
        <f t="shared" si="16"/>
        <v>99</v>
      </c>
      <c r="D202" s="30" t="s">
        <v>14</v>
      </c>
      <c r="E202" s="43">
        <v>163515005</v>
      </c>
      <c r="F202" s="62">
        <v>2E-3</v>
      </c>
      <c r="G202" s="44">
        <f>F202*E202</f>
        <v>327030.01</v>
      </c>
      <c r="H202" s="62">
        <f t="shared" ref="H202:H204" si="33">F202</f>
        <v>2E-3</v>
      </c>
      <c r="I202" s="44">
        <f>H202*E202</f>
        <v>327030.01</v>
      </c>
      <c r="J202" s="44">
        <f t="shared" ref="J202:J208" si="34">I202-G202</f>
        <v>0</v>
      </c>
      <c r="K202" s="38">
        <f>IF(G202=0,0,J202/G202)</f>
        <v>0</v>
      </c>
      <c r="P202" s="30">
        <f>G202/F202</f>
        <v>163515005</v>
      </c>
    </row>
    <row r="203" spans="1:16" x14ac:dyDescent="0.25">
      <c r="A203" s="120">
        <f t="shared" si="16"/>
        <v>100</v>
      </c>
      <c r="D203" s="30" t="s">
        <v>59</v>
      </c>
      <c r="E203" s="43">
        <v>140567003</v>
      </c>
      <c r="F203" s="99">
        <v>6.0740000000000002E-2</v>
      </c>
      <c r="G203" s="44">
        <f>F203*E203</f>
        <v>8538039.7622200008</v>
      </c>
      <c r="H203" s="99">
        <f t="shared" si="33"/>
        <v>6.0740000000000002E-2</v>
      </c>
      <c r="I203" s="44">
        <f>H203*E203</f>
        <v>8538039.7622200008</v>
      </c>
      <c r="J203" s="44">
        <f t="shared" si="34"/>
        <v>0</v>
      </c>
      <c r="K203" s="38">
        <f>IF(G203=0,0,J203/G203)</f>
        <v>0</v>
      </c>
    </row>
    <row r="204" spans="1:16" x14ac:dyDescent="0.25">
      <c r="A204" s="120">
        <f t="shared" si="16"/>
        <v>101</v>
      </c>
      <c r="D204" s="30" t="s">
        <v>64</v>
      </c>
      <c r="E204" s="43">
        <v>327872</v>
      </c>
      <c r="F204" s="37">
        <v>1.75</v>
      </c>
      <c r="G204" s="44">
        <f>E204*F204</f>
        <v>573776</v>
      </c>
      <c r="H204" s="37">
        <f t="shared" si="33"/>
        <v>1.75</v>
      </c>
      <c r="I204" s="44">
        <f>H204*E204</f>
        <v>573776</v>
      </c>
      <c r="J204" s="44">
        <f t="shared" si="34"/>
        <v>0</v>
      </c>
      <c r="K204" s="38">
        <f>IF(G204=0,0,J204/G204)</f>
        <v>0</v>
      </c>
    </row>
    <row r="205" spans="1:16" s="108" customFormat="1" ht="20.399999999999999" customHeight="1" x14ac:dyDescent="0.25">
      <c r="A205" s="120">
        <f t="shared" si="16"/>
        <v>102</v>
      </c>
      <c r="C205" s="109"/>
      <c r="D205" s="95" t="s">
        <v>4</v>
      </c>
      <c r="E205" s="95"/>
      <c r="F205" s="95"/>
      <c r="G205" s="11">
        <f>SUM(G202:G204)</f>
        <v>9438845.7722200006</v>
      </c>
      <c r="H205" s="95"/>
      <c r="I205" s="11">
        <f>SUM(I202:I204)</f>
        <v>9438845.7722200006</v>
      </c>
      <c r="J205" s="11">
        <f t="shared" si="34"/>
        <v>0</v>
      </c>
      <c r="K205" s="45">
        <f>IF(G205=0,0,J205/G205)</f>
        <v>0</v>
      </c>
      <c r="L205" s="122">
        <f>K205/G205</f>
        <v>0</v>
      </c>
      <c r="M205" s="30"/>
    </row>
    <row r="206" spans="1:16" x14ac:dyDescent="0.25">
      <c r="A206" s="120">
        <f t="shared" si="16"/>
        <v>103</v>
      </c>
      <c r="D206" s="30" t="s">
        <v>20</v>
      </c>
      <c r="G206" s="41">
        <v>0</v>
      </c>
      <c r="I206" s="44">
        <f>G206</f>
        <v>0</v>
      </c>
      <c r="J206" s="44">
        <f t="shared" si="34"/>
        <v>0</v>
      </c>
      <c r="K206" s="37">
        <v>0</v>
      </c>
    </row>
    <row r="207" spans="1:16" x14ac:dyDescent="0.25">
      <c r="A207" s="120">
        <f t="shared" si="16"/>
        <v>104</v>
      </c>
      <c r="D207" s="30" t="s">
        <v>21</v>
      </c>
      <c r="G207" s="41">
        <v>574417</v>
      </c>
      <c r="I207" s="44">
        <f>G207</f>
        <v>574417</v>
      </c>
      <c r="J207" s="44">
        <f t="shared" si="34"/>
        <v>0</v>
      </c>
      <c r="K207" s="37">
        <v>0</v>
      </c>
    </row>
    <row r="208" spans="1:16" x14ac:dyDescent="0.25">
      <c r="A208" s="120">
        <f t="shared" si="16"/>
        <v>105</v>
      </c>
      <c r="D208" s="30" t="s">
        <v>23</v>
      </c>
      <c r="G208" s="41">
        <v>0</v>
      </c>
      <c r="I208" s="44">
        <f>G208</f>
        <v>0</v>
      </c>
      <c r="J208" s="44">
        <f t="shared" si="34"/>
        <v>0</v>
      </c>
      <c r="K208" s="37">
        <v>0</v>
      </c>
    </row>
    <row r="209" spans="1:13" x14ac:dyDescent="0.25">
      <c r="A209" s="120">
        <f t="shared" si="16"/>
        <v>106</v>
      </c>
      <c r="D209" s="30" t="s">
        <v>25</v>
      </c>
      <c r="G209" s="41">
        <v>0</v>
      </c>
      <c r="I209" s="44">
        <f>G209</f>
        <v>0</v>
      </c>
      <c r="J209" s="44"/>
      <c r="K209" s="37"/>
    </row>
    <row r="210" spans="1:13" x14ac:dyDescent="0.25">
      <c r="A210" s="120">
        <f t="shared" si="16"/>
        <v>107</v>
      </c>
      <c r="D210" s="96" t="s">
        <v>5</v>
      </c>
      <c r="E210" s="96"/>
      <c r="F210" s="96"/>
      <c r="G210" s="46">
        <f>SUM(G206:G209)</f>
        <v>574417</v>
      </c>
      <c r="H210" s="96"/>
      <c r="I210" s="46">
        <f>SUM(I206:I209)</f>
        <v>574417</v>
      </c>
      <c r="J210" s="46">
        <f>I210-G210</f>
        <v>0</v>
      </c>
      <c r="K210" s="47">
        <f>J210/G210</f>
        <v>0</v>
      </c>
    </row>
    <row r="211" spans="1:13" s="108" customFormat="1" ht="26.4" customHeight="1" thickBot="1" x14ac:dyDescent="0.3">
      <c r="A211" s="120">
        <f t="shared" si="16"/>
        <v>108</v>
      </c>
      <c r="C211" s="109"/>
      <c r="D211" s="40" t="s">
        <v>16</v>
      </c>
      <c r="E211" s="40"/>
      <c r="F211" s="40"/>
      <c r="G211" s="97">
        <f>G210+G205</f>
        <v>10013262.772220001</v>
      </c>
      <c r="H211" s="40"/>
      <c r="I211" s="48">
        <f>I210+I205</f>
        <v>10013262.772220001</v>
      </c>
      <c r="J211" s="48">
        <f>I211-G211</f>
        <v>0</v>
      </c>
      <c r="K211" s="49">
        <f>IF(G211=0,0,J211/G211)</f>
        <v>0</v>
      </c>
      <c r="L211" s="122">
        <f>K211/G211</f>
        <v>0</v>
      </c>
      <c r="M211" s="30"/>
    </row>
    <row r="212" spans="1:13" ht="13.8" thickTop="1" x14ac:dyDescent="0.25">
      <c r="A212" s="120">
        <f t="shared" si="16"/>
        <v>109</v>
      </c>
      <c r="D212" s="24" t="s">
        <v>15</v>
      </c>
      <c r="E212" s="103">
        <f>E203/12</f>
        <v>11713916.916666666</v>
      </c>
      <c r="F212" s="104"/>
      <c r="G212" s="105">
        <f>G211/12</f>
        <v>834438.56435166672</v>
      </c>
      <c r="H212" s="104"/>
      <c r="I212" s="105">
        <f>I211/12</f>
        <v>834438.56435166672</v>
      </c>
      <c r="J212" s="106">
        <f>J211/12</f>
        <v>0</v>
      </c>
      <c r="K212" s="107">
        <f>K211</f>
        <v>0</v>
      </c>
    </row>
    <row r="213" spans="1:13" ht="13.8" thickBot="1" x14ac:dyDescent="0.3">
      <c r="A213" s="120">
        <f t="shared" si="16"/>
        <v>110</v>
      </c>
    </row>
    <row r="214" spans="1:13" x14ac:dyDescent="0.25">
      <c r="A214" s="120">
        <f t="shared" si="16"/>
        <v>111</v>
      </c>
      <c r="B214" s="94" t="s">
        <v>80</v>
      </c>
      <c r="C214" s="121" t="s">
        <v>80</v>
      </c>
      <c r="D214" s="94"/>
      <c r="E214" s="94"/>
      <c r="F214" s="94"/>
      <c r="G214" s="94"/>
      <c r="H214" s="94"/>
      <c r="I214" s="94"/>
      <c r="J214" s="94"/>
      <c r="K214" s="94"/>
    </row>
    <row r="215" spans="1:13" x14ac:dyDescent="0.25">
      <c r="A215" s="120">
        <f t="shared" ref="A215:A237" si="35">A214+1</f>
        <v>112</v>
      </c>
      <c r="D215" s="30" t="s">
        <v>66</v>
      </c>
      <c r="E215" s="43">
        <v>3462</v>
      </c>
      <c r="F215" s="37">
        <v>604.75</v>
      </c>
      <c r="G215" s="44">
        <f>F215*E215</f>
        <v>2093644.5</v>
      </c>
      <c r="H215" s="37">
        <f>F215</f>
        <v>604.75</v>
      </c>
      <c r="I215" s="44">
        <f>H215*E215</f>
        <v>2093644.5</v>
      </c>
      <c r="J215" s="44">
        <f t="shared" ref="J215:J220" si="36">I215-G215</f>
        <v>0</v>
      </c>
      <c r="K215" s="38">
        <f>IF(G215=0,0,J215/G215)</f>
        <v>0</v>
      </c>
    </row>
    <row r="216" spans="1:13" x14ac:dyDescent="0.25">
      <c r="A216" s="120">
        <f t="shared" si="35"/>
        <v>113</v>
      </c>
      <c r="D216" s="30" t="s">
        <v>67</v>
      </c>
      <c r="E216" s="43">
        <v>1859750.9</v>
      </c>
      <c r="F216" s="67">
        <v>4.266</v>
      </c>
      <c r="G216" s="44">
        <f>F216*E216</f>
        <v>7933697.3393999999</v>
      </c>
      <c r="H216" s="67">
        <f>F216</f>
        <v>4.266</v>
      </c>
      <c r="I216" s="44">
        <f>H216*E216</f>
        <v>7933697.3393999999</v>
      </c>
      <c r="J216" s="44">
        <f t="shared" si="36"/>
        <v>0</v>
      </c>
      <c r="K216" s="38">
        <f>IF(G216=0,0,J216/G216)</f>
        <v>0</v>
      </c>
    </row>
    <row r="217" spans="1:13" s="108" customFormat="1" ht="20.399999999999999" customHeight="1" x14ac:dyDescent="0.25">
      <c r="A217" s="120">
        <f t="shared" si="35"/>
        <v>114</v>
      </c>
      <c r="C217" s="109"/>
      <c r="D217" s="95" t="s">
        <v>4</v>
      </c>
      <c r="E217" s="95"/>
      <c r="F217" s="95"/>
      <c r="G217" s="11">
        <f>SUM(G215:G216)</f>
        <v>10027341.839400001</v>
      </c>
      <c r="H217" s="95"/>
      <c r="I217" s="11">
        <f>SUM(I215:I216)</f>
        <v>10027341.839400001</v>
      </c>
      <c r="J217" s="11">
        <f t="shared" si="36"/>
        <v>0</v>
      </c>
      <c r="K217" s="45">
        <f>J217/G217</f>
        <v>0</v>
      </c>
      <c r="L217" s="122">
        <f>K217/G217</f>
        <v>0</v>
      </c>
      <c r="M217" s="30"/>
    </row>
    <row r="218" spans="1:13" x14ac:dyDescent="0.25">
      <c r="A218" s="120">
        <f t="shared" si="35"/>
        <v>115</v>
      </c>
      <c r="D218" s="30" t="s">
        <v>20</v>
      </c>
      <c r="G218" s="41">
        <v>2616174</v>
      </c>
      <c r="I218" s="44">
        <f>G218</f>
        <v>2616174</v>
      </c>
      <c r="J218" s="44">
        <f t="shared" si="36"/>
        <v>0</v>
      </c>
      <c r="K218" s="37">
        <v>0</v>
      </c>
    </row>
    <row r="219" spans="1:13" x14ac:dyDescent="0.25">
      <c r="A219" s="120">
        <f t="shared" si="35"/>
        <v>116</v>
      </c>
      <c r="D219" s="30" t="s">
        <v>21</v>
      </c>
      <c r="G219" s="41">
        <v>1879756</v>
      </c>
      <c r="I219" s="44">
        <f>G219</f>
        <v>1879756</v>
      </c>
      <c r="J219" s="44">
        <f t="shared" si="36"/>
        <v>0</v>
      </c>
      <c r="K219" s="37">
        <v>0</v>
      </c>
    </row>
    <row r="220" spans="1:13" x14ac:dyDescent="0.25">
      <c r="A220" s="120">
        <f t="shared" si="35"/>
        <v>117</v>
      </c>
      <c r="D220" s="30" t="s">
        <v>23</v>
      </c>
      <c r="G220" s="41">
        <v>0</v>
      </c>
      <c r="I220" s="44">
        <f>G220</f>
        <v>0</v>
      </c>
      <c r="J220" s="44">
        <f t="shared" si="36"/>
        <v>0</v>
      </c>
      <c r="K220" s="37">
        <v>0</v>
      </c>
    </row>
    <row r="221" spans="1:13" x14ac:dyDescent="0.25">
      <c r="A221" s="120">
        <f t="shared" si="35"/>
        <v>118</v>
      </c>
      <c r="D221" s="30" t="s">
        <v>25</v>
      </c>
      <c r="G221" s="41">
        <v>0</v>
      </c>
      <c r="I221" s="44">
        <f>G221</f>
        <v>0</v>
      </c>
      <c r="J221" s="44"/>
      <c r="K221" s="37"/>
    </row>
    <row r="222" spans="1:13" x14ac:dyDescent="0.25">
      <c r="A222" s="120">
        <f t="shared" si="35"/>
        <v>119</v>
      </c>
      <c r="D222" s="96" t="s">
        <v>5</v>
      </c>
      <c r="E222" s="96"/>
      <c r="F222" s="96"/>
      <c r="G222" s="46">
        <f>SUM(G218:G221)</f>
        <v>4495930</v>
      </c>
      <c r="H222" s="96"/>
      <c r="I222" s="46">
        <f>SUM(I218:I221)</f>
        <v>4495930</v>
      </c>
      <c r="J222" s="46">
        <f>I222-G222</f>
        <v>0</v>
      </c>
      <c r="K222" s="47">
        <f>J222/G222</f>
        <v>0</v>
      </c>
    </row>
    <row r="223" spans="1:13" s="108" customFormat="1" ht="26.4" customHeight="1" thickBot="1" x14ac:dyDescent="0.3">
      <c r="A223" s="120">
        <f t="shared" si="35"/>
        <v>120</v>
      </c>
      <c r="C223" s="109"/>
      <c r="D223" s="40" t="s">
        <v>16</v>
      </c>
      <c r="E223" s="40"/>
      <c r="F223" s="40"/>
      <c r="G223" s="97">
        <f>G222+G217</f>
        <v>14523271.839400001</v>
      </c>
      <c r="H223" s="40"/>
      <c r="I223" s="48">
        <f>I222+I217</f>
        <v>14523271.839400001</v>
      </c>
      <c r="J223" s="48">
        <f>I223-G223</f>
        <v>0</v>
      </c>
      <c r="K223" s="49">
        <f>J223/G223</f>
        <v>0</v>
      </c>
      <c r="L223" s="122">
        <f>K223/G223</f>
        <v>0</v>
      </c>
      <c r="M223" s="30"/>
    </row>
    <row r="224" spans="1:13" ht="13.8" thickTop="1" x14ac:dyDescent="0.25">
      <c r="A224" s="120">
        <f t="shared" si="35"/>
        <v>121</v>
      </c>
      <c r="D224" s="30" t="s">
        <v>15</v>
      </c>
      <c r="G224" s="98">
        <f>G223/E215</f>
        <v>4195.0525243789716</v>
      </c>
      <c r="I224" s="98">
        <f>I223/E215</f>
        <v>4195.0525243789716</v>
      </c>
      <c r="J224" s="98">
        <f>I224-G224</f>
        <v>0</v>
      </c>
      <c r="K224" s="38">
        <f>J224/G224</f>
        <v>0</v>
      </c>
    </row>
    <row r="225" spans="1:13" x14ac:dyDescent="0.25">
      <c r="A225" s="120">
        <f t="shared" si="35"/>
        <v>122</v>
      </c>
    </row>
    <row r="226" spans="1:13" x14ac:dyDescent="0.25">
      <c r="A226" s="120">
        <f t="shared" si="35"/>
        <v>123</v>
      </c>
    </row>
    <row r="227" spans="1:13" x14ac:dyDescent="0.25">
      <c r="A227" s="120">
        <f t="shared" si="35"/>
        <v>124</v>
      </c>
    </row>
    <row r="228" spans="1:13" s="108" customFormat="1" ht="19.8" customHeight="1" x14ac:dyDescent="0.25">
      <c r="A228" s="120">
        <f t="shared" si="35"/>
        <v>125</v>
      </c>
      <c r="B228" s="108" t="s">
        <v>22</v>
      </c>
      <c r="C228" s="109"/>
      <c r="D228" s="95" t="s">
        <v>4</v>
      </c>
      <c r="E228" s="95"/>
      <c r="F228" s="95"/>
      <c r="G228" s="110">
        <f t="shared" ref="G228:G234" si="37">G10+G23+G75+G113+G205+G217+G88+G139+G101+G36+G48+G61+G153+G166+G179+G192</f>
        <v>83101367.312554076</v>
      </c>
      <c r="H228" s="95"/>
      <c r="I228" s="110">
        <f>I10+I23+I75+I113+I205+I217+I88+I139+I101+I36+I48+I61+I153+I166+I179+I192</f>
        <v>85042854.495504096</v>
      </c>
      <c r="J228" s="110">
        <f>J10+J23+J75+J113+J205+J217+J88+J139+J101+J36+J48+J61+J153+J166+J179+J192</f>
        <v>1941487.182950001</v>
      </c>
      <c r="K228" s="45">
        <f>J228/G228</f>
        <v>2.3362878924095651E-2</v>
      </c>
      <c r="L228" s="122">
        <f>K228/G228</f>
        <v>2.8113711819235292E-10</v>
      </c>
      <c r="M228" s="30"/>
    </row>
    <row r="229" spans="1:13" x14ac:dyDescent="0.25">
      <c r="A229" s="120">
        <f t="shared" si="35"/>
        <v>126</v>
      </c>
      <c r="D229" s="30" t="s">
        <v>20</v>
      </c>
      <c r="G229" s="41">
        <f t="shared" si="37"/>
        <v>14102577.029999997</v>
      </c>
      <c r="I229" s="41">
        <f t="shared" ref="I229:J229" si="38">I11+I24+I76+I114+I206+I218+I89+I140+I102+I37+I49+I62+I154+I167+I180+I193</f>
        <v>14102577.029999997</v>
      </c>
      <c r="J229" s="41">
        <f t="shared" si="38"/>
        <v>0</v>
      </c>
    </row>
    <row r="230" spans="1:13" x14ac:dyDescent="0.25">
      <c r="A230" s="120">
        <f t="shared" si="35"/>
        <v>127</v>
      </c>
      <c r="D230" s="30" t="s">
        <v>21</v>
      </c>
      <c r="G230" s="41">
        <f t="shared" si="37"/>
        <v>10095517.710000001</v>
      </c>
      <c r="I230" s="41">
        <f t="shared" ref="I230:J230" si="39">I12+I25+I77+I115+I207+I219+I90+I141+I103+I38+I50+I63+I155+I168+I181+I194</f>
        <v>10095517.710000001</v>
      </c>
      <c r="J230" s="41">
        <f t="shared" si="39"/>
        <v>0</v>
      </c>
    </row>
    <row r="231" spans="1:13" x14ac:dyDescent="0.25">
      <c r="A231" s="120">
        <f t="shared" si="35"/>
        <v>128</v>
      </c>
      <c r="D231" s="30" t="s">
        <v>23</v>
      </c>
      <c r="G231" s="41">
        <f t="shared" si="37"/>
        <v>231.63000000000011</v>
      </c>
      <c r="I231" s="41">
        <f t="shared" ref="I231:J231" si="40">I13+I26+I78+I116+I208+I220+I91+I142+I104+I39+I51+I64+I156+I169+I182+I195</f>
        <v>231.63000000000011</v>
      </c>
      <c r="J231" s="41">
        <f t="shared" si="40"/>
        <v>0</v>
      </c>
    </row>
    <row r="232" spans="1:13" x14ac:dyDescent="0.25">
      <c r="A232" s="120">
        <f t="shared" si="35"/>
        <v>129</v>
      </c>
      <c r="D232" s="30" t="s">
        <v>25</v>
      </c>
      <c r="G232" s="41">
        <f t="shared" si="37"/>
        <v>462</v>
      </c>
      <c r="I232" s="41">
        <f t="shared" ref="I232:J232" si="41">I14+I27+I79+I117+I209+I221+I92+I143+I105+I40+I52+I65+I157+I170+I183+I196</f>
        <v>462</v>
      </c>
      <c r="J232" s="41">
        <f t="shared" si="41"/>
        <v>0</v>
      </c>
      <c r="K232" s="37"/>
    </row>
    <row r="233" spans="1:13" x14ac:dyDescent="0.25">
      <c r="A233" s="120">
        <f t="shared" si="35"/>
        <v>130</v>
      </c>
      <c r="D233" s="96" t="s">
        <v>5</v>
      </c>
      <c r="E233" s="96"/>
      <c r="F233" s="96"/>
      <c r="G233" s="111">
        <f t="shared" si="37"/>
        <v>24198788.369999997</v>
      </c>
      <c r="H233" s="96"/>
      <c r="I233" s="111">
        <f t="shared" ref="I233:J233" si="42">I15+I28+I80+I118+I210+I222+I93+I144+I106+I41+I53+I66+I158+I171+I184+I197</f>
        <v>24198788.369999997</v>
      </c>
      <c r="J233" s="111">
        <f t="shared" si="42"/>
        <v>0</v>
      </c>
      <c r="K233" s="47">
        <f>J233/G233</f>
        <v>0</v>
      </c>
    </row>
    <row r="234" spans="1:13" s="108" customFormat="1" ht="21" customHeight="1" thickBot="1" x14ac:dyDescent="0.3">
      <c r="A234" s="120">
        <f t="shared" si="35"/>
        <v>131</v>
      </c>
      <c r="C234" s="109"/>
      <c r="D234" s="40" t="s">
        <v>16</v>
      </c>
      <c r="E234" s="40"/>
      <c r="F234" s="40"/>
      <c r="G234" s="97">
        <f t="shared" si="37"/>
        <v>107300155.6825541</v>
      </c>
      <c r="H234" s="40"/>
      <c r="I234" s="97">
        <f t="shared" ref="I234:J234" si="43">I16+I29+I81+I119+I211+I223+I94+I145+I107+I42+I54+I67+I159+I172+I185+I198</f>
        <v>109241642.86550409</v>
      </c>
      <c r="J234" s="97">
        <f t="shared" si="43"/>
        <v>1941487.18</v>
      </c>
      <c r="K234" s="49">
        <f>J234/G234</f>
        <v>1.8093982880545492E-2</v>
      </c>
      <c r="L234" s="122">
        <f>K234/G234</f>
        <v>1.6862960510585158E-10</v>
      </c>
      <c r="M234" s="30"/>
    </row>
    <row r="235" spans="1:13" s="108" customFormat="1" ht="21" customHeight="1" thickTop="1" x14ac:dyDescent="0.25">
      <c r="A235" s="120">
        <f t="shared" si="35"/>
        <v>132</v>
      </c>
      <c r="C235" s="109"/>
      <c r="G235" s="112"/>
      <c r="I235" s="112"/>
      <c r="J235" s="112"/>
      <c r="K235" s="56"/>
      <c r="L235" s="122"/>
      <c r="M235" s="30"/>
    </row>
    <row r="236" spans="1:13" s="108" customFormat="1" ht="15" customHeight="1" x14ac:dyDescent="0.25">
      <c r="A236" s="120">
        <f t="shared" si="35"/>
        <v>133</v>
      </c>
      <c r="C236" s="109"/>
      <c r="G236" s="112"/>
      <c r="I236" s="108" t="s">
        <v>105</v>
      </c>
      <c r="J236" s="112">
        <v>1943724.1962376919</v>
      </c>
      <c r="K236" s="56"/>
      <c r="L236" s="122"/>
      <c r="M236" s="30"/>
    </row>
    <row r="237" spans="1:13" s="108" customFormat="1" ht="15" customHeight="1" x14ac:dyDescent="0.25">
      <c r="A237" s="120">
        <f t="shared" si="35"/>
        <v>134</v>
      </c>
      <c r="C237" s="109"/>
      <c r="G237" s="112"/>
      <c r="I237" s="108" t="s">
        <v>106</v>
      </c>
      <c r="J237" s="112">
        <f>J234-J236</f>
        <v>-2237.0162376919761</v>
      </c>
      <c r="K237" s="56"/>
      <c r="L237" s="122"/>
      <c r="M237" s="30"/>
    </row>
    <row r="238" spans="1:13" x14ac:dyDescent="0.25">
      <c r="A238" s="120"/>
    </row>
    <row r="239" spans="1:13" x14ac:dyDescent="0.25">
      <c r="A239" s="120"/>
      <c r="J239" s="41"/>
    </row>
    <row r="240" spans="1:13" x14ac:dyDescent="0.25">
      <c r="A240" s="120"/>
      <c r="J240" s="41"/>
    </row>
    <row r="241" spans="1:16" x14ac:dyDescent="0.25">
      <c r="A241" s="120"/>
      <c r="B241" s="129"/>
    </row>
    <row r="242" spans="1:16" x14ac:dyDescent="0.25">
      <c r="A242" s="120"/>
      <c r="J242" s="41"/>
    </row>
    <row r="243" spans="1:16" x14ac:dyDescent="0.25">
      <c r="A243" s="120"/>
      <c r="B243" s="129"/>
    </row>
    <row r="244" spans="1:16" x14ac:dyDescent="0.25">
      <c r="A244" s="120"/>
      <c r="J244" s="41"/>
    </row>
    <row r="245" spans="1:16" x14ac:dyDescent="0.25">
      <c r="A245" s="120"/>
      <c r="B245" s="129"/>
    </row>
    <row r="246" spans="1:16" x14ac:dyDescent="0.25">
      <c r="A246" s="120"/>
      <c r="J246" s="41"/>
    </row>
    <row r="247" spans="1:16" x14ac:dyDescent="0.25">
      <c r="A247" s="120"/>
      <c r="B247" s="129"/>
    </row>
    <row r="248" spans="1:16" x14ac:dyDescent="0.25">
      <c r="A248" s="120"/>
      <c r="J248" s="41"/>
    </row>
    <row r="249" spans="1:16" x14ac:dyDescent="0.25">
      <c r="A249" s="120"/>
      <c r="B249" s="129"/>
    </row>
    <row r="250" spans="1:16" x14ac:dyDescent="0.25">
      <c r="A250" s="120"/>
      <c r="J250" s="41"/>
    </row>
    <row r="251" spans="1:16" x14ac:dyDescent="0.25">
      <c r="A251" s="120"/>
      <c r="B251" s="129"/>
    </row>
    <row r="252" spans="1:16" s="108" customFormat="1" ht="20.399999999999999" customHeight="1" x14ac:dyDescent="0.25">
      <c r="A252" s="120"/>
      <c r="B252" s="30"/>
      <c r="C252" s="104"/>
      <c r="D252" s="30"/>
      <c r="E252" s="30"/>
      <c r="F252" s="30"/>
      <c r="G252" s="30"/>
      <c r="H252" s="30"/>
      <c r="I252" s="30"/>
      <c r="J252" s="41"/>
      <c r="K252" s="30"/>
      <c r="L252" s="30"/>
      <c r="M252" s="30"/>
      <c r="N252" s="30"/>
      <c r="P252" s="30"/>
    </row>
    <row r="253" spans="1:16" x14ac:dyDescent="0.25">
      <c r="A253" s="120"/>
      <c r="B253" s="129"/>
    </row>
    <row r="254" spans="1:16" x14ac:dyDescent="0.25">
      <c r="A254" s="120"/>
      <c r="J254" s="41"/>
    </row>
    <row r="255" spans="1:16" x14ac:dyDescent="0.25">
      <c r="A255" s="120"/>
      <c r="B255" s="129"/>
    </row>
    <row r="256" spans="1:16" x14ac:dyDescent="0.25">
      <c r="A256" s="120"/>
      <c r="J256" s="41"/>
    </row>
    <row r="257" spans="1:10" x14ac:dyDescent="0.25">
      <c r="A257" s="120"/>
      <c r="B257" s="129"/>
    </row>
    <row r="258" spans="1:10" x14ac:dyDescent="0.25">
      <c r="A258" s="120"/>
      <c r="J258" s="41"/>
    </row>
    <row r="259" spans="1:10" x14ac:dyDescent="0.25">
      <c r="A259" s="120"/>
      <c r="B259" s="129"/>
    </row>
    <row r="260" spans="1:10" x14ac:dyDescent="0.25">
      <c r="A260" s="120"/>
      <c r="J260" s="41"/>
    </row>
    <row r="261" spans="1:10" x14ac:dyDescent="0.25">
      <c r="A261" s="120"/>
      <c r="B261" s="129"/>
    </row>
    <row r="262" spans="1:10" x14ac:dyDescent="0.25">
      <c r="A262" s="120"/>
      <c r="J262" s="41"/>
    </row>
    <row r="263" spans="1:10" x14ac:dyDescent="0.25">
      <c r="A263" s="120"/>
      <c r="B263" s="129"/>
    </row>
    <row r="264" spans="1:10" x14ac:dyDescent="0.25">
      <c r="A264" s="120"/>
      <c r="J264" s="41"/>
    </row>
    <row r="265" spans="1:10" x14ac:dyDescent="0.25">
      <c r="A265" s="120"/>
      <c r="B265" s="129"/>
    </row>
    <row r="266" spans="1:10" x14ac:dyDescent="0.25">
      <c r="A266" s="120"/>
      <c r="J266" s="41"/>
    </row>
    <row r="267" spans="1:10" x14ac:dyDescent="0.25">
      <c r="A267" s="120"/>
      <c r="B267" s="129"/>
    </row>
    <row r="268" spans="1:10" x14ac:dyDescent="0.25">
      <c r="A268" s="120"/>
      <c r="J268" s="41"/>
    </row>
    <row r="269" spans="1:10" x14ac:dyDescent="0.25">
      <c r="A269" s="120"/>
      <c r="B269" s="129"/>
    </row>
    <row r="270" spans="1:10" x14ac:dyDescent="0.25">
      <c r="A270" s="120"/>
      <c r="J270" s="41"/>
    </row>
    <row r="271" spans="1:10" x14ac:dyDescent="0.25">
      <c r="A271" s="120"/>
      <c r="B271" s="129"/>
    </row>
    <row r="272" spans="1:10" x14ac:dyDescent="0.25">
      <c r="A272" s="120"/>
      <c r="J272" s="41"/>
    </row>
    <row r="273" spans="1:10" x14ac:dyDescent="0.25">
      <c r="A273" s="120"/>
      <c r="B273" s="129"/>
    </row>
    <row r="274" spans="1:10" x14ac:dyDescent="0.25">
      <c r="A274" s="120"/>
      <c r="J274" s="41"/>
    </row>
    <row r="275" spans="1:10" x14ac:dyDescent="0.25">
      <c r="A275" s="120"/>
      <c r="B275" s="129"/>
    </row>
    <row r="276" spans="1:10" x14ac:dyDescent="0.25">
      <c r="A276" s="120"/>
      <c r="J276" s="41"/>
    </row>
    <row r="277" spans="1:10" x14ac:dyDescent="0.25">
      <c r="A277" s="120"/>
      <c r="B277" s="129"/>
    </row>
    <row r="278" spans="1:10" x14ac:dyDescent="0.25">
      <c r="A278" s="120"/>
      <c r="J278" s="41"/>
    </row>
    <row r="279" spans="1:10" x14ac:dyDescent="0.25">
      <c r="A279" s="120"/>
      <c r="B279" s="129"/>
    </row>
    <row r="280" spans="1:10" x14ac:dyDescent="0.25">
      <c r="A280" s="120"/>
      <c r="J280" s="41"/>
    </row>
    <row r="281" spans="1:10" x14ac:dyDescent="0.25">
      <c r="A281" s="120"/>
      <c r="B281" s="129"/>
    </row>
    <row r="282" spans="1:10" x14ac:dyDescent="0.25">
      <c r="A282" s="120"/>
      <c r="J282" s="41"/>
    </row>
    <row r="283" spans="1:10" x14ac:dyDescent="0.25">
      <c r="A283" s="120"/>
      <c r="B283" s="129"/>
    </row>
    <row r="284" spans="1:10" x14ac:dyDescent="0.25">
      <c r="A284" s="120"/>
      <c r="J284" s="41"/>
    </row>
    <row r="285" spans="1:10" x14ac:dyDescent="0.25">
      <c r="A285" s="120"/>
      <c r="B285" s="129"/>
    </row>
    <row r="286" spans="1:10" x14ac:dyDescent="0.25">
      <c r="A286" s="120"/>
      <c r="J286" s="41"/>
    </row>
    <row r="287" spans="1:10" x14ac:dyDescent="0.25">
      <c r="A287" s="120"/>
      <c r="B287" s="129"/>
    </row>
    <row r="288" spans="1:10" x14ac:dyDescent="0.25">
      <c r="A288" s="120"/>
      <c r="J288" s="41"/>
    </row>
    <row r="289" spans="1:11" x14ac:dyDescent="0.25">
      <c r="A289" s="120"/>
      <c r="B289" s="129"/>
    </row>
    <row r="290" spans="1:11" x14ac:dyDescent="0.25">
      <c r="A290" s="120"/>
      <c r="J290" s="41"/>
    </row>
    <row r="291" spans="1:11" x14ac:dyDescent="0.25">
      <c r="A291" s="120"/>
      <c r="B291" s="129"/>
    </row>
    <row r="292" spans="1:11" x14ac:dyDescent="0.25">
      <c r="A292" s="120"/>
      <c r="J292" s="41"/>
    </row>
    <row r="293" spans="1:11" x14ac:dyDescent="0.25">
      <c r="A293" s="120"/>
      <c r="E293" s="43"/>
      <c r="F293" s="37"/>
      <c r="G293" s="44"/>
      <c r="H293" s="37"/>
      <c r="I293" s="44"/>
      <c r="J293" s="44"/>
      <c r="K293" s="44"/>
    </row>
    <row r="294" spans="1:11" x14ac:dyDescent="0.25">
      <c r="A294" s="120"/>
      <c r="E294" s="43"/>
      <c r="F294" s="37"/>
      <c r="G294" s="44"/>
      <c r="H294" s="37"/>
      <c r="I294" s="44"/>
      <c r="J294" s="44"/>
      <c r="K294" s="44"/>
    </row>
    <row r="296" spans="1:11" x14ac:dyDescent="0.25">
      <c r="G296" s="113"/>
      <c r="I296" s="113"/>
      <c r="J296" s="113"/>
      <c r="K296" s="113"/>
    </row>
    <row r="299" spans="1:11" x14ac:dyDescent="0.25">
      <c r="G299" s="114"/>
      <c r="I299" s="114"/>
      <c r="J299" s="114"/>
      <c r="K299" s="114"/>
    </row>
    <row r="300" spans="1:11" x14ac:dyDescent="0.25">
      <c r="G300" s="115"/>
      <c r="I300" s="115"/>
      <c r="J300" s="115"/>
      <c r="K300" s="115"/>
    </row>
  </sheetData>
  <phoneticPr fontId="6" type="noConversion"/>
  <printOptions horizontalCentered="1"/>
  <pageMargins left="0.7" right="0.7" top="0.75" bottom="0.75" header="0.3" footer="0.3"/>
  <pageSetup scale="55" fitToHeight="6" orientation="landscape" r:id="rId1"/>
  <headerFooter>
    <oddHeader>&amp;R&amp;"Arial,Bold"&amp;10Exhibit JW-9
 Page &amp;P of &amp;N</oddHeader>
  </headerFooter>
  <rowBreaks count="6" manualBreakCount="6">
    <brk id="56" max="10" man="1"/>
    <brk id="96" max="10" man="1"/>
    <brk id="121" max="10" man="1"/>
    <brk id="174" max="10" man="1"/>
    <brk id="213" max="10" man="1"/>
    <brk id="269" max="10" man="1"/>
  </rowBreaks>
  <ignoredErrors>
    <ignoredError sqref="I10 J16 I151 J67 J139 G21" formula="1"/>
    <ignoredError sqref="G1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9F6A-0C00-45DF-9E95-0B4131F0E938}">
  <sheetPr>
    <tabColor rgb="FFFFB3B3"/>
  </sheetPr>
  <dimension ref="A1:H104"/>
  <sheetViews>
    <sheetView view="pageBreakPreview" zoomScaleNormal="100" zoomScaleSheetLayoutView="100" workbookViewId="0">
      <selection activeCell="G9" sqref="G9"/>
    </sheetView>
  </sheetViews>
  <sheetFormatPr defaultRowHeight="13.2" x14ac:dyDescent="0.25"/>
  <cols>
    <col min="1" max="1" width="2.33203125" style="2" customWidth="1"/>
    <col min="2" max="2" width="2.44140625" style="2" customWidth="1"/>
    <col min="3" max="3" width="9.88671875" style="2" customWidth="1"/>
    <col min="4" max="4" width="30" style="10" customWidth="1"/>
    <col min="5" max="5" width="32.88671875" style="2" customWidth="1"/>
    <col min="6" max="6" width="14" style="2" customWidth="1"/>
    <col min="7" max="7" width="13.6640625" style="2" customWidth="1"/>
    <col min="8" max="8" width="11.88671875" style="2" customWidth="1"/>
    <col min="9" max="16384" width="8.88671875" style="2"/>
  </cols>
  <sheetData>
    <row r="1" spans="1:8" x14ac:dyDescent="0.25">
      <c r="A1" s="1" t="str">
        <f>Summary!A1</f>
        <v>Fleming-Mason RECC</v>
      </c>
    </row>
    <row r="2" spans="1:8" x14ac:dyDescent="0.25">
      <c r="A2" s="1" t="s">
        <v>81</v>
      </c>
    </row>
    <row r="4" spans="1:8" x14ac:dyDescent="0.25">
      <c r="C4" s="17" t="s">
        <v>57</v>
      </c>
      <c r="D4" s="16"/>
      <c r="E4" s="16" t="s">
        <v>1</v>
      </c>
      <c r="F4" s="17" t="s">
        <v>56</v>
      </c>
      <c r="G4" s="17" t="s">
        <v>58</v>
      </c>
      <c r="H4" s="17" t="s">
        <v>97</v>
      </c>
    </row>
    <row r="5" spans="1:8" x14ac:dyDescent="0.25">
      <c r="C5" s="36" t="str">
        <f>'Billing Detail'!C7</f>
        <v>RSP</v>
      </c>
      <c r="D5" s="35" t="str">
        <f>'Billing Detail'!B7</f>
        <v>Residential &amp; Small Power (1)</v>
      </c>
    </row>
    <row r="6" spans="1:8" x14ac:dyDescent="0.25">
      <c r="C6" s="36"/>
      <c r="D6" s="35"/>
      <c r="E6" s="2" t="str">
        <f>'Billing Detail'!D8</f>
        <v>Customer Charge</v>
      </c>
      <c r="F6" s="18">
        <f>'Billing Detail'!F8</f>
        <v>15.57</v>
      </c>
      <c r="G6" s="18">
        <f>'Billing Detail'!H8</f>
        <v>19.5</v>
      </c>
      <c r="H6" s="18">
        <f>G6-F6</f>
        <v>3.9299999999999997</v>
      </c>
    </row>
    <row r="7" spans="1:8" x14ac:dyDescent="0.25">
      <c r="C7" s="36"/>
      <c r="D7" s="35"/>
      <c r="E7" s="2" t="str">
        <f>'Billing Detail'!D9</f>
        <v>Energy Charge per kWh</v>
      </c>
      <c r="F7" s="19">
        <f>'Billing Detail'!F9</f>
        <v>8.3299999999999999E-2</v>
      </c>
      <c r="G7" s="19">
        <f>'Billing Detail'!H9</f>
        <v>8.5750000000000007E-2</v>
      </c>
      <c r="H7" s="19">
        <f t="shared" ref="H7:H50" si="0">G7-F7</f>
        <v>2.4500000000000077E-3</v>
      </c>
    </row>
    <row r="8" spans="1:8" x14ac:dyDescent="0.25">
      <c r="C8" s="36" t="str">
        <f>'Billing Detail'!C19</f>
        <v>RSP-ETS</v>
      </c>
      <c r="D8" s="35" t="str">
        <f>'Billing Detail'!B19</f>
        <v>Residential &amp; Small Power ETS (11)</v>
      </c>
      <c r="F8" s="18"/>
      <c r="G8" s="18"/>
      <c r="H8" s="18"/>
    </row>
    <row r="9" spans="1:8" x14ac:dyDescent="0.25">
      <c r="C9" s="36"/>
      <c r="D9" s="35"/>
      <c r="E9" s="2" t="str">
        <f>'Billing Detail'!D22</f>
        <v>Energy Charge - Off Peak per kWh</v>
      </c>
      <c r="F9" s="19">
        <f>'Billing Detail'!F22</f>
        <v>5.0790000000000002E-2</v>
      </c>
      <c r="G9" s="19">
        <f>'Billing Detail'!H22</f>
        <v>5.0790000000000002E-2</v>
      </c>
      <c r="H9" s="19">
        <f>G9-F9</f>
        <v>0</v>
      </c>
    </row>
    <row r="10" spans="1:8" x14ac:dyDescent="0.25">
      <c r="C10" s="36" t="str">
        <f>'Billing Detail'!C32</f>
        <v>RSP-PPM</v>
      </c>
      <c r="D10" s="35" t="s">
        <v>79</v>
      </c>
    </row>
    <row r="11" spans="1:8" x14ac:dyDescent="0.25">
      <c r="C11" s="36"/>
      <c r="D11" s="35"/>
      <c r="E11" s="2" t="str">
        <f>E6</f>
        <v>Customer Charge</v>
      </c>
      <c r="F11" s="18">
        <f>'Billing Detail'!F33</f>
        <v>15.57</v>
      </c>
      <c r="G11" s="18">
        <f>'Billing Detail'!H33</f>
        <v>19.5</v>
      </c>
      <c r="H11" s="18">
        <f t="shared" si="0"/>
        <v>3.9299999999999997</v>
      </c>
    </row>
    <row r="12" spans="1:8" x14ac:dyDescent="0.25">
      <c r="C12" s="36"/>
      <c r="D12" s="35"/>
      <c r="E12" s="2" t="str">
        <f>E7</f>
        <v>Energy Charge per kWh</v>
      </c>
      <c r="F12" s="19">
        <f>'Billing Detail'!F35</f>
        <v>8.3299999999999999E-2</v>
      </c>
      <c r="G12" s="19">
        <f>'Billing Detail'!H35</f>
        <v>8.5750000000000007E-2</v>
      </c>
      <c r="H12" s="19">
        <f t="shared" si="0"/>
        <v>2.4500000000000077E-3</v>
      </c>
    </row>
    <row r="13" spans="1:8" x14ac:dyDescent="0.25">
      <c r="C13" s="36"/>
      <c r="D13" s="35"/>
      <c r="E13" s="2" t="str">
        <f>'Billing Detail'!D34</f>
        <v>Prepay Service Fee</v>
      </c>
      <c r="F13" s="18">
        <f>'Billing Detail'!F34</f>
        <v>5</v>
      </c>
      <c r="G13" s="18">
        <f>'Billing Detail'!H34</f>
        <v>5</v>
      </c>
      <c r="H13" s="18">
        <f t="shared" si="0"/>
        <v>0</v>
      </c>
    </row>
    <row r="14" spans="1:8" x14ac:dyDescent="0.25">
      <c r="C14" s="36" t="str">
        <f>'Billing Detail'!C57</f>
        <v>RSP-TOD</v>
      </c>
      <c r="D14" s="35" t="str">
        <f>'Billing Detail'!B57</f>
        <v>Time of Day (110)</v>
      </c>
      <c r="F14" s="19"/>
      <c r="G14" s="19"/>
      <c r="H14" s="19"/>
    </row>
    <row r="15" spans="1:8" x14ac:dyDescent="0.25">
      <c r="C15" s="36"/>
      <c r="D15" s="35"/>
      <c r="E15" s="2" t="str">
        <f>'Billing Detail'!D58</f>
        <v>Customer Charge</v>
      </c>
      <c r="F15" s="18">
        <f>'Billing Detail'!F58</f>
        <v>18.97</v>
      </c>
      <c r="G15" s="18">
        <f>'Billing Detail'!H58</f>
        <v>18.97</v>
      </c>
      <c r="H15" s="18">
        <f t="shared" si="0"/>
        <v>0</v>
      </c>
    </row>
    <row r="16" spans="1:8" x14ac:dyDescent="0.25">
      <c r="C16" s="36"/>
      <c r="D16" s="35"/>
      <c r="E16" s="2" t="str">
        <f>'Billing Detail'!D59</f>
        <v>Energy Charge On Peak per kWh</v>
      </c>
      <c r="F16" s="19">
        <f>'Billing Detail'!F59</f>
        <v>0.12514</v>
      </c>
      <c r="G16" s="19">
        <f>'Billing Detail'!H59</f>
        <v>0.12514</v>
      </c>
      <c r="H16" s="19">
        <f t="shared" si="0"/>
        <v>0</v>
      </c>
    </row>
    <row r="17" spans="3:8" x14ac:dyDescent="0.25">
      <c r="C17" s="36"/>
      <c r="D17" s="35"/>
      <c r="E17" s="2" t="str">
        <f>'Billing Detail'!D60</f>
        <v>Energy Charge Off Peak per kWh</v>
      </c>
      <c r="F17" s="19">
        <f>'Billing Detail'!F60</f>
        <v>5.7790000000000001E-2</v>
      </c>
      <c r="G17" s="19">
        <f>'Billing Detail'!H60</f>
        <v>5.7790000000000001E-2</v>
      </c>
      <c r="H17" s="19">
        <f t="shared" si="0"/>
        <v>0</v>
      </c>
    </row>
    <row r="18" spans="3:8" x14ac:dyDescent="0.25">
      <c r="C18" s="36" t="str">
        <f>'Billing Detail'!C70</f>
        <v>RSP-IB</v>
      </c>
      <c r="D18" s="35" t="str">
        <f>'Billing Detail'!B70</f>
        <v>Inclining Block Rate (8)</v>
      </c>
      <c r="F18" s="18"/>
      <c r="G18" s="18"/>
      <c r="H18" s="18"/>
    </row>
    <row r="19" spans="3:8" x14ac:dyDescent="0.25">
      <c r="C19" s="36"/>
      <c r="D19" s="35"/>
      <c r="E19" s="2" t="str">
        <f>'Billing Detail'!D71</f>
        <v>Customer Charge</v>
      </c>
      <c r="F19" s="18">
        <f>'Billing Detail'!F71</f>
        <v>15.57</v>
      </c>
      <c r="G19" s="18">
        <f>'Billing Detail'!H71</f>
        <v>15.57</v>
      </c>
      <c r="H19" s="18">
        <f t="shared" si="0"/>
        <v>0</v>
      </c>
    </row>
    <row r="20" spans="3:8" x14ac:dyDescent="0.25">
      <c r="C20" s="36"/>
      <c r="D20" s="35"/>
      <c r="E20" s="2" t="str">
        <f>'Billing Detail'!D72</f>
        <v>Energy Charge 0-300 per kWh</v>
      </c>
      <c r="F20" s="19">
        <f>'Billing Detail'!F72</f>
        <v>6.5129999999999993E-2</v>
      </c>
      <c r="G20" s="19">
        <f>'Billing Detail'!H72</f>
        <v>6.5129999999999993E-2</v>
      </c>
      <c r="H20" s="19">
        <f t="shared" si="0"/>
        <v>0</v>
      </c>
    </row>
    <row r="21" spans="3:8" x14ac:dyDescent="0.25">
      <c r="C21" s="36"/>
      <c r="D21" s="35"/>
      <c r="E21" s="2" t="str">
        <f>'Billing Detail'!D73</f>
        <v>Energy Charge 301-500 per kWh</v>
      </c>
      <c r="F21" s="19">
        <f>'Billing Detail'!F73</f>
        <v>7.5509999999999994E-2</v>
      </c>
      <c r="G21" s="19">
        <f>'Billing Detail'!H73</f>
        <v>7.5509999999999994E-2</v>
      </c>
      <c r="H21" s="19">
        <f t="shared" si="0"/>
        <v>0</v>
      </c>
    </row>
    <row r="22" spans="3:8" x14ac:dyDescent="0.25">
      <c r="C22" s="36"/>
      <c r="D22" s="35"/>
      <c r="E22" s="2" t="str">
        <f>'Billing Detail'!D74</f>
        <v>Energy Charge Over 500 per kWh</v>
      </c>
      <c r="F22" s="19">
        <f>'Billing Detail'!F74</f>
        <v>0.10664999999999999</v>
      </c>
      <c r="G22" s="19">
        <f>'Billing Detail'!H74</f>
        <v>0.10664999999999999</v>
      </c>
      <c r="H22" s="19">
        <f t="shared" si="0"/>
        <v>0</v>
      </c>
    </row>
    <row r="23" spans="3:8" x14ac:dyDescent="0.25">
      <c r="C23" s="36" t="str">
        <f>'Billing Detail'!C84</f>
        <v>SGS</v>
      </c>
      <c r="D23" s="35" t="str">
        <f>'Billing Detail'!B84</f>
        <v>Small General Service (2)</v>
      </c>
      <c r="F23" s="18"/>
      <c r="G23" s="18"/>
      <c r="H23" s="18"/>
    </row>
    <row r="24" spans="3:8" x14ac:dyDescent="0.25">
      <c r="C24" s="36"/>
      <c r="D24" s="35"/>
      <c r="E24" s="2" t="str">
        <f>'Billing Detail'!D85</f>
        <v>Customer Charge</v>
      </c>
      <c r="F24" s="18">
        <f>'Billing Detail'!F85</f>
        <v>51.1</v>
      </c>
      <c r="G24" s="18">
        <f>'Billing Detail'!H85</f>
        <v>51.1</v>
      </c>
      <c r="H24" s="18">
        <f t="shared" si="0"/>
        <v>0</v>
      </c>
    </row>
    <row r="25" spans="3:8" x14ac:dyDescent="0.25">
      <c r="C25" s="36"/>
      <c r="D25" s="35"/>
      <c r="E25" s="2" t="str">
        <f>'Billing Detail'!D86</f>
        <v>Energy Charge per kWh</v>
      </c>
      <c r="F25" s="19">
        <f>'Billing Detail'!F86</f>
        <v>6.3420000000000004E-2</v>
      </c>
      <c r="G25" s="19">
        <f>'Billing Detail'!H86</f>
        <v>6.3420000000000004E-2</v>
      </c>
      <c r="H25" s="19">
        <f t="shared" si="0"/>
        <v>0</v>
      </c>
    </row>
    <row r="26" spans="3:8" x14ac:dyDescent="0.25">
      <c r="C26" s="36"/>
      <c r="D26" s="35"/>
      <c r="E26" s="2" t="str">
        <f>'Billing Detail'!D87</f>
        <v>Demand Charge per kW</v>
      </c>
      <c r="F26" s="18">
        <f>'Billing Detail'!F87</f>
        <v>7.69</v>
      </c>
      <c r="G26" s="18">
        <f>'Billing Detail'!H87</f>
        <v>7.69</v>
      </c>
      <c r="H26" s="18">
        <f t="shared" si="0"/>
        <v>0</v>
      </c>
    </row>
    <row r="27" spans="3:8" x14ac:dyDescent="0.25">
      <c r="C27" s="36" t="str">
        <f>'Billing Detail'!C97</f>
        <v>LGS</v>
      </c>
      <c r="D27" s="35" t="str">
        <f>'Billing Detail'!B97</f>
        <v>Large General Service (3)</v>
      </c>
      <c r="F27" s="18"/>
      <c r="G27" s="18"/>
      <c r="H27" s="18"/>
    </row>
    <row r="28" spans="3:8" x14ac:dyDescent="0.25">
      <c r="C28" s="36"/>
      <c r="D28" s="35"/>
      <c r="E28" s="2" t="str">
        <f>'Billing Detail'!D98</f>
        <v>Customer Charge</v>
      </c>
      <c r="F28" s="18">
        <f>'Billing Detail'!F98</f>
        <v>68</v>
      </c>
      <c r="G28" s="18">
        <f>'Billing Detail'!H98</f>
        <v>68</v>
      </c>
      <c r="H28" s="18">
        <f t="shared" si="0"/>
        <v>0</v>
      </c>
    </row>
    <row r="29" spans="3:8" x14ac:dyDescent="0.25">
      <c r="C29" s="36"/>
      <c r="D29" s="35"/>
      <c r="E29" s="2" t="str">
        <f>'Billing Detail'!D99</f>
        <v>Energy Charge per kWh</v>
      </c>
      <c r="F29" s="19">
        <f>'Billing Detail'!F99</f>
        <v>5.1639999999999998E-2</v>
      </c>
      <c r="G29" s="19">
        <f>'Billing Detail'!H99</f>
        <v>5.1639999999999998E-2</v>
      </c>
      <c r="H29" s="19">
        <f t="shared" si="0"/>
        <v>0</v>
      </c>
    </row>
    <row r="30" spans="3:8" x14ac:dyDescent="0.25">
      <c r="C30" s="36"/>
      <c r="D30" s="35"/>
      <c r="E30" s="2" t="str">
        <f>'Billing Detail'!D100</f>
        <v>Demand Charge per kW</v>
      </c>
      <c r="F30" s="18">
        <f>'Billing Detail'!F100</f>
        <v>7.19</v>
      </c>
      <c r="G30" s="18">
        <f>'Billing Detail'!H100</f>
        <v>7.19</v>
      </c>
      <c r="H30" s="18">
        <f t="shared" si="0"/>
        <v>0</v>
      </c>
    </row>
    <row r="31" spans="3:8" x14ac:dyDescent="0.25">
      <c r="C31" s="36" t="str">
        <f>'Billing Detail'!C110</f>
        <v>AES</v>
      </c>
      <c r="D31" s="35" t="str">
        <f>'Billing Detail'!B110</f>
        <v>All Electric School (4)</v>
      </c>
      <c r="F31" s="18"/>
      <c r="G31" s="18"/>
      <c r="H31" s="18"/>
    </row>
    <row r="32" spans="3:8" x14ac:dyDescent="0.25">
      <c r="C32" s="36"/>
      <c r="D32" s="35"/>
      <c r="E32" s="2" t="str">
        <f>'Billing Detail'!D111</f>
        <v>Customer Charge</v>
      </c>
      <c r="F32" s="18">
        <f>'Billing Detail'!F111</f>
        <v>67.34</v>
      </c>
      <c r="G32" s="18">
        <f>'Billing Detail'!H111</f>
        <v>67.34</v>
      </c>
      <c r="H32" s="18">
        <f t="shared" si="0"/>
        <v>0</v>
      </c>
    </row>
    <row r="33" spans="3:8" x14ac:dyDescent="0.25">
      <c r="C33" s="36"/>
      <c r="D33" s="35"/>
      <c r="E33" s="2" t="str">
        <f>'Billing Detail'!D112</f>
        <v>Energy Charge per kWh</v>
      </c>
      <c r="F33" s="19">
        <f>'Billing Detail'!F112</f>
        <v>8.1790000000000002E-2</v>
      </c>
      <c r="G33" s="19">
        <f>'Billing Detail'!H112</f>
        <v>8.1790000000000002E-2</v>
      </c>
      <c r="H33" s="19">
        <f t="shared" si="0"/>
        <v>0</v>
      </c>
    </row>
    <row r="34" spans="3:8" x14ac:dyDescent="0.25">
      <c r="C34" s="36" t="str">
        <f>'Billing Detail'!C122</f>
        <v>OLS</v>
      </c>
      <c r="D34" s="35" t="str">
        <f>'Billing Detail'!B122</f>
        <v>Security Lights (20)</v>
      </c>
      <c r="F34" s="18"/>
      <c r="G34" s="18"/>
      <c r="H34" s="18"/>
    </row>
    <row r="35" spans="3:8" x14ac:dyDescent="0.25">
      <c r="D35" s="14" t="str">
        <f>'Billing Detail'!B123</f>
        <v>MV</v>
      </c>
      <c r="E35" s="2" t="str">
        <f>'Billing Detail'!C123</f>
        <v>7000 Lumens Standard Service</v>
      </c>
      <c r="F35" s="18">
        <f>'Billing Detail'!F123</f>
        <v>8.98</v>
      </c>
      <c r="G35" s="18">
        <f>'Billing Detail'!H123</f>
        <v>8.98</v>
      </c>
      <c r="H35" s="18">
        <f t="shared" si="0"/>
        <v>0</v>
      </c>
    </row>
    <row r="36" spans="3:8" x14ac:dyDescent="0.25">
      <c r="D36" s="14" t="str">
        <f>'Billing Detail'!B124</f>
        <v>MV</v>
      </c>
      <c r="E36" s="2" t="str">
        <f>'Billing Detail'!C124</f>
        <v>7000 Lumens Ornatmental Service</v>
      </c>
      <c r="F36" s="18">
        <f>'Billing Detail'!F124</f>
        <v>20.48</v>
      </c>
      <c r="G36" s="18">
        <f>'Billing Detail'!H124</f>
        <v>20.48</v>
      </c>
      <c r="H36" s="18">
        <f t="shared" si="0"/>
        <v>0</v>
      </c>
    </row>
    <row r="37" spans="3:8" x14ac:dyDescent="0.25">
      <c r="D37" s="14" t="str">
        <f>'Billing Detail'!B125</f>
        <v>MV</v>
      </c>
      <c r="E37" s="2" t="str">
        <f>'Billing Detail'!C125</f>
        <v>20,000 Lumens Standard Service</v>
      </c>
      <c r="F37" s="18">
        <f>'Billing Detail'!F125</f>
        <v>17.260000000000002</v>
      </c>
      <c r="G37" s="18">
        <f>'Billing Detail'!H125</f>
        <v>17.260000000000002</v>
      </c>
      <c r="H37" s="18">
        <f t="shared" si="0"/>
        <v>0</v>
      </c>
    </row>
    <row r="38" spans="3:8" x14ac:dyDescent="0.25">
      <c r="D38" s="14" t="str">
        <f>'Billing Detail'!B126</f>
        <v>MV</v>
      </c>
      <c r="E38" s="2" t="str">
        <f>'Billing Detail'!C126</f>
        <v>20,000 Lumens Ornamental Service</v>
      </c>
      <c r="F38" s="18">
        <f>'Billing Detail'!F126</f>
        <v>27.24</v>
      </c>
      <c r="G38" s="18">
        <f>'Billing Detail'!H126</f>
        <v>27.24</v>
      </c>
      <c r="H38" s="18">
        <f t="shared" si="0"/>
        <v>0</v>
      </c>
    </row>
    <row r="39" spans="3:8" x14ac:dyDescent="0.25">
      <c r="D39" s="14" t="str">
        <f>'Billing Detail'!B127</f>
        <v>HPS</v>
      </c>
      <c r="E39" s="2" t="str">
        <f>'Billing Detail'!C127</f>
        <v>9500 Lumens Standard</v>
      </c>
      <c r="F39" s="18">
        <f>'Billing Detail'!F127</f>
        <v>8.7799999999999994</v>
      </c>
      <c r="G39" s="18">
        <f>'Billing Detail'!H127</f>
        <v>8.7799999999999994</v>
      </c>
      <c r="H39" s="18">
        <f t="shared" si="0"/>
        <v>0</v>
      </c>
    </row>
    <row r="40" spans="3:8" x14ac:dyDescent="0.25">
      <c r="D40" s="14" t="str">
        <f>'Billing Detail'!B128</f>
        <v>HPS</v>
      </c>
      <c r="E40" s="2" t="str">
        <f>'Billing Detail'!C128</f>
        <v>9500 Lumens Ornamental</v>
      </c>
      <c r="F40" s="18">
        <f>'Billing Detail'!F128</f>
        <v>18.73</v>
      </c>
      <c r="G40" s="18">
        <f>'Billing Detail'!H128</f>
        <v>18.73</v>
      </c>
      <c r="H40" s="18">
        <f t="shared" si="0"/>
        <v>0</v>
      </c>
    </row>
    <row r="41" spans="3:8" x14ac:dyDescent="0.25">
      <c r="D41" s="14" t="str">
        <f>'Billing Detail'!B129</f>
        <v>HPS</v>
      </c>
      <c r="E41" s="2" t="str">
        <f>'Billing Detail'!C129</f>
        <v>9500 Lumens Directional</v>
      </c>
      <c r="F41" s="18">
        <f>'Billing Detail'!F129</f>
        <v>8.8699999999999992</v>
      </c>
      <c r="G41" s="18">
        <f>'Billing Detail'!H129</f>
        <v>8.8699999999999992</v>
      </c>
      <c r="H41" s="18">
        <f t="shared" si="0"/>
        <v>0</v>
      </c>
    </row>
    <row r="42" spans="3:8" x14ac:dyDescent="0.25">
      <c r="D42" s="14" t="str">
        <f>'Billing Detail'!B130</f>
        <v>HPS</v>
      </c>
      <c r="E42" s="2" t="str">
        <f>'Billing Detail'!C130</f>
        <v>22,000 Lumens Standard</v>
      </c>
      <c r="F42" s="18">
        <f>'Billing Detail'!F130</f>
        <v>12.46</v>
      </c>
      <c r="G42" s="18">
        <f>'Billing Detail'!H130</f>
        <v>12.46</v>
      </c>
      <c r="H42" s="18">
        <f t="shared" si="0"/>
        <v>0</v>
      </c>
    </row>
    <row r="43" spans="3:8" x14ac:dyDescent="0.25">
      <c r="D43" s="14" t="str">
        <f>'Billing Detail'!B131</f>
        <v>HPS</v>
      </c>
      <c r="E43" s="2" t="str">
        <f>'Billing Detail'!C131</f>
        <v>22,000 Lumens Ornamental</v>
      </c>
      <c r="F43" s="18">
        <f>'Billing Detail'!F131</f>
        <v>22.41</v>
      </c>
      <c r="G43" s="18">
        <f>'Billing Detail'!H131</f>
        <v>22.41</v>
      </c>
      <c r="H43" s="18">
        <f t="shared" si="0"/>
        <v>0</v>
      </c>
    </row>
    <row r="44" spans="3:8" x14ac:dyDescent="0.25">
      <c r="D44" s="14" t="str">
        <f>'Billing Detail'!B132</f>
        <v>HPS</v>
      </c>
      <c r="E44" s="2" t="str">
        <f>'Billing Detail'!C132</f>
        <v>22,000 Lumens Directional</v>
      </c>
      <c r="F44" s="18">
        <f>'Billing Detail'!F132</f>
        <v>12.22</v>
      </c>
      <c r="G44" s="18">
        <f>'Billing Detail'!H132</f>
        <v>12.22</v>
      </c>
      <c r="H44" s="18">
        <f t="shared" si="0"/>
        <v>0</v>
      </c>
    </row>
    <row r="45" spans="3:8" x14ac:dyDescent="0.25">
      <c r="D45" s="14" t="str">
        <f>'Billing Detail'!B133</f>
        <v>HPS</v>
      </c>
      <c r="E45" s="2" t="str">
        <f>'Billing Detail'!C133</f>
        <v>50,000 Lumens Standard</v>
      </c>
      <c r="F45" s="18">
        <f>'Billing Detail'!F133</f>
        <v>18.7</v>
      </c>
      <c r="G45" s="18">
        <f>'Billing Detail'!H133</f>
        <v>18.7</v>
      </c>
      <c r="H45" s="18">
        <f t="shared" si="0"/>
        <v>0</v>
      </c>
    </row>
    <row r="46" spans="3:8" x14ac:dyDescent="0.25">
      <c r="D46" s="14" t="str">
        <f>'Billing Detail'!B134</f>
        <v>HPS</v>
      </c>
      <c r="E46" s="2" t="str">
        <f>'Billing Detail'!C134</f>
        <v>50,000 Lumens Ornamental</v>
      </c>
      <c r="F46" s="18">
        <f>'Billing Detail'!F134</f>
        <v>28.14</v>
      </c>
      <c r="G46" s="18">
        <f>'Billing Detail'!H134</f>
        <v>28.14</v>
      </c>
      <c r="H46" s="18">
        <f t="shared" si="0"/>
        <v>0</v>
      </c>
    </row>
    <row r="47" spans="3:8" x14ac:dyDescent="0.25">
      <c r="D47" s="14" t="str">
        <f>'Billing Detail'!B135</f>
        <v>HPS</v>
      </c>
      <c r="E47" s="2" t="str">
        <f>'Billing Detail'!C135</f>
        <v>50,000 Lumens Directional</v>
      </c>
      <c r="F47" s="18">
        <f>'Billing Detail'!F135</f>
        <v>18.32</v>
      </c>
      <c r="G47" s="18">
        <f>'Billing Detail'!H135</f>
        <v>18.32</v>
      </c>
      <c r="H47" s="18">
        <f t="shared" si="0"/>
        <v>0</v>
      </c>
    </row>
    <row r="48" spans="3:8" x14ac:dyDescent="0.25">
      <c r="D48" s="14" t="str">
        <f>'Billing Detail'!B136</f>
        <v>LED</v>
      </c>
      <c r="E48" s="2" t="str">
        <f>'Billing Detail'!C136</f>
        <v>6100 Lumens Standard</v>
      </c>
      <c r="F48" s="18">
        <f>'Billing Detail'!F136</f>
        <v>9.1300000000000008</v>
      </c>
      <c r="G48" s="18">
        <f>'Billing Detail'!H136</f>
        <v>9.1300000000000008</v>
      </c>
      <c r="H48" s="18">
        <f t="shared" si="0"/>
        <v>0</v>
      </c>
    </row>
    <row r="49" spans="3:8" x14ac:dyDescent="0.25">
      <c r="D49" s="14" t="str">
        <f>'Billing Detail'!B137</f>
        <v>LED</v>
      </c>
      <c r="E49" s="2" t="str">
        <f>'Billing Detail'!C137</f>
        <v>9500 Lumens Standard</v>
      </c>
      <c r="F49" s="18">
        <f>'Billing Detail'!F137</f>
        <v>12.52</v>
      </c>
      <c r="G49" s="18">
        <f>'Billing Detail'!H137</f>
        <v>12.52</v>
      </c>
      <c r="H49" s="18">
        <f t="shared" si="0"/>
        <v>0</v>
      </c>
    </row>
    <row r="50" spans="3:8" x14ac:dyDescent="0.25">
      <c r="D50" s="14" t="str">
        <f>'Billing Detail'!B138</f>
        <v>LED</v>
      </c>
      <c r="E50" s="2" t="str">
        <f>'Billing Detail'!C138</f>
        <v>23,000 Lumens Directional Floodlight</v>
      </c>
      <c r="F50" s="18">
        <f>'Billing Detail'!F138</f>
        <v>24.9</v>
      </c>
      <c r="G50" s="18">
        <f>'Billing Detail'!H138</f>
        <v>24.9</v>
      </c>
      <c r="H50" s="18">
        <f t="shared" si="0"/>
        <v>0</v>
      </c>
    </row>
    <row r="51" spans="3:8" x14ac:dyDescent="0.25">
      <c r="D51" s="14" t="s">
        <v>46</v>
      </c>
      <c r="E51" s="2" t="s">
        <v>110</v>
      </c>
      <c r="F51" s="89" t="s">
        <v>75</v>
      </c>
      <c r="G51" s="18">
        <v>14.67</v>
      </c>
      <c r="H51" s="18"/>
    </row>
    <row r="52" spans="3:8" x14ac:dyDescent="0.25">
      <c r="C52" s="36"/>
      <c r="D52" s="35"/>
      <c r="F52" s="19"/>
      <c r="G52" s="19"/>
      <c r="H52" s="19"/>
    </row>
    <row r="53" spans="3:8" x14ac:dyDescent="0.25">
      <c r="C53" s="3" t="s">
        <v>108</v>
      </c>
      <c r="D53" s="35"/>
      <c r="F53" s="15"/>
      <c r="G53" s="15"/>
      <c r="H53" s="15"/>
    </row>
    <row r="54" spans="3:8" x14ac:dyDescent="0.25">
      <c r="C54" s="36"/>
      <c r="D54" s="35"/>
      <c r="F54" s="15"/>
      <c r="G54" s="15"/>
    </row>
    <row r="55" spans="3:8" ht="43.2" customHeight="1" x14ac:dyDescent="0.25">
      <c r="C55" s="130" t="s">
        <v>69</v>
      </c>
      <c r="D55" s="130"/>
      <c r="E55" s="130"/>
      <c r="F55" s="130"/>
      <c r="G55" s="130"/>
    </row>
    <row r="56" spans="3:8" x14ac:dyDescent="0.25">
      <c r="C56" s="3"/>
      <c r="D56" s="2"/>
      <c r="F56" s="131" t="s">
        <v>70</v>
      </c>
      <c r="G56" s="131"/>
    </row>
    <row r="57" spans="3:8" x14ac:dyDescent="0.25">
      <c r="C57" s="20" t="s">
        <v>57</v>
      </c>
      <c r="D57" s="21"/>
      <c r="E57" s="22"/>
      <c r="F57" s="23" t="s">
        <v>71</v>
      </c>
      <c r="G57" s="23" t="s">
        <v>72</v>
      </c>
    </row>
    <row r="58" spans="3:8" x14ac:dyDescent="0.25">
      <c r="C58" s="24" t="str">
        <f>Summary!C6</f>
        <v>RSP</v>
      </c>
      <c r="D58" s="2" t="str">
        <f>Summary!B6</f>
        <v>Residential &amp; Small Power (1)</v>
      </c>
      <c r="F58" s="25">
        <f>Summary!F6</f>
        <v>1888733.72</v>
      </c>
      <c r="G58" s="26">
        <f>Summary!G6</f>
        <v>5.0901004590112424E-2</v>
      </c>
    </row>
    <row r="59" spans="3:8" x14ac:dyDescent="0.25">
      <c r="C59" s="24" t="str">
        <f>Summary!C7</f>
        <v>RSP-ETS</v>
      </c>
      <c r="D59" s="2" t="str">
        <f>Summary!B7</f>
        <v>Residential &amp; Small Power ETS (11)</v>
      </c>
      <c r="F59" s="25">
        <f>Summary!F7</f>
        <v>3882.71</v>
      </c>
      <c r="G59" s="26">
        <f>Summary!G7</f>
        <v>4.1124205512319788E-2</v>
      </c>
    </row>
    <row r="60" spans="3:8" x14ac:dyDescent="0.25">
      <c r="C60" s="24" t="str">
        <f>Summary!C8</f>
        <v>RSP-PPM</v>
      </c>
      <c r="D60" s="2" t="str">
        <f>Summary!B8</f>
        <v>Prepay (80)</v>
      </c>
      <c r="F60" s="25">
        <f>Summary!F8</f>
        <v>44038.17</v>
      </c>
      <c r="G60" s="26">
        <f>Summary!G8</f>
        <v>4.5505986598755675E-2</v>
      </c>
    </row>
    <row r="61" spans="3:8" x14ac:dyDescent="0.25">
      <c r="C61" s="24" t="str">
        <f>Summary!C9</f>
        <v>NM</v>
      </c>
      <c r="D61" s="2" t="str">
        <f>Summary!B9</f>
        <v>Net Metering (100)</v>
      </c>
      <c r="F61" s="25">
        <f>Summary!F9</f>
        <v>4832.58</v>
      </c>
      <c r="G61" s="26">
        <f>Summary!G9</f>
        <v>5.3177182547736776E-2</v>
      </c>
    </row>
    <row r="62" spans="3:8" x14ac:dyDescent="0.25">
      <c r="C62" s="24" t="str">
        <f>Summary!C10</f>
        <v>RSP-TOD</v>
      </c>
      <c r="D62" s="2" t="str">
        <f>Summary!B10</f>
        <v>Time of Day (110)</v>
      </c>
      <c r="F62" s="25">
        <f>Summary!F10</f>
        <v>0</v>
      </c>
      <c r="G62" s="26">
        <f>Summary!G10</f>
        <v>0</v>
      </c>
    </row>
    <row r="63" spans="3:8" x14ac:dyDescent="0.25">
      <c r="C63" s="24" t="str">
        <f>Summary!C11</f>
        <v>RSP-IB</v>
      </c>
      <c r="D63" s="2" t="str">
        <f>Summary!B11</f>
        <v>Inclining Block Rate (8)</v>
      </c>
      <c r="F63" s="25">
        <f>Summary!F11</f>
        <v>0</v>
      </c>
      <c r="G63" s="26">
        <f>Summary!G11</f>
        <v>0</v>
      </c>
    </row>
    <row r="64" spans="3:8" x14ac:dyDescent="0.25">
      <c r="C64" s="24" t="str">
        <f>Summary!C12</f>
        <v>SGS</v>
      </c>
      <c r="D64" s="2" t="str">
        <f>Summary!B12</f>
        <v>Small General Service (2)</v>
      </c>
      <c r="F64" s="25">
        <f>Summary!F12</f>
        <v>0</v>
      </c>
      <c r="G64" s="26">
        <f>Summary!G12</f>
        <v>0</v>
      </c>
    </row>
    <row r="65" spans="3:8" x14ac:dyDescent="0.25">
      <c r="C65" s="24" t="str">
        <f>Summary!C13</f>
        <v>LGS</v>
      </c>
      <c r="D65" s="2" t="str">
        <f>Summary!B13</f>
        <v>Large General Service (3)</v>
      </c>
      <c r="F65" s="25">
        <f>Summary!F13</f>
        <v>0</v>
      </c>
      <c r="G65" s="26">
        <f>Summary!G13</f>
        <v>0</v>
      </c>
    </row>
    <row r="66" spans="3:8" x14ac:dyDescent="0.25">
      <c r="C66" s="24" t="str">
        <f>Summary!C14</f>
        <v>AES</v>
      </c>
      <c r="D66" s="2" t="str">
        <f>Summary!B14</f>
        <v>All Electric School (4)</v>
      </c>
      <c r="F66" s="25">
        <f>Summary!F14</f>
        <v>0</v>
      </c>
      <c r="G66" s="26">
        <f>Summary!G14</f>
        <v>0</v>
      </c>
    </row>
    <row r="67" spans="3:8" x14ac:dyDescent="0.25">
      <c r="C67" s="24" t="str">
        <f>Summary!C15</f>
        <v>OLS</v>
      </c>
      <c r="D67" s="2" t="str">
        <f>Summary!B15</f>
        <v>Security Lights (20)</v>
      </c>
      <c r="F67" s="25">
        <f>Summary!F15</f>
        <v>0</v>
      </c>
      <c r="G67" s="26">
        <f>Summary!G15</f>
        <v>0</v>
      </c>
    </row>
    <row r="68" spans="3:8" x14ac:dyDescent="0.25">
      <c r="C68" s="24" t="str">
        <f>Summary!C16</f>
        <v>Contract</v>
      </c>
      <c r="D68" s="2" t="str">
        <f>Summary!B16</f>
        <v>AppHarvest (70)</v>
      </c>
      <c r="F68" s="25">
        <f>Summary!F16</f>
        <v>0</v>
      </c>
      <c r="G68" s="26">
        <f>Summary!G16</f>
        <v>0</v>
      </c>
    </row>
    <row r="69" spans="3:8" x14ac:dyDescent="0.25">
      <c r="C69" s="24" t="str">
        <f>Summary!C17</f>
        <v>Contract</v>
      </c>
      <c r="D69" s="2" t="str">
        <f>Summary!B17</f>
        <v>Dravo (14 now 18)</v>
      </c>
      <c r="F69" s="25">
        <f>Summary!F17</f>
        <v>0</v>
      </c>
      <c r="G69" s="26">
        <f>Summary!G17</f>
        <v>0</v>
      </c>
    </row>
    <row r="70" spans="3:8" x14ac:dyDescent="0.25">
      <c r="C70" s="24" t="str">
        <f>Summary!C18</f>
        <v>Contract</v>
      </c>
      <c r="D70" s="2" t="str">
        <f>Summary!B18</f>
        <v>Guardian Industries (16)</v>
      </c>
      <c r="F70" s="25">
        <f>Summary!F18</f>
        <v>0</v>
      </c>
      <c r="G70" s="26">
        <f>Summary!G18</f>
        <v>0</v>
      </c>
    </row>
    <row r="71" spans="3:8" x14ac:dyDescent="0.25">
      <c r="C71" s="24" t="str">
        <f>Summary!C19</f>
        <v>Contract</v>
      </c>
      <c r="D71" s="2" t="str">
        <f>Summary!B19</f>
        <v>Int'l Paper (12)</v>
      </c>
      <c r="F71" s="25">
        <f>Summary!F19</f>
        <v>0</v>
      </c>
      <c r="G71" s="26">
        <f>Summary!G19</f>
        <v>0</v>
      </c>
    </row>
    <row r="72" spans="3:8" x14ac:dyDescent="0.25">
      <c r="C72" s="24" t="str">
        <f>Summary!C20</f>
        <v>Contract</v>
      </c>
      <c r="D72" s="2" t="str">
        <f>Summary!B20</f>
        <v>Tennessee Gas (17)</v>
      </c>
      <c r="F72" s="25">
        <f>Summary!F20</f>
        <v>0</v>
      </c>
      <c r="G72" s="26">
        <f>Summary!G20</f>
        <v>0</v>
      </c>
    </row>
    <row r="73" spans="3:8" x14ac:dyDescent="0.25">
      <c r="C73" s="24" t="str">
        <f>Summary!C21</f>
        <v>Steam</v>
      </c>
      <c r="D73" s="2" t="str">
        <f>Summary!B21</f>
        <v>Steam</v>
      </c>
      <c r="F73" s="25">
        <f>Summary!F21</f>
        <v>0</v>
      </c>
      <c r="G73" s="26">
        <f>Summary!G21</f>
        <v>0</v>
      </c>
    </row>
    <row r="74" spans="3:8" x14ac:dyDescent="0.25">
      <c r="C74" s="27" t="s">
        <v>104</v>
      </c>
      <c r="D74" s="13"/>
      <c r="E74" s="13"/>
      <c r="F74" s="64">
        <f>Summary!F22</f>
        <v>1941487.18</v>
      </c>
      <c r="G74" s="65">
        <f>Summary!G22</f>
        <v>1.8093982880545492E-2</v>
      </c>
    </row>
    <row r="75" spans="3:8" x14ac:dyDescent="0.25">
      <c r="C75" s="24"/>
      <c r="D75" s="2"/>
      <c r="F75" s="25"/>
      <c r="G75" s="26"/>
    </row>
    <row r="76" spans="3:8" x14ac:dyDescent="0.25">
      <c r="C76" s="3"/>
      <c r="D76" s="2"/>
    </row>
    <row r="77" spans="3:8" ht="41.4" customHeight="1" x14ac:dyDescent="0.25">
      <c r="C77" s="130" t="s">
        <v>73</v>
      </c>
      <c r="D77" s="130"/>
      <c r="E77" s="130"/>
      <c r="F77" s="130"/>
      <c r="G77" s="130"/>
      <c r="H77" s="88"/>
    </row>
    <row r="78" spans="3:8" x14ac:dyDescent="0.25">
      <c r="C78" s="3"/>
      <c r="D78" s="2"/>
      <c r="E78" s="28" t="s">
        <v>15</v>
      </c>
      <c r="F78" s="131" t="s">
        <v>70</v>
      </c>
      <c r="G78" s="131"/>
    </row>
    <row r="79" spans="3:8" x14ac:dyDescent="0.25">
      <c r="C79" s="20" t="s">
        <v>57</v>
      </c>
      <c r="D79" s="22"/>
      <c r="E79" s="29" t="s">
        <v>74</v>
      </c>
      <c r="F79" s="23" t="s">
        <v>71</v>
      </c>
      <c r="G79" s="23" t="s">
        <v>72</v>
      </c>
    </row>
    <row r="80" spans="3:8" x14ac:dyDescent="0.25">
      <c r="C80" s="30" t="str">
        <f>Summary!C6</f>
        <v>RSP</v>
      </c>
      <c r="D80" s="24" t="str">
        <f>Summary!B6</f>
        <v>Residential &amp; Small Power (1)</v>
      </c>
      <c r="E80" s="86">
        <f>'Billing Detail'!E17</f>
        <v>1068.0653208503322</v>
      </c>
      <c r="F80" s="85">
        <f>Summary!H6</f>
        <v>6.5467600360833273</v>
      </c>
      <c r="G80" s="80">
        <f>Summary!G6</f>
        <v>5.0901004590112424E-2</v>
      </c>
    </row>
    <row r="81" spans="3:7" x14ac:dyDescent="0.25">
      <c r="C81" s="30" t="str">
        <f>Summary!C7</f>
        <v>RSP-ETS</v>
      </c>
      <c r="D81" s="24" t="str">
        <f>Summary!B7</f>
        <v>Residential &amp; Small Power ETS (11)</v>
      </c>
      <c r="E81" s="33">
        <f>'Billing Detail'!E30</f>
        <v>502.49755301794454</v>
      </c>
      <c r="F81" s="85">
        <f>Summary!H7</f>
        <v>6.3339535889070078</v>
      </c>
      <c r="G81" s="80">
        <f>Summary!G7</f>
        <v>4.1124205512319788E-2</v>
      </c>
    </row>
    <row r="82" spans="3:7" x14ac:dyDescent="0.25">
      <c r="C82" s="30" t="str">
        <f>Summary!C8</f>
        <v>RSP-PPM</v>
      </c>
      <c r="D82" s="24" t="str">
        <f>Summary!B8</f>
        <v>Prepay (80)</v>
      </c>
      <c r="E82" s="86">
        <f>'Billing Detail'!E43</f>
        <v>1259.9657425111536</v>
      </c>
      <c r="F82" s="85">
        <f>Summary!H8</f>
        <v>7.0169160691523302</v>
      </c>
      <c r="G82" s="80">
        <f>Summary!G8</f>
        <v>4.5505986598755675E-2</v>
      </c>
    </row>
    <row r="83" spans="3:7" x14ac:dyDescent="0.25">
      <c r="C83" s="30" t="str">
        <f>Summary!C9</f>
        <v>NM</v>
      </c>
      <c r="D83" s="24" t="str">
        <f>Summary!B9</f>
        <v>Net Metering (100)</v>
      </c>
      <c r="E83" s="86">
        <f>'Billing Detail'!E55</f>
        <v>1086.8894952251023</v>
      </c>
      <c r="F83" s="85">
        <f>Summary!H9</f>
        <v>6.5928792633015121</v>
      </c>
      <c r="G83" s="80">
        <f>Summary!G9</f>
        <v>5.3177182547736776E-2</v>
      </c>
    </row>
    <row r="84" spans="3:7" x14ac:dyDescent="0.25">
      <c r="C84" s="30" t="str">
        <f>Summary!C10</f>
        <v>RSP-TOD</v>
      </c>
      <c r="D84" s="24" t="str">
        <f>Summary!B10</f>
        <v>Time of Day (110)</v>
      </c>
      <c r="E84" s="86">
        <f>'Billing Detail'!E68</f>
        <v>1243.1423487544484</v>
      </c>
      <c r="F84" s="85">
        <f>Summary!H10</f>
        <v>0</v>
      </c>
      <c r="G84" s="80">
        <f>Summary!G10</f>
        <v>0</v>
      </c>
    </row>
    <row r="85" spans="3:7" x14ac:dyDescent="0.25">
      <c r="C85" s="30" t="str">
        <f>Summary!C11</f>
        <v>RSP-IB</v>
      </c>
      <c r="D85" s="24" t="str">
        <f>Summary!B11</f>
        <v>Inclining Block Rate (8)</v>
      </c>
      <c r="E85" s="86">
        <f>'Billing Detail'!E82</f>
        <v>241.62786972770957</v>
      </c>
      <c r="F85" s="85">
        <f>Summary!H11</f>
        <v>0</v>
      </c>
      <c r="G85" s="80">
        <f>Summary!G11</f>
        <v>0</v>
      </c>
    </row>
    <row r="86" spans="3:7" x14ac:dyDescent="0.25">
      <c r="C86" s="30" t="str">
        <f>Summary!C12</f>
        <v>SGS</v>
      </c>
      <c r="D86" s="24" t="str">
        <f>Summary!B12</f>
        <v>Small General Service (2)</v>
      </c>
      <c r="E86" s="86">
        <f>'Billing Detail'!E95</f>
        <v>6202.1428571428569</v>
      </c>
      <c r="F86" s="85">
        <f>Summary!H12</f>
        <v>0</v>
      </c>
      <c r="G86" s="80">
        <f>Summary!G12</f>
        <v>0</v>
      </c>
    </row>
    <row r="87" spans="3:7" x14ac:dyDescent="0.25">
      <c r="C87" s="30" t="str">
        <f>Summary!C13</f>
        <v>LGS</v>
      </c>
      <c r="D87" s="24" t="str">
        <f>Summary!B13</f>
        <v>Large General Service (3)</v>
      </c>
      <c r="E87" s="86">
        <f>'Billing Detail'!E108</f>
        <v>53700.680511182109</v>
      </c>
      <c r="F87" s="85">
        <f>Summary!H13</f>
        <v>0</v>
      </c>
      <c r="G87" s="80">
        <f>Summary!G13</f>
        <v>0</v>
      </c>
    </row>
    <row r="88" spans="3:7" x14ac:dyDescent="0.25">
      <c r="C88" s="30" t="str">
        <f>Summary!C14</f>
        <v>AES</v>
      </c>
      <c r="D88" s="24" t="str">
        <f>Summary!B14</f>
        <v>All Electric School (4)</v>
      </c>
      <c r="E88" s="86">
        <f>'Billing Detail'!E120</f>
        <v>17204.444444444445</v>
      </c>
      <c r="F88" s="85">
        <f>Summary!H14</f>
        <v>0</v>
      </c>
      <c r="G88" s="80">
        <f>Summary!G14</f>
        <v>0</v>
      </c>
    </row>
    <row r="89" spans="3:7" x14ac:dyDescent="0.25">
      <c r="C89" s="30" t="str">
        <f>Summary!C15</f>
        <v>OLS</v>
      </c>
      <c r="D89" s="24" t="str">
        <f>Summary!B15</f>
        <v>Security Lights (20)</v>
      </c>
      <c r="E89" s="33" t="s">
        <v>75</v>
      </c>
      <c r="F89" s="85">
        <f>Summary!H15</f>
        <v>0</v>
      </c>
      <c r="G89" s="80">
        <f>Summary!G15</f>
        <v>0</v>
      </c>
    </row>
    <row r="90" spans="3:7" x14ac:dyDescent="0.25">
      <c r="C90" s="30" t="str">
        <f>Summary!C16</f>
        <v>Contract</v>
      </c>
      <c r="D90" s="24" t="str">
        <f>Summary!B16</f>
        <v>AppHarvest (70)</v>
      </c>
      <c r="E90" s="33">
        <f>'Billing Detail'!E160</f>
        <v>3455293.1666666665</v>
      </c>
      <c r="F90" s="85">
        <f>Summary!H16</f>
        <v>0</v>
      </c>
      <c r="G90" s="80">
        <f>Summary!G16</f>
        <v>0</v>
      </c>
    </row>
    <row r="91" spans="3:7" x14ac:dyDescent="0.25">
      <c r="C91" s="30" t="str">
        <f>Summary!C17</f>
        <v>Contract</v>
      </c>
      <c r="D91" s="24" t="str">
        <f>Summary!B17</f>
        <v>Dravo (14 now 18)</v>
      </c>
      <c r="E91" s="33">
        <f>'Billing Detail'!E173</f>
        <v>4947793.916666667</v>
      </c>
      <c r="F91" s="85">
        <f>Summary!H17</f>
        <v>0</v>
      </c>
      <c r="G91" s="80">
        <f>Summary!G17</f>
        <v>0</v>
      </c>
    </row>
    <row r="92" spans="3:7" x14ac:dyDescent="0.25">
      <c r="C92" s="30" t="str">
        <f>Summary!C18</f>
        <v>Contract</v>
      </c>
      <c r="D92" s="24" t="str">
        <f>Summary!B18</f>
        <v>Guardian Industries (16)</v>
      </c>
      <c r="E92" s="86">
        <f>'Billing Detail'!E186</f>
        <v>4681085.833333333</v>
      </c>
      <c r="F92" s="85">
        <f>Summary!H18</f>
        <v>0</v>
      </c>
      <c r="G92" s="80">
        <f>Summary!G18</f>
        <v>0</v>
      </c>
    </row>
    <row r="93" spans="3:7" x14ac:dyDescent="0.25">
      <c r="C93" s="30" t="str">
        <f>Summary!C19</f>
        <v>Contract</v>
      </c>
      <c r="D93" s="24" t="str">
        <f>Summary!B19</f>
        <v>Int'l Paper (12)</v>
      </c>
      <c r="E93" s="86">
        <f>'Billing Detail'!E199</f>
        <v>21334948.583333332</v>
      </c>
      <c r="F93" s="85">
        <f>Summary!H19</f>
        <v>0</v>
      </c>
      <c r="G93" s="80">
        <f>Summary!G19</f>
        <v>0</v>
      </c>
    </row>
    <row r="94" spans="3:7" x14ac:dyDescent="0.25">
      <c r="C94" s="30" t="str">
        <f>Summary!C20</f>
        <v>Contract</v>
      </c>
      <c r="D94" s="24" t="str">
        <f>Summary!B20</f>
        <v>Tennessee Gas (17)</v>
      </c>
      <c r="E94" s="86">
        <f>'Billing Detail'!E212</f>
        <v>11713916.916666666</v>
      </c>
      <c r="F94" s="85">
        <f>Summary!H20</f>
        <v>0</v>
      </c>
      <c r="G94" s="80">
        <f>Summary!G20</f>
        <v>0</v>
      </c>
    </row>
    <row r="95" spans="3:7" x14ac:dyDescent="0.25">
      <c r="C95" s="30" t="str">
        <f>Summary!C21</f>
        <v>Steam</v>
      </c>
      <c r="D95" s="24" t="str">
        <f>Summary!B21</f>
        <v>Steam</v>
      </c>
      <c r="E95" s="87" t="s">
        <v>75</v>
      </c>
      <c r="F95" s="85">
        <f>Summary!H21</f>
        <v>0</v>
      </c>
      <c r="G95" s="80">
        <f>Summary!G21</f>
        <v>0</v>
      </c>
    </row>
    <row r="96" spans="3:7" x14ac:dyDescent="0.25">
      <c r="C96" s="53" t="s">
        <v>104</v>
      </c>
      <c r="D96" s="81"/>
      <c r="E96" s="82"/>
      <c r="F96" s="83"/>
      <c r="G96" s="84">
        <f>G74</f>
        <v>1.8093982880545492E-2</v>
      </c>
    </row>
    <row r="97" spans="3:7" x14ac:dyDescent="0.25">
      <c r="C97" s="50"/>
      <c r="D97" s="66"/>
      <c r="E97" s="31"/>
      <c r="F97" s="32"/>
      <c r="G97" s="4"/>
    </row>
    <row r="98" spans="3:7" x14ac:dyDescent="0.25">
      <c r="C98" s="3"/>
      <c r="D98" s="30"/>
      <c r="E98" s="31"/>
      <c r="F98" s="32"/>
      <c r="G98" s="4"/>
    </row>
    <row r="99" spans="3:7" x14ac:dyDescent="0.25">
      <c r="C99" s="3"/>
      <c r="D99" s="30"/>
      <c r="E99" s="33"/>
      <c r="F99" s="34"/>
      <c r="G99" s="4"/>
    </row>
    <row r="100" spans="3:7" x14ac:dyDescent="0.25">
      <c r="C100" s="3"/>
      <c r="D100" s="2"/>
      <c r="F100" s="18"/>
      <c r="G100" s="18"/>
    </row>
    <row r="101" spans="3:7" x14ac:dyDescent="0.25">
      <c r="C101" s="3"/>
      <c r="D101" s="2"/>
      <c r="F101" s="18"/>
      <c r="G101" s="18"/>
    </row>
    <row r="102" spans="3:7" x14ac:dyDescent="0.25">
      <c r="C102" s="3"/>
      <c r="D102" s="2"/>
      <c r="F102" s="18"/>
      <c r="G102" s="18"/>
    </row>
    <row r="103" spans="3:7" x14ac:dyDescent="0.25">
      <c r="C103" s="3"/>
      <c r="D103" s="2"/>
      <c r="F103" s="18"/>
      <c r="G103" s="18"/>
    </row>
    <row r="104" spans="3:7" x14ac:dyDescent="0.25">
      <c r="C104" s="3"/>
      <c r="D104" s="2"/>
      <c r="F104" s="18"/>
      <c r="G104" s="18"/>
    </row>
  </sheetData>
  <mergeCells count="4">
    <mergeCell ref="C55:G55"/>
    <mergeCell ref="F56:G56"/>
    <mergeCell ref="F78:G78"/>
    <mergeCell ref="C77:G77"/>
  </mergeCells>
  <printOptions horizontalCentered="1"/>
  <pageMargins left="0.7" right="0.7" top="0.75" bottom="0.75" header="0.3" footer="0.3"/>
  <pageSetup paperSize="9" scale="69" fitToHeight="2" orientation="portrait" r:id="rId1"/>
  <headerFooter>
    <oddHeader>&amp;R&amp;"Arial,Bold"&amp;10Exhibit 2
Page &amp;P of &amp;N</oddHead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2023-07-28T14:53:35Z</cp:lastPrinted>
  <dcterms:created xsi:type="dcterms:W3CDTF">2021-02-09T02:13:44Z</dcterms:created>
  <dcterms:modified xsi:type="dcterms:W3CDTF">2023-12-21T19:21:40Z</dcterms:modified>
</cp:coreProperties>
</file>